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322" documentId="8_{6984AD78-654C-4F2A-A4F8-D213AB6C83E6}" xr6:coauthVersionLast="47" xr6:coauthVersionMax="47" xr10:uidLastSave="{130C1E1E-AB0B-41B7-AB09-6E2226ED6BF2}"/>
  <workbookProtection workbookAlgorithmName="SHA-512" workbookHashValue="QJwH5fYtePcoFo3F+mqjtQnp8m8Kr08bhTrX1PLVjEchdtZXWUk/R/xgotgxEGDLnypNxo53Ujy3l+3cw502BA==" workbookSaltValue="Iq536h6AWDDf840KZ/HuFQ==" workbookSpinCount="100000" lockStructure="1"/>
  <bookViews>
    <workbookView xWindow="22932" yWindow="-108" windowWidth="23256" windowHeight="12576" tabRatio="476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state="hidden" r:id="rId4"/>
    <sheet name="Measure 3 Budget" sheetId="28" state="hidden" r:id="rId5"/>
    <sheet name="Measure 4 Budget" sheetId="29" state="hidden" r:id="rId6"/>
    <sheet name="Measure 5 Budget" sheetId="31" state="hidden" r:id="rId7"/>
    <sheet name="Sample Budget 1" sheetId="32" state="hidden" r:id="rId8"/>
    <sheet name="Sample Budget 2" sheetId="33" state="hidden" r:id="rId9"/>
    <sheet name="Sample Budget 3" sheetId="34" state="hidden" r:id="rId10"/>
  </sheets>
  <externalReferences>
    <externalReference r:id="rId11"/>
    <externalReference r:id="rId12"/>
  </externalReference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16" l="1"/>
  <c r="D41" i="16" l="1"/>
  <c r="H12" i="16"/>
  <c r="D38" i="16"/>
  <c r="H38" i="16" l="1"/>
  <c r="G38" i="16"/>
  <c r="F38" i="16"/>
  <c r="E38" i="16"/>
  <c r="J47" i="16" l="1"/>
  <c r="T72" i="16"/>
  <c r="T73" i="16" s="1"/>
  <c r="T71" i="16"/>
  <c r="N26" i="16"/>
  <c r="N25" i="16"/>
  <c r="D22" i="16"/>
  <c r="N21" i="16"/>
  <c r="Y26" i="16"/>
  <c r="Y13" i="16"/>
  <c r="L42" i="16" l="1"/>
  <c r="AA40" i="16"/>
  <c r="AA39" i="16"/>
  <c r="AA38" i="16"/>
  <c r="J36" i="16" l="1"/>
  <c r="H47" i="16"/>
  <c r="G47" i="16"/>
  <c r="F47" i="16"/>
  <c r="E47" i="16"/>
  <c r="D46" i="16"/>
  <c r="J46" i="16" s="1"/>
  <c r="AH32" i="16"/>
  <c r="AH31" i="16"/>
  <c r="AH30" i="16"/>
  <c r="AH29" i="16"/>
  <c r="AH27" i="16"/>
  <c r="D25" i="16"/>
  <c r="D24" i="16"/>
  <c r="H23" i="16"/>
  <c r="G23" i="16"/>
  <c r="F23" i="16"/>
  <c r="E23" i="16"/>
  <c r="D23" i="16"/>
  <c r="F11" i="16"/>
  <c r="E11" i="16"/>
  <c r="D12" i="16"/>
  <c r="D11" i="16"/>
  <c r="D10" i="16"/>
  <c r="D47" i="16" l="1"/>
  <c r="AH11" i="16"/>
  <c r="AH10" i="16"/>
  <c r="AI11" i="16"/>
  <c r="AI12" i="16"/>
  <c r="AI10" i="16"/>
  <c r="AI9" i="16"/>
  <c r="AH12" i="16"/>
  <c r="AH9" i="16"/>
  <c r="AG12" i="16"/>
  <c r="AG11" i="16"/>
  <c r="AG10" i="16"/>
  <c r="AG9" i="16"/>
  <c r="AK12" i="16" l="1"/>
  <c r="AK11" i="16"/>
  <c r="AK10" i="16"/>
  <c r="AK9" i="16"/>
  <c r="AJ12" i="16"/>
  <c r="AJ11" i="16"/>
  <c r="AJ10" i="16"/>
  <c r="AJ9" i="16"/>
  <c r="J31" i="16" l="1"/>
  <c r="H44" i="16"/>
  <c r="G44" i="16"/>
  <c r="E44" i="16"/>
  <c r="AB29" i="16"/>
  <c r="AB31" i="16" s="1"/>
  <c r="AH28" i="16" s="1"/>
  <c r="AH33" i="16" s="1"/>
  <c r="Y24" i="16"/>
  <c r="Y23" i="16"/>
  <c r="Y22" i="16"/>
  <c r="Y21" i="16"/>
  <c r="Y20" i="16"/>
  <c r="Y19" i="16"/>
  <c r="Y25" i="16"/>
  <c r="Y18" i="16"/>
  <c r="Y17" i="16"/>
  <c r="Y12" i="16"/>
  <c r="Y16" i="16"/>
  <c r="Y15" i="16"/>
  <c r="G22" i="16" l="1"/>
  <c r="F22" i="16"/>
  <c r="H22" i="16"/>
  <c r="E22" i="16"/>
  <c r="D34" i="16"/>
  <c r="Y14" i="16"/>
  <c r="V27" i="16"/>
  <c r="J35" i="16"/>
  <c r="D27" i="16"/>
  <c r="D26" i="16"/>
  <c r="E26" i="16" s="1"/>
  <c r="F26" i="16" s="1"/>
  <c r="G26" i="16" s="1"/>
  <c r="H26" i="16" s="1"/>
  <c r="H10" i="16"/>
  <c r="G10" i="16"/>
  <c r="E10" i="16"/>
  <c r="F10" i="16"/>
  <c r="D28" i="16" l="1"/>
  <c r="J34" i="16"/>
  <c r="E27" i="16"/>
  <c r="F27" i="16" s="1"/>
  <c r="G27" i="16" s="1"/>
  <c r="H27" i="16" s="1"/>
  <c r="F43" i="16"/>
  <c r="J27" i="16" l="1"/>
  <c r="D43" i="16"/>
  <c r="AA41" i="16"/>
  <c r="V10" i="16"/>
  <c r="V9" i="16"/>
  <c r="J43" i="16" l="1"/>
  <c r="V11" i="16"/>
  <c r="E24" i="16"/>
  <c r="E25" i="16"/>
  <c r="F25" i="16" s="1"/>
  <c r="G25" i="16" s="1"/>
  <c r="H25" i="16" s="1"/>
  <c r="U69" i="16"/>
  <c r="T69" i="16"/>
  <c r="U68" i="16"/>
  <c r="O68" i="16"/>
  <c r="O45" i="16"/>
  <c r="O39" i="16"/>
  <c r="H17" i="16"/>
  <c r="G17" i="16"/>
  <c r="F17" i="16"/>
  <c r="H11" i="16"/>
  <c r="H18" i="16" s="1"/>
  <c r="G11" i="16"/>
  <c r="G18" i="16" s="1"/>
  <c r="F18" i="16"/>
  <c r="E18" i="16"/>
  <c r="D18" i="16"/>
  <c r="H9" i="16"/>
  <c r="H16" i="16" s="1"/>
  <c r="G9" i="16"/>
  <c r="F9" i="16"/>
  <c r="F16" i="16" s="1"/>
  <c r="E9" i="16"/>
  <c r="E16" i="16" s="1"/>
  <c r="D9" i="16"/>
  <c r="D16" i="16" s="1"/>
  <c r="H8" i="16"/>
  <c r="H15" i="16" s="1"/>
  <c r="G8" i="16"/>
  <c r="G15" i="16" s="1"/>
  <c r="F8" i="16"/>
  <c r="F15" i="16" s="1"/>
  <c r="E8" i="16"/>
  <c r="E15" i="16" s="1"/>
  <c r="D8" i="16"/>
  <c r="O48" i="16" l="1"/>
  <c r="D37" i="16" s="1"/>
  <c r="D39" i="16" s="1"/>
  <c r="D15" i="16"/>
  <c r="D13" i="16"/>
  <c r="T68" i="16"/>
  <c r="T70" i="16" s="1"/>
  <c r="J26" i="16"/>
  <c r="J25" i="16"/>
  <c r="J18" i="16"/>
  <c r="F24" i="16"/>
  <c r="G24" i="16" s="1"/>
  <c r="H24" i="16" s="1"/>
  <c r="H28" i="16" s="1"/>
  <c r="U70" i="16"/>
  <c r="J8" i="16"/>
  <c r="D17" i="16"/>
  <c r="E17" i="16"/>
  <c r="G16" i="16"/>
  <c r="D32" i="16"/>
  <c r="E28" i="16"/>
  <c r="G37" i="16"/>
  <c r="J23" i="16"/>
  <c r="N33" i="16"/>
  <c r="Q29" i="16" s="1"/>
  <c r="E32" i="16"/>
  <c r="F32" i="16"/>
  <c r="G32" i="16"/>
  <c r="H32" i="16"/>
  <c r="D44" i="16" l="1"/>
  <c r="J15" i="16"/>
  <c r="F28" i="16"/>
  <c r="J22" i="16"/>
  <c r="R15" i="16" s="1"/>
  <c r="G28" i="16"/>
  <c r="J37" i="16"/>
  <c r="F41" i="16"/>
  <c r="J24" i="16"/>
  <c r="J41" i="16" l="1"/>
  <c r="J28" i="16"/>
  <c r="J10" i="16" l="1"/>
  <c r="J16" i="16"/>
  <c r="J9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J11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G10" i="30" s="1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E10" i="30" s="1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J53" i="16"/>
  <c r="J42" i="16"/>
  <c r="J32" i="16"/>
  <c r="J17" i="16"/>
  <c r="J44" i="16" l="1"/>
  <c r="E9" i="30"/>
  <c r="F9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0" i="30"/>
  <c r="H10" i="30"/>
  <c r="F12" i="30"/>
  <c r="H12" i="30"/>
  <c r="D10" i="30"/>
  <c r="H51" i="27"/>
  <c r="H58" i="27" s="1"/>
  <c r="J13" i="27"/>
  <c r="J16" i="27" s="1"/>
  <c r="G51" i="27"/>
  <c r="G58" i="27" s="1"/>
  <c r="D51" i="27"/>
  <c r="D58" i="27" s="1"/>
  <c r="J56" i="28"/>
  <c r="J54" i="28"/>
  <c r="H13" i="30"/>
  <c r="F13" i="30"/>
  <c r="G12" i="30"/>
  <c r="J42" i="28"/>
  <c r="J31" i="28"/>
  <c r="D12" i="30"/>
  <c r="E12" i="30"/>
  <c r="J35" i="28"/>
  <c r="J27" i="28"/>
  <c r="E51" i="28"/>
  <c r="E58" i="28" s="1"/>
  <c r="J13" i="28"/>
  <c r="J16" i="28" s="1"/>
  <c r="D51" i="28"/>
  <c r="D58" i="28" s="1"/>
  <c r="G51" i="28"/>
  <c r="G58" i="28" s="1"/>
  <c r="H51" i="28"/>
  <c r="H58" i="28" s="1"/>
  <c r="F51" i="28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D50" i="31"/>
  <c r="D57" i="31" s="1"/>
  <c r="E50" i="31"/>
  <c r="E57" i="31" s="1"/>
  <c r="J41" i="29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J10" i="30" l="1"/>
  <c r="D58" i="34"/>
  <c r="J51" i="34"/>
  <c r="J58" i="34" s="1"/>
  <c r="J51" i="33"/>
  <c r="J58" i="33" s="1"/>
  <c r="D58" i="33"/>
  <c r="J46" i="32"/>
  <c r="J53" i="32" s="1"/>
  <c r="J12" i="30"/>
  <c r="J9" i="30"/>
  <c r="J51" i="28"/>
  <c r="J58" i="28" s="1"/>
  <c r="D25" i="30" s="1"/>
  <c r="F58" i="28"/>
  <c r="J13" i="30"/>
  <c r="J50" i="31"/>
  <c r="J57" i="31" s="1"/>
  <c r="J50" i="29"/>
  <c r="J57" i="29" s="1"/>
  <c r="D26" i="30" s="1"/>
  <c r="J51" i="27"/>
  <c r="J58" i="27" s="1"/>
  <c r="D24" i="30" s="1"/>
  <c r="D11" i="30" l="1"/>
  <c r="E39" i="16" l="1"/>
  <c r="E11" i="30" s="1"/>
  <c r="F39" i="16"/>
  <c r="H39" i="16" l="1"/>
  <c r="G39" i="16" l="1"/>
  <c r="G11" i="30" s="1"/>
  <c r="J38" i="16"/>
  <c r="J39" i="16" s="1"/>
  <c r="H11" i="30" l="1"/>
  <c r="F11" i="30" l="1"/>
  <c r="J11" i="30" l="1"/>
  <c r="E12" i="16" l="1"/>
  <c r="E13" i="16" l="1"/>
  <c r="E7" i="30" s="1"/>
  <c r="G12" i="16" l="1"/>
  <c r="F12" i="16"/>
  <c r="H19" i="16"/>
  <c r="H20" i="16" s="1"/>
  <c r="H13" i="16" l="1"/>
  <c r="F13" i="16"/>
  <c r="F7" i="30" s="1"/>
  <c r="J12" i="16"/>
  <c r="G13" i="16"/>
  <c r="G7" i="30" s="1"/>
  <c r="H7" i="30" l="1"/>
  <c r="J7" i="30" s="1"/>
  <c r="H49" i="16"/>
  <c r="J13" i="16"/>
  <c r="AJ13" i="16" l="1"/>
  <c r="G19" i="16"/>
  <c r="G20" i="16" s="1"/>
  <c r="G49" i="16" s="1"/>
  <c r="AG13" i="16" l="1"/>
  <c r="D19" i="16"/>
  <c r="AK13" i="16"/>
  <c r="G52" i="16"/>
  <c r="G54" i="16" s="1"/>
  <c r="G48" i="16"/>
  <c r="G8" i="30"/>
  <c r="G14" i="30" s="1"/>
  <c r="D20" i="16" l="1"/>
  <c r="G56" i="16"/>
  <c r="G16" i="30"/>
  <c r="G18" i="30" s="1"/>
  <c r="H48" i="16"/>
  <c r="H52" i="16"/>
  <c r="H54" i="16" s="1"/>
  <c r="H8" i="30"/>
  <c r="AI13" i="16"/>
  <c r="F19" i="16"/>
  <c r="F20" i="16" s="1"/>
  <c r="F49" i="16" s="1"/>
  <c r="D48" i="16" l="1"/>
  <c r="D49" i="16"/>
  <c r="F48" i="16"/>
  <c r="F52" i="16"/>
  <c r="F8" i="30"/>
  <c r="F14" i="30" s="1"/>
  <c r="H14" i="30"/>
  <c r="H16" i="30"/>
  <c r="H56" i="16"/>
  <c r="AH13" i="16"/>
  <c r="E19" i="16"/>
  <c r="J19" i="16" s="1"/>
  <c r="D8" i="30"/>
  <c r="D14" i="30" s="1"/>
  <c r="H18" i="30" l="1"/>
  <c r="D52" i="16"/>
  <c r="D54" i="16" s="1"/>
  <c r="E20" i="16"/>
  <c r="E49" i="16" s="1"/>
  <c r="F54" i="16"/>
  <c r="D56" i="16" l="1"/>
  <c r="D16" i="30"/>
  <c r="D18" i="30" s="1"/>
  <c r="F16" i="30"/>
  <c r="F56" i="16"/>
  <c r="J20" i="16"/>
  <c r="R13" i="16"/>
  <c r="R16" i="16" s="1"/>
  <c r="E48" i="16"/>
  <c r="J48" i="16" s="1"/>
  <c r="E8" i="30"/>
  <c r="E52" i="16" l="1"/>
  <c r="J49" i="16"/>
  <c r="F18" i="30"/>
  <c r="E14" i="30"/>
  <c r="J14" i="30" s="1"/>
  <c r="J8" i="30"/>
  <c r="E54" i="16" l="1"/>
  <c r="J52" i="16"/>
  <c r="J54" i="16" s="1"/>
  <c r="J56" i="16" s="1"/>
  <c r="L59" i="16" s="1"/>
  <c r="E16" i="30" l="1"/>
  <c r="E56" i="16"/>
  <c r="L58" i="16"/>
  <c r="L57" i="16"/>
  <c r="D23" i="30"/>
  <c r="D29" i="30" s="1"/>
  <c r="E23" i="30" l="1"/>
  <c r="E26" i="30"/>
  <c r="E24" i="30"/>
  <c r="E25" i="30"/>
  <c r="E27" i="30"/>
  <c r="E18" i="30"/>
  <c r="J16" i="30"/>
  <c r="J18" i="30" s="1"/>
  <c r="E29" i="30" l="1"/>
</calcChain>
</file>

<file path=xl/sharedStrings.xml><?xml version="1.0" encoding="utf-8"?>
<sst xmlns="http://schemas.openxmlformats.org/spreadsheetml/2006/main" count="754" uniqueCount="326">
  <si>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</si>
  <si>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</si>
  <si>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</si>
  <si>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</si>
  <si>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</si>
  <si>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</si>
  <si>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</si>
  <si>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</si>
  <si>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</si>
  <si>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</si>
  <si>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</si>
  <si>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</si>
  <si>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</si>
  <si>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</si>
  <si>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</si>
  <si>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</si>
  <si>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</si>
  <si>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</si>
  <si>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</si>
  <si>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</si>
  <si>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</si>
  <si>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</si>
  <si>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</si>
  <si>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</si>
  <si>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</si>
  <si>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</si>
  <si>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</si>
  <si>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</si>
  <si>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</si>
  <si>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</si>
  <si>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</si>
  <si>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</si>
  <si>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</si>
  <si>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</si>
  <si>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</si>
  <si>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</si>
  <si>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</si>
  <si>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</si>
  <si>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</si>
  <si>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</si>
  <si>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</si>
  <si>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</si>
  <si>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</si>
  <si>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</si>
  <si>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</si>
  <si>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</si>
  <si>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</si>
  <si>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</si>
  <si>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</si>
  <si>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</si>
  <si>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</si>
  <si>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</si>
  <si>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</si>
  <si>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</si>
  <si>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</si>
  <si>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</si>
  <si>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</si>
  <si>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</si>
  <si>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</si>
  <si>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</si>
  <si>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</si>
  <si>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</si>
  <si>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</si>
  <si>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</si>
  <si>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</si>
  <si>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</si>
  <si>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</si>
  <si>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</si>
  <si>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</si>
  <si>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</si>
  <si>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</si>
  <si>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</si>
  <si>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</si>
  <si>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</si>
  <si>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</si>
  <si>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</si>
  <si>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</si>
  <si>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</si>
  <si>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</si>
  <si>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miles roundtrip</t>
  </si>
  <si>
    <t>Site visits to landfills for monitoring</t>
  </si>
  <si>
    <t>visits a year</t>
  </si>
  <si>
    <t>IRS Rate</t>
  </si>
  <si>
    <t xml:space="preserve">other travel backup: </t>
  </si>
  <si>
    <t>HVRC annual avg. $$ on travel</t>
  </si>
  <si>
    <t>IRS rate</t>
  </si>
  <si>
    <t>miles</t>
  </si>
  <si>
    <t xml:space="preserve">Monitoring travel backup: </t>
  </si>
  <si>
    <t>making desk</t>
  </si>
  <si>
    <t>estimate + removal of bookcases</t>
  </si>
  <si>
    <t>docking port</t>
  </si>
  <si>
    <t>keybord</t>
  </si>
  <si>
    <t>https://www.amazon.com/s?k=keyboard&amp;crid=1GQI94MIQRWDY&amp;sprefix=keyboard%2Caps%2C77&amp;ref=nb_sb_noss_1</t>
  </si>
  <si>
    <t>mouse</t>
  </si>
  <si>
    <t>https://www.amazon.com/s?k=mouse&amp;crid=331RV246I0SPL&amp;sprefix=mouse%2Caps%2C96&amp;ref=nb_sb_noss_1</t>
  </si>
  <si>
    <t>surge protector</t>
  </si>
  <si>
    <t>https://www.amazon.com/Surge-Protectors/b?ie=UTF8&amp;node=761520</t>
  </si>
  <si>
    <t>desk</t>
  </si>
  <si>
    <t>https://www.ikea.com/us/en/p/trotten-desk-sit-stand-white-s79429602/</t>
  </si>
  <si>
    <t>new phone</t>
  </si>
  <si>
    <t>memory from Carla</t>
  </si>
  <si>
    <t>computer</t>
  </si>
  <si>
    <t>Carla Comments / Notes</t>
  </si>
  <si>
    <t>Need to add ROUND formual to all cells.</t>
  </si>
  <si>
    <t>See Heatpumps note.</t>
  </si>
  <si>
    <t>I think is this pretty spot on.</t>
  </si>
  <si>
    <t>Should they start @65K?</t>
  </si>
  <si>
    <t>Need to add Administrative Manager &amp; Comptroller.  See Heatpumps.</t>
  </si>
  <si>
    <t>PERSONNEL</t>
  </si>
  <si>
    <t>Total Personnel</t>
  </si>
  <si>
    <t>FRINGE BENEFITS</t>
  </si>
  <si>
    <t>Total Fringe Benefits</t>
  </si>
  <si>
    <t>TRAVEL</t>
  </si>
  <si>
    <t>Total Travel</t>
  </si>
  <si>
    <t>EQUIPMENT</t>
  </si>
  <si>
    <t>Total Equipment</t>
  </si>
  <si>
    <t>SUPPLIES</t>
  </si>
  <si>
    <t>Total Supplies</t>
  </si>
  <si>
    <t>CONTRACTUAL</t>
  </si>
  <si>
    <t>Total Contractual</t>
  </si>
  <si>
    <t>Total Other</t>
  </si>
  <si>
    <t>Total Direct</t>
  </si>
  <si>
    <t>Modified Total Direct</t>
  </si>
  <si>
    <t>10% de minimus on Modified Total Direct</t>
  </si>
  <si>
    <t>See updated fringe %age to cc CPRG multiplier.</t>
  </si>
  <si>
    <t xml:space="preserve">Program Manager additional in-region travel (1026 miles @ .67 reimbursement based on avg. HVRC staff in 2023) </t>
  </si>
  <si>
    <t>What would this in-region travel be for?</t>
  </si>
  <si>
    <t>Update to train fare to DC if past conferences appear to be held there, using EPA WW + 3%.</t>
  </si>
  <si>
    <t>Is this the allowed rate for hotel in DC?</t>
  </si>
  <si>
    <t>Is this the allowed rate for food in DC?</t>
  </si>
  <si>
    <t>OK</t>
  </si>
  <si>
    <t>We may have contractual, right?</t>
  </si>
  <si>
    <t>--Get current estimate for items previously quoted by Colby.
--Quote for monitors same size as CC's.
--We have extra chairs stored; won't need chair.
--I added cost for mouses yr 4</t>
  </si>
  <si>
    <t>I corrected summation to start at row20</t>
  </si>
  <si>
    <t>Assuming we will have equipment for the raised, mulched beds.  How is this being estimated?</t>
  </si>
  <si>
    <t>See note &amp; calcs in Heatpumps.</t>
  </si>
  <si>
    <t>EP Response</t>
  </si>
  <si>
    <t>Same note as Heat pumps - was thinking this would be Melanie.</t>
  </si>
  <si>
    <t xml:space="preserve">That makes sense. </t>
  </si>
  <si>
    <t xml:space="preserve">Executive Director - 3% of time with 3% salary increases annually. </t>
  </si>
  <si>
    <t xml:space="preserve">Program Manager - 100% of time with 3% salary increases annually. </t>
  </si>
  <si>
    <t>years</t>
  </si>
  <si>
    <t>annual miles Y1 and Y2</t>
  </si>
  <si>
    <t>annual miles Y3, 4, 5</t>
  </si>
  <si>
    <t>LB Conference travel back up</t>
  </si>
  <si>
    <t>per diem 2024</t>
  </si>
  <si>
    <t>pok to nyc and back</t>
  </si>
  <si>
    <t>nyc to dc and back</t>
  </si>
  <si>
    <t>taxis</t>
  </si>
  <si>
    <t>f/l day of travel</t>
  </si>
  <si>
    <t>food totals</t>
  </si>
  <si>
    <t>full day away</t>
  </si>
  <si>
    <t>hotel per night</t>
  </si>
  <si>
    <t xml:space="preserve">SUPPLIES BACKUP: </t>
  </si>
  <si>
    <t>New Staff Start Up Costs</t>
  </si>
  <si>
    <t>monitor (2)</t>
  </si>
  <si>
    <t>https://www.dell.com/en-us/shop/dell-24-monitor-p2422h/apd/210-bbcc/monitors-monitor-accessories</t>
  </si>
  <si>
    <t>https://www.dell.com/en-us/shop/dell-universal-dock-ud22/apd/210-bexr/docks</t>
  </si>
  <si>
    <t>https://www.dell.com/en-us/shop/dell-laptops/latitude-5540-laptop/spd/latitude-15-5540-laptop/s119l5540usvp?ref=variantstack</t>
  </si>
  <si>
    <t>done</t>
  </si>
  <si>
    <t>Software/Network per Employee:  Based on Cost Details HVRC-Multiplier-2024.xlsx</t>
  </si>
  <si>
    <t>Increase</t>
  </si>
  <si>
    <t>Notes</t>
  </si>
  <si>
    <t>Adobe Pro</t>
  </si>
  <si>
    <t>Carla's 2023 as baseline for Pro</t>
  </si>
  <si>
    <t>Adobe Standard</t>
  </si>
  <si>
    <t>Mary's 2023 as baseline for Standard</t>
  </si>
  <si>
    <t>BitDefender</t>
  </si>
  <si>
    <t>2024 price based on 8 staff 8</t>
  </si>
  <si>
    <t>MS365</t>
  </si>
  <si>
    <t>2023 payment as baseline based on 9 staff</t>
  </si>
  <si>
    <t>Verizon</t>
  </si>
  <si>
    <t>2024 monthly payment as baseline based on 6 staff phones; does not include cost of phone</t>
  </si>
  <si>
    <t>Zoom</t>
  </si>
  <si>
    <t>2023 payment as baseline based on 6 staff</t>
  </si>
  <si>
    <t>New person @ 100%</t>
  </si>
  <si>
    <t>Total ED</t>
  </si>
  <si>
    <t>ED @3%</t>
  </si>
  <si>
    <t>Total DED</t>
  </si>
  <si>
    <t>DED @5%</t>
  </si>
  <si>
    <t>Total AM&amp;C</t>
  </si>
  <si>
    <t>AM&amp;C @8% yes Adobe Pro, no Zoom</t>
  </si>
  <si>
    <t>Total All Program Staff</t>
  </si>
  <si>
    <t>FORMULAS WONT COPY FROM HEAT PUMP</t>
  </si>
  <si>
    <t>done, see N28. Will add more details in narrative.</t>
  </si>
  <si>
    <t xml:space="preserve">changed description and used your software calcs on the right (heat pump one). Will add more details in narrative. </t>
  </si>
  <si>
    <t>Small Landfill</t>
  </si>
  <si>
    <t>Small Landfills
The $10,000 estimated design cost is for a single sheet with specifications showing a bioberm style of biofilter to be replicated at each of the 13 venting wells. The estimated design cost did include a performance monitoring plan (with triggers for expanding the volume of the biofilter) and an O&amp;M plan (for addressing areas of short-circuiting flow). The estimated cost did not include construction support. The total estimated cost for consultant-led, small landfill biofilter design and construction is approximately $40,000 (+50%/-25%).
The $18,000 estimated monitoring cost was for renting a calibrated 4-gas personal meter and having a qualified individual spend a day conducting the monitoring. The costs did not assume a consultant would conduct the monitoring, manage the data, report the monitoring results, or coordinate with regulatory representatives. The total estimated cost for consultant-led, small landfill biofilter monitoring, data management, and reporting with regulatory coordination is approximately $36,000/year (+50%/-25%).</t>
  </si>
  <si>
    <t>Design and Construction</t>
  </si>
  <si>
    <t>Low is HVRC Staff and/or muni staff constructing with consultant design.</t>
  </si>
  <si>
    <t>Monitoring</t>
  </si>
  <si>
    <t>Low includes HVRC staff and/or muni staff monitoring. Only monitoring for 1 year.</t>
  </si>
  <si>
    <t>communities</t>
  </si>
  <si>
    <t>years of cost</t>
  </si>
  <si>
    <t>Low</t>
  </si>
  <si>
    <t>high</t>
  </si>
  <si>
    <t>low</t>
  </si>
  <si>
    <t>pilot (2)</t>
  </si>
  <si>
    <t>rest (11)</t>
  </si>
  <si>
    <t>Consultant costs for design and construction of biofilters at each landfill</t>
  </si>
  <si>
    <t>less contractual as well, right? I removed contractual entirely, didn't do the $25K subaward thing.</t>
  </si>
  <si>
    <t>Office supplies</t>
  </si>
  <si>
    <t>based on EPA WW</t>
  </si>
  <si>
    <t>ok</t>
  </si>
  <si>
    <t>Train tickets to/from DC</t>
  </si>
  <si>
    <t>Hotel - per diem DC rate @ 2 days per year, 3% increase per year.</t>
  </si>
  <si>
    <t>Per Diem DC - $79 per day @ 1 full day, 59.25 for first and last day of travel, 3% increase per year</t>
  </si>
  <si>
    <t>Taxi - $55 per year, 3% increase per year</t>
  </si>
  <si>
    <t xml:space="preserve">General kind of muni support we travel for  - visits to speak to town boards, help for coordinator, etc. </t>
  </si>
  <si>
    <t xml:space="preserve">No equipment for that. We are hiring it out to a consultant. </t>
  </si>
  <si>
    <t>Y1+Y2</t>
  </si>
  <si>
    <t>Monitoring Events</t>
  </si>
  <si>
    <t>Cost per event</t>
  </si>
  <si>
    <t>landfills</t>
  </si>
  <si>
    <t>total cost of monitoring</t>
  </si>
  <si>
    <t>Y3-5</t>
  </si>
  <si>
    <t>In house Monitoring</t>
  </si>
  <si>
    <t>Staff person</t>
  </si>
  <si>
    <t>Consultant Led Monitoring</t>
  </si>
  <si>
    <t>Ecological restoration of landfill</t>
  </si>
  <si>
    <t xml:space="preserve">Phase 1: </t>
  </si>
  <si>
    <t xml:space="preserve">Let it grow: </t>
  </si>
  <si>
    <t>Trees</t>
  </si>
  <si>
    <t>Pollinators</t>
  </si>
  <si>
    <t>Administrative Manager &amp; Comptroller - 7% of time with 3% increases annually.</t>
  </si>
  <si>
    <t>avg 10 acres/landfill; only 11 interested in pollinator stuff</t>
  </si>
  <si>
    <t>cost per MTCO2e 2025-2050</t>
  </si>
  <si>
    <t>social cost of carbon</t>
  </si>
  <si>
    <t>https://www.imf.org/en/Publications/fandd/issues/2019/12/the-true-cost-of-reducing-greenhouse-gas-emissions-gillingham</t>
  </si>
  <si>
    <t>https://www.epa.gov/system/files/documents/2023-12/epa_scghg_2023_report_final.pdf</t>
  </si>
  <si>
    <t>$50 in US / $75 IMF / $110-$420 EPA</t>
  </si>
  <si>
    <t>changed to 7%</t>
  </si>
  <si>
    <r>
      <t xml:space="preserve">done, hard to say where conference will be. Might be closer, but this is safe. </t>
    </r>
    <r>
      <rPr>
        <b/>
        <sz val="11"/>
        <color theme="1"/>
        <rFont val="Calibri"/>
        <family val="2"/>
        <scheme val="minor"/>
      </rPr>
      <t xml:space="preserve">DOUBLED so both staff can go. </t>
    </r>
  </si>
  <si>
    <t xml:space="preserve">DOUBLED so both staff can go. </t>
  </si>
  <si>
    <t xml:space="preserve">CC: if there s no conference, funds could be removed from grant. DOUBLED so both staff can go. </t>
  </si>
  <si>
    <t>Methane monitoring equipment (each under $5K per unit), calibration gas, etc.</t>
  </si>
  <si>
    <t>GHG Consultant Costs</t>
  </si>
  <si>
    <t>City of Beacon (Dutchess County)</t>
  </si>
  <si>
    <t>Town of Amenia (Dutchess County)</t>
  </si>
  <si>
    <t>Town of Bethel (Sullivan County)</t>
  </si>
  <si>
    <t>Town of Gardiner (Ulster County)</t>
  </si>
  <si>
    <t>Town of Hurley (Ulster County)</t>
  </si>
  <si>
    <t>Town of New Paltz (Ulster County)</t>
  </si>
  <si>
    <t>Town of North East (Dutchess County)</t>
  </si>
  <si>
    <t>Town of Philipstown (Putnam County)</t>
  </si>
  <si>
    <t>Town of Rhinebeck (Dutchess County)</t>
  </si>
  <si>
    <t>Town of Wallkill (Orange County)</t>
  </si>
  <si>
    <t>Town of Woodstock (Ulster County)</t>
  </si>
  <si>
    <t>Village of Mamaroneck (Westchester County)</t>
  </si>
  <si>
    <t>Town of Cornwall (Orange County)</t>
  </si>
  <si>
    <t>Miles</t>
  </si>
  <si>
    <t>Town</t>
  </si>
  <si>
    <t>Address</t>
  </si>
  <si>
    <t>Holloran Rd, Cornwall, NY 12553</t>
  </si>
  <si>
    <t>608 Old White Lake Turnpike, Bethel</t>
  </si>
  <si>
    <t>4541 Route 22
Amenia</t>
  </si>
  <si>
    <t>Dennings Point, Beacon, NY</t>
  </si>
  <si>
    <t>139 Steves Ln, Gardiner, NY 12525</t>
  </si>
  <si>
    <t>1043 Dug Hill Rd, West Hurley, NY 12491</t>
  </si>
  <si>
    <t>Taylors Ln, Mamaroneck, NY 10543</t>
  </si>
  <si>
    <t>99 Clearwater Rd, New Paltz, NY 12561</t>
  </si>
  <si>
    <t>41 Reagan Rd, Millerton, NY 12546</t>
  </si>
  <si>
    <t>https://www.google.com/maps/place/Phillipstown+Recycling+Center/@41.4272891,-73.919362,15z/data=!4m6!3m5!1s0x89dd3549cea20c6b:0x3bca110defa33737!8m2!3d41.4272891!4d-73.919362!16s%2Fg%2F11f6cqjc_5?entry=ttu</t>
  </si>
  <si>
    <t>Rhinebeck Town Recycling Sta, 376 Stone Church Rd, Rhinebeck, NY 12572</t>
  </si>
  <si>
    <t>Tarbell Rd &amp; Banke Rd, Wallkill, NY 10941</t>
  </si>
  <si>
    <t>100 W Saugerties Rd, Woodstock, NY 12498</t>
  </si>
  <si>
    <t>see right</t>
  </si>
  <si>
    <t>HVRC Offices</t>
  </si>
  <si>
    <t>105 Ann Street, Newburgh, NY 12550</t>
  </si>
  <si>
    <t>OSHA HAZWOPER Training</t>
  </si>
  <si>
    <t>PPE Back Up</t>
  </si>
  <si>
    <t>https://www.oshaeducationcenter.com/hazwoper/40-hour-training/</t>
  </si>
  <si>
    <t>OSHA Training</t>
  </si>
  <si>
    <t>https://www.uline.com/BL_941/Hard-Hat</t>
  </si>
  <si>
    <t>Hard Hat</t>
  </si>
  <si>
    <t>https://www.uline.com/BL_1072/Mapa-Trilites-Chemical-Resistant-Gloves</t>
  </si>
  <si>
    <t>Chemical Resistant Gloves</t>
  </si>
  <si>
    <t>&lt;--- gloves for project (2 gloves per landfill visit)</t>
  </si>
  <si>
    <t>gloves per carton</t>
  </si>
  <si>
    <t>cartons</t>
  </si>
  <si>
    <t>https://www.uline.com/Product/Detail/S-14171SM/Safety-Glasses/Redhawk-Safety-Glasses-Smoke-Lens?model=S-14171SM&amp;RootChecked=yes</t>
  </si>
  <si>
    <t>Safety glasses</t>
  </si>
  <si>
    <t>disposable industrial respirators</t>
  </si>
  <si>
    <t>https://www.uline.com/BL_1081/Uline-Industrial-Respirators</t>
  </si>
  <si>
    <t>glasses</t>
  </si>
  <si>
    <t>per carton</t>
  </si>
  <si>
    <t>hi-vis vest</t>
  </si>
  <si>
    <t>https://www.uline.com/BL_977/General-Purpose-Hi-Vis-Safety-Vests</t>
  </si>
  <si>
    <t>pack of 2</t>
  </si>
  <si>
    <t>steel/composite toe boots</t>
  </si>
  <si>
    <t>https://www.zappos.com/p/timberland-pro-sawhorse-6-composite-safety-toe-wheat-1/product/9498808/color/465672?utm_source=google&amp;utm_medium=pla_g&amp;utm_campaign=19809367163&amp;utm_term=_o_58438672&amp;utm_content=_g_143774772901_w_pla-1969145195235_l_CjwKCAjw5ImwBhBtEiwAFHDZx05Z7uGxSGfv_tmAuyC6TCFPirNyvBYmtRDlWFi-kVd0qg8lD_CVqxoCwDcQAvD_BwE&amp;gclid=CjwKCAjw5ImwBhBtEiwAFHDZx05Z7uGxSGfv_tmAuyC6TCFPirNyvBYmtRDlWFi-kVd0qg8lD_CVqxoCwDcQAvD_BwE</t>
  </si>
  <si>
    <t>replacements</t>
  </si>
  <si>
    <t>PPE Totals</t>
  </si>
  <si>
    <t>hard hats</t>
  </si>
  <si>
    <t>gloves</t>
  </si>
  <si>
    <t>respirators</t>
  </si>
  <si>
    <t>vests</t>
  </si>
  <si>
    <t>boots</t>
  </si>
  <si>
    <t xml:space="preserve">PPE (Level D: vests, masks, boots, gloves, hard hat, glasses) </t>
  </si>
  <si>
    <t>Fringe Rates</t>
  </si>
  <si>
    <t>ED</t>
  </si>
  <si>
    <t>DED</t>
  </si>
  <si>
    <t>AM</t>
  </si>
  <si>
    <t>PM</t>
  </si>
  <si>
    <t>PC</t>
  </si>
  <si>
    <t>Total Individual New Staff</t>
  </si>
  <si>
    <t>GHG Emissions consultant</t>
  </si>
  <si>
    <t>Mid-Hudson Municipal Landfill Emissions Mitigation</t>
  </si>
  <si>
    <t>x</t>
  </si>
  <si>
    <t>Executive Director - % of Program salary: 70%, 71%, 73%, 74%, 75%</t>
  </si>
  <si>
    <t>Deputy Executive Director - % of Program salary:  39%, 39%, 40%, 41%, 41%</t>
  </si>
  <si>
    <t>Administrative Manager &amp; Comptroller - % of Program salary:  81%, 81%, 83%, 87%, 89%</t>
  </si>
  <si>
    <t>Program Manager - % of Program salary:  85%, 86%, 88%, 91%, 93%</t>
  </si>
  <si>
    <t>start up costs for 1 staff</t>
  </si>
  <si>
    <t>2 new staff anticipated</t>
  </si>
  <si>
    <t xml:space="preserve">Software for program personnel (zoom, MS365, adobe, verizon, bitdefender) </t>
  </si>
  <si>
    <t>avg cost/muni</t>
  </si>
  <si>
    <t>avg cost/muni/acre</t>
  </si>
  <si>
    <t>Start Up Costs for 2 new employee (computer, monitors, docking port, keyboard, mouse, surge protector, desk, phone)</t>
  </si>
  <si>
    <t>Program Coordinator - 100% of time with 3% salary increases annually.</t>
  </si>
  <si>
    <t>Program Coordinator - % of Program salary: 96%, 98%, 101%, 105%, 108%</t>
  </si>
  <si>
    <t xml:space="preserve">Deputy Executive Director - 5% of time with 3% salary increases annually. </t>
  </si>
  <si>
    <r>
      <rPr>
        <strike/>
        <sz val="11"/>
        <color theme="1"/>
        <rFont val="Calibri"/>
        <family val="2"/>
        <scheme val="minor"/>
      </rPr>
      <t>less equipment; not sure if the $25K applies here</t>
    </r>
    <r>
      <rPr>
        <sz val="11"/>
        <color theme="1"/>
        <rFont val="Calibri"/>
        <family val="2"/>
        <scheme val="minor"/>
      </rPr>
      <t xml:space="preserve">
--&gt;why excluded OSHA training? &lt;--added back in</t>
    </r>
  </si>
  <si>
    <r>
      <rPr>
        <strike/>
        <sz val="11"/>
        <color theme="1"/>
        <rFont val="Calibri"/>
        <family val="2"/>
        <scheme val="minor"/>
      </rPr>
      <t>Should start @60K?  See Heatpumps note.</t>
    </r>
    <r>
      <rPr>
        <sz val="11"/>
        <color theme="1"/>
        <rFont val="Calibri"/>
        <family val="2"/>
        <scheme val="minor"/>
      </rPr>
      <t xml:space="preserve">
--&gt;because of how expensive the 2 staff combined will be, now I am wondering if this should be a BA science degree just out of college person at $50-55K; see HVRC-2024Salaries--Proposed.xlsx that I put in your One-Off folder. &lt;--landed on $55K</t>
    </r>
  </si>
  <si>
    <t>Dutchess County</t>
  </si>
  <si>
    <t xml:space="preserve">Dutchess County Airport, Route 376, Wappingers Falls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</si>
</sst>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_([$$-409]* #,##0.00_);_([$$-409]* \(#,##0.00\);_([$$-409]* &quot;-&quot;??_);_(@_)"/>
    <numFmt numFmtId="167" formatCode="&quot;$&quot;#,##0"/>
    <numFmt numFmtId="168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1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223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2" fillId="0" borderId="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164" fontId="0" fillId="0" borderId="0" xfId="1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3" fillId="2" borderId="8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 wrapText="1"/>
    </xf>
    <xf numFmtId="0" fontId="10" fillId="3" borderId="14" xfId="0" applyFont="1" applyFill="1" applyBorder="1" applyAlignment="1">
      <alignment vertical="center" wrapText="1"/>
    </xf>
    <xf numFmtId="0" fontId="10" fillId="3" borderId="15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7" fillId="7" borderId="1" xfId="0" applyFont="1" applyFill="1" applyBorder="1" applyAlignment="1">
      <alignment vertical="center" wrapText="1"/>
    </xf>
    <xf numFmtId="6" fontId="9" fillId="7" borderId="1" xfId="0" applyNumberFormat="1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10" fillId="3" borderId="20" xfId="0" applyFont="1" applyFill="1" applyBorder="1" applyAlignment="1">
      <alignment vertical="center" wrapText="1"/>
    </xf>
    <xf numFmtId="0" fontId="22" fillId="0" borderId="0" xfId="0" applyFont="1" applyAlignment="1">
      <alignment vertical="center" wrapText="1"/>
    </xf>
    <xf numFmtId="6" fontId="9" fillId="7" borderId="8" xfId="0" applyNumberFormat="1" applyFont="1" applyFill="1" applyBorder="1" applyAlignment="1">
      <alignment vertical="center" wrapText="1"/>
    </xf>
    <xf numFmtId="0" fontId="19" fillId="8" borderId="0" xfId="0" applyFont="1" applyFill="1" applyAlignment="1">
      <alignment vertical="center"/>
    </xf>
    <xf numFmtId="6" fontId="19" fillId="7" borderId="8" xfId="0" applyNumberFormat="1" applyFont="1" applyFill="1" applyBorder="1" applyAlignment="1">
      <alignment vertical="center" wrapText="1"/>
    </xf>
    <xf numFmtId="6" fontId="20" fillId="7" borderId="8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6" fontId="20" fillId="4" borderId="1" xfId="0" applyNumberFormat="1" applyFont="1" applyFill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19" fillId="0" borderId="29" xfId="0" applyFont="1" applyBorder="1" applyAlignment="1">
      <alignment vertical="center"/>
    </xf>
    <xf numFmtId="6" fontId="19" fillId="7" borderId="1" xfId="0" applyNumberFormat="1" applyFont="1" applyFill="1" applyBorder="1" applyAlignment="1">
      <alignment vertical="center"/>
    </xf>
    <xf numFmtId="6" fontId="20" fillId="7" borderId="1" xfId="0" applyNumberFormat="1" applyFont="1" applyFill="1" applyBorder="1" applyAlignment="1">
      <alignment vertical="center"/>
    </xf>
    <xf numFmtId="6" fontId="19" fillId="4" borderId="1" xfId="0" applyNumberFormat="1" applyFont="1" applyFill="1" applyBorder="1" applyAlignment="1">
      <alignment vertical="center"/>
    </xf>
    <xf numFmtId="6" fontId="20" fillId="0" borderId="19" xfId="0" applyNumberFormat="1" applyFont="1" applyBorder="1" applyAlignment="1">
      <alignment vertical="center"/>
    </xf>
    <xf numFmtId="0" fontId="0" fillId="0" borderId="0" xfId="0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9" borderId="0" xfId="0" applyFont="1" applyFill="1" applyAlignment="1">
      <alignment vertical="center" wrapText="1"/>
    </xf>
    <xf numFmtId="0" fontId="2" fillId="10" borderId="0" xfId="0" applyFont="1" applyFill="1" applyAlignment="1">
      <alignment vertical="center" wrapText="1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1" xfId="0" applyBorder="1" applyAlignment="1">
      <alignment vertical="center"/>
    </xf>
    <xf numFmtId="44" fontId="0" fillId="0" borderId="22" xfId="1" applyFont="1" applyBorder="1" applyAlignment="1" applyProtection="1">
      <alignment vertical="center"/>
    </xf>
    <xf numFmtId="9" fontId="0" fillId="0" borderId="1" xfId="0" applyNumberForma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44" fontId="0" fillId="0" borderId="25" xfId="1" applyFont="1" applyBorder="1" applyAlignment="1" applyProtection="1">
      <alignment vertical="center"/>
    </xf>
    <xf numFmtId="0" fontId="0" fillId="0" borderId="26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21" fillId="0" borderId="1" xfId="3" applyBorder="1" applyAlignment="1" applyProtection="1">
      <alignment horizontal="left" vertical="center"/>
    </xf>
    <xf numFmtId="0" fontId="0" fillId="0" borderId="25" xfId="0" applyBorder="1" applyAlignment="1">
      <alignment vertical="center"/>
    </xf>
    <xf numFmtId="0" fontId="0" fillId="0" borderId="2" xfId="0" applyBorder="1" applyAlignment="1">
      <alignment vertical="center"/>
    </xf>
    <xf numFmtId="44" fontId="0" fillId="0" borderId="30" xfId="1" applyFont="1" applyBorder="1" applyAlignment="1" applyProtection="1">
      <alignment vertical="center"/>
    </xf>
    <xf numFmtId="44" fontId="0" fillId="0" borderId="31" xfId="1" applyFont="1" applyBorder="1" applyAlignment="1" applyProtection="1">
      <alignment vertical="center"/>
    </xf>
    <xf numFmtId="44" fontId="0" fillId="0" borderId="32" xfId="1" applyFont="1" applyBorder="1" applyAlignment="1" applyProtection="1">
      <alignment vertical="center"/>
    </xf>
    <xf numFmtId="6" fontId="0" fillId="0" borderId="1" xfId="0" applyNumberFormat="1" applyBorder="1" applyAlignment="1">
      <alignment vertical="center"/>
    </xf>
    <xf numFmtId="0" fontId="21" fillId="0" borderId="1" xfId="3" applyBorder="1" applyAlignment="1" applyProtection="1">
      <alignment vertical="center"/>
    </xf>
    <xf numFmtId="44" fontId="0" fillId="0" borderId="1" xfId="0" applyNumberFormat="1" applyBorder="1" applyAlignment="1">
      <alignment vertical="center"/>
    </xf>
    <xf numFmtId="44" fontId="0" fillId="0" borderId="1" xfId="1" applyFont="1" applyBorder="1" applyAlignment="1" applyProtection="1">
      <alignment vertical="center"/>
    </xf>
    <xf numFmtId="6" fontId="2" fillId="0" borderId="1" xfId="0" applyNumberFormat="1" applyFont="1" applyBorder="1" applyAlignment="1">
      <alignment vertical="center"/>
    </xf>
    <xf numFmtId="44" fontId="0" fillId="0" borderId="0" xfId="1" applyFont="1" applyAlignment="1" applyProtection="1">
      <alignment vertical="center"/>
    </xf>
    <xf numFmtId="0" fontId="0" fillId="0" borderId="0" xfId="0" quotePrefix="1" applyAlignment="1">
      <alignment vertical="center" wrapText="1"/>
    </xf>
    <xf numFmtId="0" fontId="2" fillId="0" borderId="0" xfId="0" applyFont="1" applyAlignment="1">
      <alignment vertical="center" wrapText="1"/>
    </xf>
    <xf numFmtId="44" fontId="0" fillId="0" borderId="27" xfId="1" applyFont="1" applyBorder="1" applyAlignment="1" applyProtection="1">
      <alignment vertical="center"/>
    </xf>
    <xf numFmtId="0" fontId="2" fillId="0" borderId="26" xfId="0" applyFont="1" applyBorder="1" applyAlignment="1">
      <alignment vertical="center" wrapText="1"/>
    </xf>
    <xf numFmtId="44" fontId="0" fillId="0" borderId="0" xfId="1" applyFont="1" applyBorder="1" applyAlignment="1" applyProtection="1">
      <alignment vertical="center"/>
    </xf>
    <xf numFmtId="165" fontId="0" fillId="0" borderId="28" xfId="0" applyNumberFormat="1" applyBorder="1" applyAlignment="1">
      <alignment vertical="center"/>
    </xf>
    <xf numFmtId="166" fontId="0" fillId="0" borderId="0" xfId="0" applyNumberFormat="1" applyAlignment="1">
      <alignment vertical="center"/>
    </xf>
    <xf numFmtId="165" fontId="0" fillId="0" borderId="22" xfId="0" applyNumberFormat="1" applyBorder="1" applyAlignment="1">
      <alignment vertical="center"/>
    </xf>
    <xf numFmtId="165" fontId="0" fillId="0" borderId="25" xfId="0" applyNumberFormat="1" applyBorder="1" applyAlignment="1">
      <alignment vertical="center"/>
    </xf>
    <xf numFmtId="44" fontId="0" fillId="0" borderId="0" xfId="1" applyFont="1" applyAlignment="1" applyProtection="1">
      <alignment vertical="center" wrapText="1"/>
    </xf>
    <xf numFmtId="166" fontId="0" fillId="0" borderId="29" xfId="0" applyNumberFormat="1" applyBorder="1" applyAlignment="1">
      <alignment vertical="center"/>
    </xf>
    <xf numFmtId="0" fontId="0" fillId="0" borderId="23" xfId="0" applyBorder="1" applyAlignment="1">
      <alignment vertical="center" wrapText="1"/>
    </xf>
    <xf numFmtId="166" fontId="0" fillId="0" borderId="24" xfId="0" applyNumberForma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6" fontId="0" fillId="0" borderId="0" xfId="0" applyNumberFormat="1" applyAlignment="1">
      <alignment vertical="center" wrapText="1"/>
    </xf>
    <xf numFmtId="0" fontId="2" fillId="0" borderId="22" xfId="0" applyFont="1" applyBorder="1" applyAlignment="1">
      <alignment vertical="center"/>
    </xf>
    <xf numFmtId="44" fontId="2" fillId="0" borderId="0" xfId="1" applyFont="1" applyAlignment="1" applyProtection="1">
      <alignment vertical="center"/>
    </xf>
    <xf numFmtId="0" fontId="2" fillId="0" borderId="23" xfId="0" applyFont="1" applyBorder="1" applyAlignment="1">
      <alignment vertical="center"/>
    </xf>
    <xf numFmtId="44" fontId="2" fillId="0" borderId="24" xfId="1" applyFont="1" applyBorder="1" applyAlignment="1" applyProtection="1">
      <alignment vertical="center"/>
    </xf>
    <xf numFmtId="0" fontId="0" fillId="0" borderId="1" xfId="0" applyBorder="1" applyAlignment="1">
      <alignment wrapText="1"/>
    </xf>
    <xf numFmtId="167" fontId="0" fillId="0" borderId="1" xfId="0" applyNumberFormat="1" applyBorder="1"/>
    <xf numFmtId="167" fontId="0" fillId="0" borderId="0" xfId="0" applyNumberForma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164" fontId="0" fillId="0" borderId="0" xfId="1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3" fillId="5" borderId="8" xfId="0" applyFont="1" applyFill="1" applyBorder="1" applyAlignment="1" applyProtection="1">
      <alignment vertical="center"/>
      <protection locked="0"/>
    </xf>
    <xf numFmtId="0" fontId="1" fillId="5" borderId="7" xfId="0" applyFont="1" applyFill="1" applyBorder="1" applyAlignment="1" applyProtection="1">
      <alignment vertical="center" wrapText="1"/>
      <protection locked="0"/>
    </xf>
    <xf numFmtId="0" fontId="1" fillId="5" borderId="7" xfId="0" applyFont="1" applyFill="1" applyBorder="1" applyAlignment="1" applyProtection="1">
      <alignment vertical="center"/>
      <protection locked="0"/>
    </xf>
    <xf numFmtId="0" fontId="1" fillId="5" borderId="6" xfId="0" applyFont="1" applyFill="1" applyBorder="1" applyAlignment="1" applyProtection="1">
      <alignment vertical="center"/>
      <protection locked="0"/>
    </xf>
    <xf numFmtId="0" fontId="10" fillId="6" borderId="13" xfId="0" applyFont="1" applyFill="1" applyBorder="1" applyAlignment="1" applyProtection="1">
      <alignment vertical="center" wrapText="1"/>
      <protection locked="0"/>
    </xf>
    <xf numFmtId="0" fontId="10" fillId="6" borderId="13" xfId="0" applyFont="1" applyFill="1" applyBorder="1" applyAlignment="1" applyProtection="1">
      <alignment vertical="center"/>
      <protection locked="0"/>
    </xf>
    <xf numFmtId="0" fontId="10" fillId="6" borderId="14" xfId="0" applyFont="1" applyFill="1" applyBorder="1" applyAlignment="1" applyProtection="1">
      <alignment vertical="center"/>
      <protection locked="0"/>
    </xf>
    <xf numFmtId="0" fontId="10" fillId="6" borderId="15" xfId="0" applyFont="1" applyFill="1" applyBorder="1" applyAlignment="1" applyProtection="1">
      <alignment vertical="center"/>
      <protection locked="0"/>
    </xf>
    <xf numFmtId="0" fontId="10" fillId="6" borderId="3" xfId="0" applyFont="1" applyFill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 applyProtection="1">
      <alignment vertical="center" wrapText="1"/>
      <protection locked="0"/>
    </xf>
    <xf numFmtId="3" fontId="19" fillId="0" borderId="1" xfId="0" applyNumberFormat="1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6" fontId="19" fillId="0" borderId="1" xfId="0" applyNumberFormat="1" applyFont="1" applyBorder="1" applyAlignment="1" applyProtection="1">
      <alignment vertical="center"/>
      <protection locked="0"/>
    </xf>
    <xf numFmtId="3" fontId="19" fillId="0" borderId="0" xfId="0" applyNumberFormat="1" applyFont="1" applyAlignment="1" applyProtection="1">
      <alignment vertical="center"/>
      <protection locked="0"/>
    </xf>
    <xf numFmtId="6" fontId="19" fillId="0" borderId="0" xfId="0" applyNumberFormat="1" applyFont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vertical="center" wrapText="1"/>
      <protection locked="0"/>
    </xf>
    <xf numFmtId="167" fontId="20" fillId="4" borderId="1" xfId="0" applyNumberFormat="1" applyFont="1" applyFill="1" applyBorder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6" fontId="20" fillId="4" borderId="1" xfId="0" applyNumberFormat="1" applyFont="1" applyFill="1" applyBorder="1" applyAlignment="1" applyProtection="1">
      <alignment vertical="center"/>
      <protection locked="0"/>
    </xf>
    <xf numFmtId="0" fontId="10" fillId="0" borderId="8" xfId="0" applyFont="1" applyBorder="1" applyAlignment="1" applyProtection="1">
      <alignment vertical="center" wrapText="1"/>
      <protection locked="0"/>
    </xf>
    <xf numFmtId="4" fontId="9" fillId="0" borderId="7" xfId="0" applyNumberFormat="1" applyFont="1" applyBorder="1" applyAlignment="1" applyProtection="1">
      <alignment vertical="center"/>
      <protection locked="0"/>
    </xf>
    <xf numFmtId="4" fontId="7" fillId="0" borderId="7" xfId="0" applyNumberFormat="1" applyFont="1" applyBorder="1" applyAlignment="1" applyProtection="1">
      <alignment vertical="center"/>
      <protection locked="0"/>
    </xf>
    <xf numFmtId="4" fontId="7" fillId="0" borderId="6" xfId="0" applyNumberFormat="1" applyFont="1" applyBorder="1" applyAlignment="1" applyProtection="1">
      <alignment vertical="center"/>
      <protection locked="0"/>
    </xf>
    <xf numFmtId="4" fontId="19" fillId="0" borderId="7" xfId="0" applyNumberFormat="1" applyFont="1" applyBorder="1" applyAlignment="1" applyProtection="1">
      <alignment vertical="center"/>
      <protection locked="0"/>
    </xf>
    <xf numFmtId="4" fontId="19" fillId="0" borderId="6" xfId="0" applyNumberFormat="1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vertical="center"/>
      <protection locked="0"/>
    </xf>
    <xf numFmtId="6" fontId="9" fillId="0" borderId="7" xfId="0" applyNumberFormat="1" applyFont="1" applyBorder="1" applyAlignment="1" applyProtection="1">
      <alignment vertical="center"/>
      <protection locked="0"/>
    </xf>
    <xf numFmtId="6" fontId="9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vertical="center"/>
      <protection locked="0"/>
    </xf>
    <xf numFmtId="6" fontId="20" fillId="4" borderId="4" xfId="0" applyNumberFormat="1" applyFont="1" applyFill="1" applyBorder="1" applyAlignment="1" applyProtection="1">
      <alignment vertical="center"/>
      <protection locked="0"/>
    </xf>
    <xf numFmtId="0" fontId="19" fillId="0" borderId="7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168" fontId="19" fillId="0" borderId="1" xfId="4" applyNumberFormat="1" applyFont="1" applyBorder="1" applyAlignment="1" applyProtection="1">
      <alignment vertical="center"/>
      <protection locked="0"/>
    </xf>
    <xf numFmtId="6" fontId="7" fillId="0" borderId="0" xfId="0" applyNumberFormat="1" applyFont="1" applyAlignment="1" applyProtection="1">
      <alignment vertical="center"/>
      <protection locked="0"/>
    </xf>
    <xf numFmtId="168" fontId="0" fillId="0" borderId="0" xfId="4" applyNumberFormat="1" applyFont="1" applyAlignment="1" applyProtection="1">
      <alignment vertical="center"/>
      <protection locked="0"/>
    </xf>
    <xf numFmtId="168" fontId="15" fillId="0" borderId="1" xfId="4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0" fillId="0" borderId="33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vertical="center"/>
      <protection locked="0"/>
    </xf>
    <xf numFmtId="0" fontId="10" fillId="0" borderId="11" xfId="0" applyFont="1" applyBorder="1" applyAlignment="1" applyProtection="1">
      <alignment vertical="center" wrapText="1"/>
      <protection locked="0"/>
    </xf>
    <xf numFmtId="6" fontId="20" fillId="0" borderId="12" xfId="0" applyNumberFormat="1" applyFont="1" applyBorder="1" applyAlignment="1" applyProtection="1">
      <alignment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8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9" fontId="9" fillId="7" borderId="1" xfId="2" applyFont="1" applyFill="1" applyBorder="1" applyAlignment="1">
      <alignment horizontal="center" vertical="center" wrapText="1"/>
    </xf>
    <xf numFmtId="9" fontId="20" fillId="7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9" fontId="19" fillId="7" borderId="1" xfId="2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168" fontId="20" fillId="4" borderId="1" xfId="0" applyNumberFormat="1" applyFont="1" applyFill="1" applyBorder="1" applyAlignment="1" applyProtection="1">
      <alignment vertical="center"/>
      <protection locked="0"/>
    </xf>
  </cellXfs>
  <cellStyles count="5">
    <cellStyle name="Comma" xfId="4" builtinId="3"/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vrc.sharepoint.com/sites/TeamHVRC-Personnel--EleanorPeck/Shared%20Documents/Personnel--EleanorPeck/WorkingFolder/Grant%20Apps/EPA%20CPRG/HVRC-Multiplier-2025_2026_2027_2028_2029-EPACPRG-cc.xlsx" TargetMode="External"/><Relationship Id="rId1" Type="http://schemas.openxmlformats.org/officeDocument/2006/relationships/externalLinkPath" Target="HVRC-Multiplier-2025_2026_2027_2028_2029-EPACPRG-cc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vrc.sharepoint.com/sites/TeamHVRC-Personnel--EleanorPeck/Shared%20Documents/Personnel--EleanorPeck/WorkingFolder/Grant%20Apps/EPA%20CPRG/Budgetcalcs_HVRC-HP.xlsx" TargetMode="External"/><Relationship Id="rId1" Type="http://schemas.openxmlformats.org/officeDocument/2006/relationships/externalLinkPath" Target="Budgetcalcs_HVRC-H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acking"/>
      <sheetName val="Base-EPACPRG2025"/>
      <sheetName val="Base-EPACPRG2026"/>
      <sheetName val="Base-EPACPRG2027"/>
      <sheetName val="Base-EPACPRG2028"/>
      <sheetName val="Base-EPACPRG2029"/>
    </sheetNames>
    <sheetDataSet>
      <sheetData sheetId="0"/>
      <sheetData sheetId="1">
        <row r="17">
          <cell r="E17">
            <v>103000</v>
          </cell>
          <cell r="F17">
            <v>77250</v>
          </cell>
          <cell r="G17">
            <v>75000</v>
          </cell>
          <cell r="L17">
            <v>70000</v>
          </cell>
          <cell r="M17">
            <v>55000</v>
          </cell>
        </row>
        <row r="51">
          <cell r="E51">
            <v>0.7</v>
          </cell>
          <cell r="F51">
            <v>0.39</v>
          </cell>
          <cell r="G51">
            <v>0.81</v>
          </cell>
          <cell r="L51">
            <v>0.85</v>
          </cell>
          <cell r="M51">
            <v>0.96</v>
          </cell>
        </row>
      </sheetData>
      <sheetData sheetId="2">
        <row r="17">
          <cell r="E17">
            <v>106090</v>
          </cell>
          <cell r="F17">
            <v>79567.5</v>
          </cell>
          <cell r="G17">
            <v>77250</v>
          </cell>
          <cell r="L17">
            <v>72100</v>
          </cell>
          <cell r="M17">
            <v>56650</v>
          </cell>
        </row>
        <row r="51">
          <cell r="E51">
            <v>0.71</v>
          </cell>
          <cell r="F51">
            <v>0.39</v>
          </cell>
          <cell r="G51">
            <v>0.81</v>
          </cell>
          <cell r="L51">
            <v>0.86</v>
          </cell>
          <cell r="M51">
            <v>0.98</v>
          </cell>
        </row>
      </sheetData>
      <sheetData sheetId="3">
        <row r="17">
          <cell r="E17">
            <v>109272.7</v>
          </cell>
          <cell r="F17">
            <v>81954.525000000009</v>
          </cell>
          <cell r="G17">
            <v>79567.5</v>
          </cell>
          <cell r="L17">
            <v>74263</v>
          </cell>
          <cell r="M17">
            <v>58349.5</v>
          </cell>
        </row>
        <row r="51">
          <cell r="E51">
            <v>0.73</v>
          </cell>
          <cell r="F51">
            <v>0.4</v>
          </cell>
          <cell r="G51">
            <v>0.83</v>
          </cell>
          <cell r="L51">
            <v>0.88</v>
          </cell>
          <cell r="M51">
            <v>1.01</v>
          </cell>
        </row>
      </sheetData>
      <sheetData sheetId="4">
        <row r="17">
          <cell r="E17">
            <v>112550.88099999999</v>
          </cell>
          <cell r="F17">
            <v>84413.16075000001</v>
          </cell>
          <cell r="G17">
            <v>81954.525000000009</v>
          </cell>
          <cell r="L17">
            <v>76490.89</v>
          </cell>
          <cell r="M17">
            <v>60099.985000000001</v>
          </cell>
        </row>
        <row r="51">
          <cell r="E51">
            <v>0.74</v>
          </cell>
          <cell r="F51">
            <v>0.41</v>
          </cell>
          <cell r="G51">
            <v>0.87</v>
          </cell>
          <cell r="L51">
            <v>0.91</v>
          </cell>
          <cell r="M51">
            <v>1.05</v>
          </cell>
        </row>
      </sheetData>
      <sheetData sheetId="5">
        <row r="17">
          <cell r="E17">
            <v>115927.40742999999</v>
          </cell>
          <cell r="F17">
            <v>86945.555572500016</v>
          </cell>
          <cell r="G17">
            <v>84413.16075000001</v>
          </cell>
          <cell r="L17">
            <v>78785.616699999999</v>
          </cell>
          <cell r="M17">
            <v>61902.984550000001</v>
          </cell>
        </row>
        <row r="51">
          <cell r="E51">
            <v>0.75</v>
          </cell>
          <cell r="F51">
            <v>0.41</v>
          </cell>
          <cell r="G51">
            <v>0.89</v>
          </cell>
          <cell r="L51">
            <v>0.93</v>
          </cell>
          <cell r="M51">
            <v>1.08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verview"/>
      <sheetName val="Consolidated Budget"/>
      <sheetName val="Measure 1 Budget"/>
      <sheetName val="Measure 2 Budget"/>
      <sheetName val="Measure 3 Budget"/>
      <sheetName val="Measure 4 Budget"/>
      <sheetName val="Measure 5 Budget"/>
      <sheetName val="Sample Budget 1"/>
      <sheetName val="Sample Budget 2"/>
      <sheetName val="Sample Budget 3"/>
    </sheetNames>
    <sheetDataSet>
      <sheetData sheetId="0"/>
      <sheetData sheetId="1"/>
      <sheetData sheetId="2">
        <row r="35">
          <cell r="X35">
            <v>1151</v>
          </cell>
          <cell r="Y35">
            <v>1308</v>
          </cell>
          <cell r="Z35">
            <v>1499</v>
          </cell>
          <cell r="AA35">
            <v>1733</v>
          </cell>
          <cell r="AB35">
            <v>2025</v>
          </cell>
        </row>
        <row r="39">
          <cell r="X39">
            <v>1313</v>
          </cell>
          <cell r="Y39">
            <v>1493</v>
          </cell>
          <cell r="Z39">
            <v>1713</v>
          </cell>
          <cell r="AA39">
            <v>1983</v>
          </cell>
          <cell r="AB39">
            <v>2320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oshaeducationcenter.com/hazwoper/40-hour-training/" TargetMode="External"/><Relationship Id="rId1" Type="http://schemas.openxmlformats.org/officeDocument/2006/relationships/hyperlink" Target="https://www.google.com/maps/place/Phillipstown+Recycling+Center/@41.4272891,-73.919362,15z/data=!4m6!3m5!1s0x89dd3549cea20c6b:0x3bca110defa33737!8m2!3d41.4272891!4d-73.919362!16s%2Fg%2F11f6cqjc_5?entry=tt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G43" sqref="G43"/>
    </sheetView>
  </sheetViews>
  <sheetFormatPr defaultRowHeight="14.4" x14ac:dyDescent="0.3"/>
  <cols>
    <col min="1" max="1" width="1.88671875" customWidth="1"/>
    <col min="5" max="5" width="13.44140625" bestFit="1" customWidth="1"/>
    <col min="6" max="6" width="14.44140625" bestFit="1" customWidth="1"/>
    <col min="7" max="9" width="14.44140625" customWidth="1"/>
    <col min="10" max="10" width="10.886718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48"/>
      <c r="R28" s="4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P22" sqref="P22"/>
      <selection pane="topRight" activeCell="P22" sqref="P22"/>
      <selection pane="bottomLeft" activeCell="P22" sqref="P22"/>
      <selection pane="bottomRight" activeCell="P22" sqref="P22"/>
    </sheetView>
  </sheetViews>
  <sheetFormatPr defaultColWidth="9.109375" defaultRowHeight="14.4" x14ac:dyDescent="0.3"/>
  <cols>
    <col min="1" max="1" width="3.109375" customWidth="1"/>
    <col min="2" max="2" width="12.109375" customWidth="1"/>
    <col min="3" max="3" width="52.8867187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88671875" style="7" customWidth="1"/>
    <col min="10" max="10" width="13.554687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8" x14ac:dyDescent="0.3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48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3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3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70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3">
      <c r="B23" s="23"/>
      <c r="C23" s="29" t="s">
        <v>53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3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 t="s">
        <v>58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28.8" x14ac:dyDescent="0.3">
      <c r="B37" s="23"/>
      <c r="C37" s="46" t="s">
        <v>71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 t="s">
        <v>72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3">
      <c r="B39" s="23"/>
      <c r="C39" s="25" t="s">
        <v>73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3">
      <c r="B40" s="23"/>
      <c r="C40" s="25" t="s">
        <v>74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3">
      <c r="B41" s="23"/>
      <c r="C41" s="25" t="s">
        <v>75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3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28.8" x14ac:dyDescent="0.3">
      <c r="B44" s="23"/>
      <c r="C44" s="25" t="s">
        <v>76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3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28.8" x14ac:dyDescent="0.3">
      <c r="B54" s="23"/>
      <c r="C54" s="25" t="s">
        <v>77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3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Normal="100" workbookViewId="0">
      <selection activeCell="P11" sqref="P11"/>
    </sheetView>
  </sheetViews>
  <sheetFormatPr defaultColWidth="9.109375" defaultRowHeight="15" customHeight="1" x14ac:dyDescent="0.3"/>
  <cols>
    <col min="1" max="1" width="3.109375" style="52" customWidth="1"/>
    <col min="2" max="2" width="12.109375" style="52" customWidth="1"/>
    <col min="3" max="3" width="29.109375" style="52" customWidth="1"/>
    <col min="4" max="4" width="12.88671875" style="52" bestFit="1" customWidth="1"/>
    <col min="5" max="5" width="11.88671875" style="54" customWidth="1"/>
    <col min="6" max="6" width="12.109375" style="52" customWidth="1"/>
    <col min="7" max="7" width="11.44140625" style="52" customWidth="1"/>
    <col min="8" max="8" width="12" style="54" customWidth="1"/>
    <col min="9" max="9" width="3.5546875" style="55" customWidth="1"/>
    <col min="10" max="10" width="12.6640625" style="52" bestFit="1" customWidth="1"/>
    <col min="11" max="11" width="10.109375" style="52" customWidth="1"/>
    <col min="12" max="13" width="9.109375" style="52"/>
    <col min="14" max="14" width="11.88671875" style="52" bestFit="1" customWidth="1"/>
    <col min="15" max="16384" width="9.109375" style="52"/>
  </cols>
  <sheetData>
    <row r="2" spans="2:39" ht="23.4" x14ac:dyDescent="0.3">
      <c r="B2" s="53" t="s">
        <v>0</v>
      </c>
    </row>
    <row r="3" spans="2:39" ht="26.4" customHeight="1" x14ac:dyDescent="0.3">
      <c r="B3" s="212" t="s">
        <v>1</v>
      </c>
      <c r="C3" s="212"/>
      <c r="D3" s="212"/>
      <c r="E3" s="212"/>
      <c r="F3" s="212"/>
      <c r="G3" s="212"/>
      <c r="H3" s="212"/>
      <c r="I3" s="212"/>
      <c r="J3" s="212"/>
    </row>
    <row r="4" spans="2:39" ht="15" customHeight="1" x14ac:dyDescent="0.3">
      <c r="B4" s="56"/>
    </row>
    <row r="5" spans="2:39" ht="18" x14ac:dyDescent="0.3">
      <c r="B5" s="64" t="s">
        <v>2</v>
      </c>
      <c r="C5" s="65"/>
      <c r="D5" s="65"/>
      <c r="E5" s="65"/>
      <c r="F5" s="65"/>
      <c r="G5" s="65"/>
      <c r="H5" s="65"/>
      <c r="I5" s="65"/>
      <c r="J5" s="80"/>
    </row>
    <row r="6" spans="2:39" ht="17.100000000000001" customHeight="1" x14ac:dyDescent="0.3">
      <c r="B6" s="66" t="s">
        <v>3</v>
      </c>
      <c r="C6" s="66" t="s">
        <v>4</v>
      </c>
      <c r="D6" s="66" t="s">
        <v>5</v>
      </c>
      <c r="E6" s="67" t="s">
        <v>6</v>
      </c>
      <c r="F6" s="67" t="s">
        <v>7</v>
      </c>
      <c r="G6" s="67" t="s">
        <v>8</v>
      </c>
      <c r="H6" s="68" t="s">
        <v>9</v>
      </c>
      <c r="I6" s="77"/>
      <c r="J6" s="69" t="s">
        <v>10</v>
      </c>
    </row>
    <row r="7" spans="2:39" s="56" customFormat="1" ht="14.4" x14ac:dyDescent="0.3">
      <c r="B7" s="70" t="s">
        <v>11</v>
      </c>
      <c r="C7" s="71" t="s">
        <v>12</v>
      </c>
      <c r="D7" s="85">
        <f>'Measure 1 Budget'!D13+'Measure 2 Budget'!D11+'Measure 3 Budget'!D11+'Measure 4 Budget'!D11+'Measure 5 Budget'!D11</f>
        <v>137203</v>
      </c>
      <c r="E7" s="85">
        <f>'Measure 1 Budget'!E13+'Measure 2 Budget'!E11+'Measure 3 Budget'!E11+'Measure 4 Budget'!E11+'Measure 5 Budget'!E11</f>
        <v>141319</v>
      </c>
      <c r="F7" s="85">
        <f>'Measure 1 Budget'!F13+'Measure 2 Budget'!F11+'Measure 3 Budget'!F11+'Measure 4 Budget'!F11+'Measure 5 Budget'!F11</f>
        <v>145559</v>
      </c>
      <c r="G7" s="85">
        <f>'Measure 1 Budget'!G13+'Measure 2 Budget'!G11+'Measure 3 Budget'!G11+'Measure 4 Budget'!G11+'Measure 5 Budget'!G11</f>
        <v>149926</v>
      </c>
      <c r="H7" s="85">
        <f>'Measure 1 Budget'!H13+'Measure 2 Budget'!H11+'Measure 3 Budget'!H11+'Measure 4 Budget'!H11+'Measure 5 Budget'!H11</f>
        <v>154423</v>
      </c>
      <c r="I7" s="77"/>
      <c r="J7" s="86">
        <f>SUM(D7:I7)</f>
        <v>728430</v>
      </c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</row>
    <row r="8" spans="2:39" ht="14.4" x14ac:dyDescent="0.3">
      <c r="B8" s="59"/>
      <c r="C8" s="71" t="s">
        <v>13</v>
      </c>
      <c r="D8" s="85">
        <f>'Measure 1 Budget'!D20+'Measure 2 Budget'!D16+'Measure 3 Budget'!D16+'Measure 4 Budget'!D16+'Measure 5 Budget'!D16</f>
        <v>120223</v>
      </c>
      <c r="E8" s="85">
        <f>'Measure 1 Budget'!E20+'Measure 2 Budget'!E16+'Measure 3 Budget'!E16+'Measure 4 Budget'!E16</f>
        <v>125714</v>
      </c>
      <c r="F8" s="85">
        <f>'Measure 1 Budget'!F20+'Measure 2 Budget'!F16+'Measure 3 Budget'!F16+'Measure 4 Budget'!F16</f>
        <v>132940</v>
      </c>
      <c r="G8" s="85">
        <f>'Measure 1 Budget'!G20+'Measure 2 Budget'!G16+'Measure 3 Budget'!G16+'Measure 4 Budget'!G16</f>
        <v>141933</v>
      </c>
      <c r="H8" s="85">
        <f>'Measure 1 Budget'!H20+'Measure 2 Budget'!H16+'Measure 3 Budget'!H16+'Measure 4 Budget'!H16</f>
        <v>149776</v>
      </c>
      <c r="I8" s="77"/>
      <c r="J8" s="86">
        <f t="shared" ref="J8:J13" si="0">SUM(D8:I8)</f>
        <v>670586</v>
      </c>
    </row>
    <row r="9" spans="2:39" ht="14.4" x14ac:dyDescent="0.3">
      <c r="B9" s="59"/>
      <c r="C9" s="71" t="s">
        <v>14</v>
      </c>
      <c r="D9" s="85">
        <f>'Measure 1 Budget'!D28+'Measure 2 Budget'!D27+'Measure 3 Budget'!D27+'Measure 4 Budget'!D27+'Measure 5 Budget'!D27</f>
        <v>11022</v>
      </c>
      <c r="E9" s="85">
        <f>'Measure 1 Budget'!E28+'Measure 2 Budget'!E27+'Measure 3 Budget'!E27+'Measure 4 Budget'!E27</f>
        <v>11102</v>
      </c>
      <c r="F9" s="85">
        <f>'Measure 1 Budget'!F28+'Measure 2 Budget'!F27+'Measure 3 Budget'!F27+'Measure 4 Budget'!F27</f>
        <v>6063</v>
      </c>
      <c r="G9" s="85">
        <f>'Measure 1 Budget'!G28+'Measure 2 Budget'!G27+'Measure 3 Budget'!G27+'Measure 4 Budget'!G27</f>
        <v>6148</v>
      </c>
      <c r="H9" s="85">
        <f>'Measure 1 Budget'!H28+'Measure 2 Budget'!H27+'Measure 3 Budget'!H27+'Measure 4 Budget'!H27</f>
        <v>6236</v>
      </c>
      <c r="I9" s="77"/>
      <c r="J9" s="86">
        <f t="shared" si="0"/>
        <v>40571</v>
      </c>
    </row>
    <row r="10" spans="2:39" ht="14.4" x14ac:dyDescent="0.3">
      <c r="B10" s="59"/>
      <c r="C10" s="71" t="s">
        <v>15</v>
      </c>
      <c r="D10" s="85">
        <f>'Measure 1 Budget'!D32+'Measure 2 Budget'!D31+'Measure 3 Budget'!D31+'Measure 4 Budget'!D31+'Measure 5 Budget'!D31</f>
        <v>0</v>
      </c>
      <c r="E10" s="85">
        <f>'Measure 1 Budget'!E32+'Measure 2 Budget'!E31+'Measure 3 Budget'!E31+'Measure 4 Budget'!E31</f>
        <v>0</v>
      </c>
      <c r="F10" s="85">
        <f>'Measure 1 Budget'!F32+'Measure 2 Budget'!F31+'Measure 3 Budget'!F31+'Measure 4 Budget'!F31</f>
        <v>0</v>
      </c>
      <c r="G10" s="85">
        <f>'Measure 1 Budget'!G32+'Measure 2 Budget'!G31+'Measure 3 Budget'!G31+'Measure 4 Budget'!G31</f>
        <v>0</v>
      </c>
      <c r="H10" s="85">
        <f>'Measure 1 Budget'!H32+'Measure 2 Budget'!H31+'Measure 3 Budget'!H31+'Measure 4 Budget'!H31</f>
        <v>0</v>
      </c>
      <c r="I10" s="77"/>
      <c r="J10" s="86">
        <f t="shared" si="0"/>
        <v>0</v>
      </c>
    </row>
    <row r="11" spans="2:39" ht="14.4" x14ac:dyDescent="0.3">
      <c r="B11" s="59"/>
      <c r="C11" s="71" t="s">
        <v>16</v>
      </c>
      <c r="D11" s="85">
        <f>'Measure 1 Budget'!D39+'Measure 2 Budget'!D35+'Measure 3 Budget'!D35+'Measure 4 Budget'!D35+'Measure 5 Budget'!D35</f>
        <v>15283</v>
      </c>
      <c r="E11" s="85">
        <f>'Measure 1 Budget'!E39+'Measure 2 Budget'!E35+'Measure 3 Budget'!E35+'Measure 4 Budget'!E35</f>
        <v>3851</v>
      </c>
      <c r="F11" s="85">
        <f>'Measure 1 Budget'!F39+'Measure 2 Budget'!F35+'Measure 3 Budget'!F35+'Measure 4 Budget'!F35</f>
        <v>4262</v>
      </c>
      <c r="G11" s="85">
        <f>'Measure 1 Budget'!G39+'Measure 2 Budget'!G35+'Measure 3 Budget'!G35+'Measure 4 Budget'!G35</f>
        <v>4786</v>
      </c>
      <c r="H11" s="85">
        <f>'Measure 1 Budget'!H39+'Measure 2 Budget'!H35+'Measure 3 Budget'!H35+'Measure 4 Budget'!H35</f>
        <v>5395</v>
      </c>
      <c r="I11" s="77"/>
      <c r="J11" s="86">
        <f t="shared" si="0"/>
        <v>33577</v>
      </c>
    </row>
    <row r="12" spans="2:39" ht="14.4" x14ac:dyDescent="0.3">
      <c r="B12" s="59"/>
      <c r="C12" s="71" t="s">
        <v>17</v>
      </c>
      <c r="D12" s="85">
        <f>'Measure 1 Budget'!D44+'Measure 2 Budget'!D42+'Measure 3 Budget'!D42+'Measure 4 Budget'!D41+'Measure 5 Budget'!D41</f>
        <v>386264</v>
      </c>
      <c r="E12" s="85">
        <f>'Measure 1 Budget'!E44+'Measure 2 Budget'!E42+'Measure 3 Budget'!E42+'Measure 4 Budget'!E41</f>
        <v>7500</v>
      </c>
      <c r="F12" s="85">
        <f>'Measure 1 Budget'!F44+'Measure 2 Budget'!F42+'Measure 3 Budget'!F42+'Measure 4 Budget'!F41</f>
        <v>898854</v>
      </c>
      <c r="G12" s="85">
        <f>'Measure 1 Budget'!G44+'Measure 2 Budget'!G42+'Measure 3 Budget'!G42+'Measure 4 Budget'!G41</f>
        <v>7500</v>
      </c>
      <c r="H12" s="85">
        <f>'Measure 1 Budget'!H44+'Measure 2 Budget'!H42+'Measure 3 Budget'!H42+'Measure 4 Budget'!H41</f>
        <v>7500</v>
      </c>
      <c r="I12" s="77"/>
      <c r="J12" s="86">
        <f t="shared" si="0"/>
        <v>1307618</v>
      </c>
    </row>
    <row r="13" spans="2:39" ht="14.4" x14ac:dyDescent="0.3">
      <c r="B13" s="59"/>
      <c r="C13" s="71" t="s">
        <v>18</v>
      </c>
      <c r="D13" s="85">
        <f>'Measure 1 Budget'!D47+'Measure 2 Budget'!D50+'Measure 3 Budget'!D50+'Measure 4 Budget'!D49+'Measure 5 Budget'!D49</f>
        <v>490</v>
      </c>
      <c r="E13" s="85">
        <f>'Measure 1 Budget'!E47+'Measure 2 Budget'!E50+'Measure 3 Budget'!E50+'Measure 4 Budget'!E49</f>
        <v>0</v>
      </c>
      <c r="F13" s="85">
        <f>'Measure 1 Budget'!F47+'Measure 2 Budget'!F50+'Measure 3 Budget'!F50+'Measure 4 Budget'!F49</f>
        <v>0</v>
      </c>
      <c r="G13" s="85">
        <f>'Measure 1 Budget'!G47+'Measure 2 Budget'!G50+'Measure 3 Budget'!G50+'Measure 4 Budget'!G49</f>
        <v>0</v>
      </c>
      <c r="H13" s="85">
        <f>'Measure 1 Budget'!H47+'Measure 2 Budget'!H50+'Measure 3 Budget'!H50+'Measure 4 Budget'!H49</f>
        <v>0</v>
      </c>
      <c r="I13" s="77"/>
      <c r="J13" s="86">
        <f t="shared" si="0"/>
        <v>490</v>
      </c>
    </row>
    <row r="14" spans="2:39" ht="14.4" x14ac:dyDescent="0.3">
      <c r="B14" s="60"/>
      <c r="C14" s="73" t="s">
        <v>19</v>
      </c>
      <c r="D14" s="87">
        <f>D13+D12+D11+D10+D9+D8+D7</f>
        <v>670485</v>
      </c>
      <c r="E14" s="87">
        <f>E13+E12+E11+E10+E9+E8+E7</f>
        <v>289486</v>
      </c>
      <c r="F14" s="87">
        <f>F13+F12+F11+F10+F9+F8+F7</f>
        <v>1187678</v>
      </c>
      <c r="G14" s="87">
        <f>G13+G12+G11+G10+G9+G8+G7</f>
        <v>310293</v>
      </c>
      <c r="H14" s="87">
        <f>H13+H12+H11+H10+H9+H8+H7</f>
        <v>323330</v>
      </c>
      <c r="I14" s="58"/>
      <c r="J14" s="81">
        <f>SUM(D14:I14)</f>
        <v>2781272</v>
      </c>
    </row>
    <row r="15" spans="2:39" ht="14.4" x14ac:dyDescent="0.3">
      <c r="B15" s="61"/>
      <c r="D15" s="58"/>
      <c r="E15" s="58"/>
      <c r="F15" s="58"/>
      <c r="G15" s="58"/>
      <c r="H15" s="58"/>
      <c r="I15" s="58"/>
      <c r="J15" s="82" t="s">
        <v>20</v>
      </c>
    </row>
    <row r="16" spans="2:39" ht="20.100000000000001" customHeight="1" x14ac:dyDescent="0.3">
      <c r="B16" s="57" t="s">
        <v>43</v>
      </c>
      <c r="C16" s="73" t="s">
        <v>21</v>
      </c>
      <c r="D16" s="87">
        <f>'Measure 1 Budget'!D54+'Measure 2 Budget'!D56+'Measure 3 Budget'!D56+'Measure 4 Budget'!D55+'Measure 5 Budget'!D55</f>
        <v>67049</v>
      </c>
      <c r="E16" s="87">
        <f>'Measure 1 Budget'!E54+'Measure 2 Budget'!E56+'Measure 3 Budget'!E56+'Measure 4 Budget'!E55</f>
        <v>28949</v>
      </c>
      <c r="F16" s="87">
        <f>'Measure 1 Budget'!F54+'Measure 2 Budget'!F56+'Measure 3 Budget'!F56+'Measure 4 Budget'!F55</f>
        <v>118768</v>
      </c>
      <c r="G16" s="87">
        <f>'Measure 1 Budget'!G54+'Measure 2 Budget'!G56+'Measure 3 Budget'!G56+'Measure 4 Budget'!G55</f>
        <v>31029</v>
      </c>
      <c r="H16" s="87">
        <f>'Measure 1 Budget'!H54+'Measure 2 Budget'!H56+'Measure 3 Budget'!H56+'Measure 4 Budget'!H55</f>
        <v>32333</v>
      </c>
      <c r="I16" s="58"/>
      <c r="J16" s="81">
        <f>SUM(D16:H16)</f>
        <v>278128</v>
      </c>
    </row>
    <row r="17" spans="2:14" thickBot="1" x14ac:dyDescent="0.35">
      <c r="B17" s="83"/>
      <c r="D17" s="58"/>
      <c r="E17" s="58"/>
      <c r="F17" s="58"/>
      <c r="G17" s="58"/>
      <c r="H17" s="58"/>
      <c r="I17" s="58"/>
      <c r="J17" s="84" t="s">
        <v>20</v>
      </c>
    </row>
    <row r="18" spans="2:14" ht="30.9" customHeight="1" thickBot="1" x14ac:dyDescent="0.35">
      <c r="B18" s="218" t="s">
        <v>22</v>
      </c>
      <c r="C18" s="218"/>
      <c r="D18" s="88">
        <f>D14+D16</f>
        <v>737534</v>
      </c>
      <c r="E18" s="88">
        <f>E14+E16</f>
        <v>318435</v>
      </c>
      <c r="F18" s="88">
        <f>F14+F16</f>
        <v>1306446</v>
      </c>
      <c r="G18" s="88">
        <f>G14+G16</f>
        <v>341322</v>
      </c>
      <c r="H18" s="88">
        <f>H14+H16</f>
        <v>355663</v>
      </c>
      <c r="I18" s="63"/>
      <c r="J18" s="88">
        <f>J14+J16</f>
        <v>3059400</v>
      </c>
    </row>
    <row r="19" spans="2:14" s="62" customFormat="1" ht="14.4" x14ac:dyDescent="0.3">
      <c r="B19" s="52"/>
      <c r="C19" s="52"/>
      <c r="D19" s="52"/>
      <c r="E19" s="54"/>
      <c r="F19" s="52"/>
      <c r="G19" s="52"/>
      <c r="H19" s="54"/>
      <c r="I19" s="55"/>
      <c r="J19" s="52"/>
      <c r="N19" s="211"/>
    </row>
    <row r="21" spans="2:14" ht="15" customHeight="1" x14ac:dyDescent="0.3">
      <c r="B21" s="64" t="s">
        <v>23</v>
      </c>
      <c r="C21" s="65"/>
      <c r="D21" s="65"/>
      <c r="E21" s="215"/>
      <c r="F21" s="215"/>
      <c r="H21" s="52"/>
      <c r="I21" s="52"/>
    </row>
    <row r="22" spans="2:14" ht="29.1" customHeight="1" x14ac:dyDescent="0.3">
      <c r="B22" s="66" t="s">
        <v>24</v>
      </c>
      <c r="C22" s="66" t="s">
        <v>25</v>
      </c>
      <c r="D22" s="74" t="s">
        <v>26</v>
      </c>
      <c r="E22" s="216" t="s">
        <v>27</v>
      </c>
      <c r="F22" s="216"/>
      <c r="H22" s="52"/>
      <c r="I22" s="52"/>
    </row>
    <row r="23" spans="2:14" ht="24" x14ac:dyDescent="0.3">
      <c r="B23" s="71">
        <v>1</v>
      </c>
      <c r="C23" s="75" t="s">
        <v>307</v>
      </c>
      <c r="D23" s="78">
        <f>'Measure 1 Budget'!J56</f>
        <v>3059400</v>
      </c>
      <c r="E23" s="217">
        <f>D23/D$29</f>
        <v>1</v>
      </c>
      <c r="F23" s="217"/>
      <c r="H23" s="52"/>
      <c r="I23" s="52"/>
    </row>
    <row r="24" spans="2:14" ht="15" hidden="1" customHeight="1" x14ac:dyDescent="0.3">
      <c r="B24" s="71">
        <v>2</v>
      </c>
      <c r="C24" s="72" t="s">
        <v>28</v>
      </c>
      <c r="D24" s="76">
        <f>'Measure 2 Budget'!J58</f>
        <v>0</v>
      </c>
      <c r="E24" s="213">
        <f t="shared" ref="E24:E27" si="1">D24/D$29</f>
        <v>0</v>
      </c>
      <c r="F24" s="213"/>
      <c r="H24" s="52"/>
      <c r="I24" s="52"/>
    </row>
    <row r="25" spans="2:14" ht="15" hidden="1" customHeight="1" x14ac:dyDescent="0.3">
      <c r="B25" s="71">
        <v>3</v>
      </c>
      <c r="C25" s="72" t="s">
        <v>29</v>
      </c>
      <c r="D25" s="76">
        <f>'Measure 3 Budget'!J58</f>
        <v>0</v>
      </c>
      <c r="E25" s="213">
        <f t="shared" si="1"/>
        <v>0</v>
      </c>
      <c r="F25" s="213"/>
      <c r="H25" s="52"/>
      <c r="I25" s="52"/>
    </row>
    <row r="26" spans="2:14" ht="15" hidden="1" customHeight="1" x14ac:dyDescent="0.3">
      <c r="B26" s="71">
        <v>4</v>
      </c>
      <c r="C26" s="72" t="s">
        <v>30</v>
      </c>
      <c r="D26" s="76">
        <f>'Measure 4 Budget'!J57</f>
        <v>0</v>
      </c>
      <c r="E26" s="213">
        <f t="shared" si="1"/>
        <v>0</v>
      </c>
      <c r="F26" s="213"/>
      <c r="H26" s="52"/>
      <c r="I26" s="52"/>
    </row>
    <row r="27" spans="2:14" ht="15" hidden="1" customHeight="1" x14ac:dyDescent="0.3">
      <c r="B27" s="71">
        <v>5</v>
      </c>
      <c r="C27" s="72" t="s">
        <v>31</v>
      </c>
      <c r="D27" s="76">
        <v>0</v>
      </c>
      <c r="E27" s="213">
        <f t="shared" si="1"/>
        <v>0</v>
      </c>
      <c r="F27" s="213"/>
      <c r="H27" s="52"/>
      <c r="I27" s="52"/>
    </row>
    <row r="28" spans="2:14" ht="15" customHeight="1" x14ac:dyDescent="0.3">
      <c r="B28" s="71"/>
      <c r="C28" s="72"/>
      <c r="D28" s="76"/>
      <c r="E28" s="213"/>
      <c r="F28" s="213"/>
      <c r="H28" s="52"/>
      <c r="I28" s="52"/>
    </row>
    <row r="29" spans="2:14" ht="15" customHeight="1" x14ac:dyDescent="0.3">
      <c r="B29" s="71" t="s">
        <v>32</v>
      </c>
      <c r="C29" s="72"/>
      <c r="D29" s="79">
        <f>SUM(D23:D28)</f>
        <v>3059400</v>
      </c>
      <c r="E29" s="214">
        <f t="shared" ref="E29" si="2">SUM(E23:E28)</f>
        <v>1</v>
      </c>
      <c r="F29" s="214"/>
      <c r="H29" s="52"/>
      <c r="I29" s="52"/>
    </row>
    <row r="30" spans="2:14" ht="15" customHeight="1" x14ac:dyDescent="0.3">
      <c r="H30" s="52"/>
      <c r="I30" s="52"/>
    </row>
  </sheetData>
  <mergeCells count="11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  <mergeCell ref="B18:C18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A2:AY73"/>
  <sheetViews>
    <sheetView showGridLines="0" tabSelected="1" topLeftCell="A5" zoomScaleNormal="100" workbookViewId="0">
      <pane ySplit="2" topLeftCell="A37" activePane="bottomLeft" state="frozen"/>
      <selection activeCell="B5" sqref="B5"/>
      <selection pane="bottomLeft" activeCell="J43" sqref="J43"/>
    </sheetView>
  </sheetViews>
  <sheetFormatPr defaultColWidth="9.109375" defaultRowHeight="14.4" x14ac:dyDescent="0.3"/>
  <cols>
    <col min="1" max="1" width="3.109375" style="148" customWidth="1"/>
    <col min="2" max="2" width="10.109375" style="148" customWidth="1"/>
    <col min="3" max="3" width="35.44140625" style="148" customWidth="1"/>
    <col min="4" max="4" width="10.6640625" style="148" customWidth="1"/>
    <col min="5" max="5" width="10.6640625" style="150" customWidth="1"/>
    <col min="6" max="7" width="10.6640625" style="148" customWidth="1"/>
    <col min="8" max="8" width="10.6640625" style="150" customWidth="1"/>
    <col min="9" max="9" width="1.6640625" style="151" customWidth="1"/>
    <col min="10" max="10" width="11.44140625" style="148" customWidth="1"/>
    <col min="11" max="11" width="2.6640625" style="92" hidden="1" customWidth="1"/>
    <col min="12" max="12" width="41.88671875" style="93" hidden="1" customWidth="1"/>
    <col min="13" max="13" width="40.6640625" style="93" hidden="1" customWidth="1"/>
    <col min="14" max="14" width="22.5546875" style="52" hidden="1" customWidth="1"/>
    <col min="15" max="15" width="11.88671875" style="52" hidden="1" customWidth="1"/>
    <col min="16" max="16" width="17.44140625" style="52" hidden="1" customWidth="1"/>
    <col min="17" max="17" width="14" style="52" hidden="1" customWidth="1"/>
    <col min="18" max="18" width="12.5546875" style="52" hidden="1" customWidth="1"/>
    <col min="19" max="20" width="19.88671875" style="52" hidden="1" customWidth="1"/>
    <col min="21" max="21" width="23.5546875" style="52" hidden="1" customWidth="1"/>
    <col min="22" max="22" width="72" style="52" hidden="1" customWidth="1"/>
    <col min="23" max="23" width="19.5546875" style="52" hidden="1" customWidth="1"/>
    <col min="24" max="24" width="18.44140625" style="52" hidden="1" customWidth="1"/>
    <col min="25" max="25" width="11.109375" style="52" hidden="1" customWidth="1"/>
    <col min="26" max="26" width="45" style="52" hidden="1" customWidth="1"/>
    <col min="27" max="27" width="42.44140625" style="52" hidden="1" customWidth="1"/>
    <col min="28" max="34" width="9.109375" style="52" hidden="1" customWidth="1"/>
    <col min="35" max="35" width="8.6640625" style="52" hidden="1" customWidth="1"/>
    <col min="36" max="37" width="9.109375" style="52" hidden="1" customWidth="1"/>
    <col min="38" max="42" width="9.109375" style="52" customWidth="1"/>
    <col min="43" max="51" width="9.109375" style="89" customWidth="1"/>
    <col min="52" max="16384" width="9.109375" style="52"/>
  </cols>
  <sheetData>
    <row r="2" spans="1:51" ht="23.4" x14ac:dyDescent="0.3">
      <c r="B2" s="149" t="s">
        <v>33</v>
      </c>
    </row>
    <row r="3" spans="1:51" x14ac:dyDescent="0.3">
      <c r="B3" s="152" t="s">
        <v>78</v>
      </c>
    </row>
    <row r="4" spans="1:51" x14ac:dyDescent="0.3">
      <c r="B4" s="152"/>
    </row>
    <row r="5" spans="1:51" ht="18" x14ac:dyDescent="0.3">
      <c r="B5" s="153" t="s">
        <v>2</v>
      </c>
      <c r="C5" s="154"/>
      <c r="D5" s="155"/>
      <c r="E5" s="155"/>
      <c r="F5" s="155"/>
      <c r="G5" s="155"/>
      <c r="H5" s="155"/>
      <c r="I5" s="154"/>
      <c r="J5" s="156"/>
      <c r="L5" s="94" t="s">
        <v>102</v>
      </c>
      <c r="M5" s="95" t="s">
        <v>136</v>
      </c>
    </row>
    <row r="6" spans="1:51" ht="14.4" customHeight="1" x14ac:dyDescent="0.3">
      <c r="B6" s="157" t="s">
        <v>3</v>
      </c>
      <c r="C6" s="157" t="s">
        <v>4</v>
      </c>
      <c r="D6" s="158" t="s">
        <v>5</v>
      </c>
      <c r="E6" s="159" t="s">
        <v>6</v>
      </c>
      <c r="F6" s="159" t="s">
        <v>7</v>
      </c>
      <c r="G6" s="159" t="s">
        <v>8</v>
      </c>
      <c r="H6" s="160" t="s">
        <v>9</v>
      </c>
      <c r="J6" s="161" t="s">
        <v>10</v>
      </c>
      <c r="L6" s="93" t="s">
        <v>103</v>
      </c>
      <c r="M6" s="93" t="s">
        <v>159</v>
      </c>
    </row>
    <row r="7" spans="1:51" s="56" customFormat="1" ht="14.4" customHeight="1" thickBot="1" x14ac:dyDescent="0.35">
      <c r="A7" s="152"/>
      <c r="B7" s="162" t="s">
        <v>11</v>
      </c>
      <c r="C7" s="163" t="s">
        <v>108</v>
      </c>
      <c r="D7" s="164" t="s">
        <v>35</v>
      </c>
      <c r="E7" s="164" t="s">
        <v>35</v>
      </c>
      <c r="F7" s="164" t="s">
        <v>35</v>
      </c>
      <c r="G7" s="164"/>
      <c r="H7" s="165" t="s">
        <v>35</v>
      </c>
      <c r="I7" s="151"/>
      <c r="J7" s="166" t="s">
        <v>35</v>
      </c>
      <c r="K7" s="92"/>
      <c r="L7" s="93" t="s">
        <v>107</v>
      </c>
      <c r="M7" s="93" t="s">
        <v>159</v>
      </c>
      <c r="N7" s="52"/>
      <c r="O7" s="52"/>
      <c r="P7" s="52"/>
      <c r="Q7" s="52" t="s">
        <v>218</v>
      </c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Q7" s="90"/>
      <c r="AR7" s="90"/>
      <c r="AS7" s="90"/>
      <c r="AT7" s="90"/>
      <c r="AU7" s="90"/>
      <c r="AV7" s="90"/>
      <c r="AW7" s="90"/>
      <c r="AX7" s="90"/>
      <c r="AY7" s="90"/>
    </row>
    <row r="8" spans="1:51" s="56" customFormat="1" ht="28.8" x14ac:dyDescent="0.3">
      <c r="A8" s="152"/>
      <c r="B8" s="167"/>
      <c r="C8" s="168" t="s">
        <v>139</v>
      </c>
      <c r="D8" s="169">
        <f>ROUND(('[1]Base-EPACPRG2025'!$E$17*0.03),0)</f>
        <v>3090</v>
      </c>
      <c r="E8" s="169">
        <f>ROUND(('[1]Base-EPACPRG2026'!$E$17*0.03),0)</f>
        <v>3183</v>
      </c>
      <c r="F8" s="169">
        <f>ROUND(('[1]Base-EPACPRG2027'!$E$17*0.03),0)</f>
        <v>3278</v>
      </c>
      <c r="G8" s="169">
        <f>ROUND(('[1]Base-EPACPRG2028'!$E$17*0.03),0)</f>
        <v>3377</v>
      </c>
      <c r="H8" s="169">
        <f>ROUND(('[1]Base-EPACPRG2029'!$E$17*0.03),0)</f>
        <v>3478</v>
      </c>
      <c r="I8" s="170"/>
      <c r="J8" s="171">
        <f>SUM(D8:H8)</f>
        <v>16406</v>
      </c>
      <c r="K8" s="92"/>
      <c r="L8" s="93" t="s">
        <v>104</v>
      </c>
      <c r="M8" s="93" t="s">
        <v>203</v>
      </c>
      <c r="Q8" s="96"/>
      <c r="R8" s="97"/>
      <c r="S8" s="98" t="s">
        <v>211</v>
      </c>
      <c r="T8" s="98" t="s">
        <v>212</v>
      </c>
      <c r="U8" s="98" t="s">
        <v>213</v>
      </c>
      <c r="V8" s="99" t="s">
        <v>214</v>
      </c>
      <c r="W8" s="52"/>
      <c r="X8" s="52"/>
      <c r="Y8" s="52"/>
      <c r="Z8" s="52"/>
      <c r="AA8" s="52"/>
      <c r="AB8" s="52"/>
      <c r="AC8" s="52"/>
      <c r="AD8" s="52"/>
      <c r="AE8" s="52"/>
      <c r="AF8" s="100" t="s">
        <v>299</v>
      </c>
      <c r="AG8" s="61">
        <v>2025</v>
      </c>
      <c r="AH8" s="61">
        <v>2026</v>
      </c>
      <c r="AI8" s="61">
        <v>2027</v>
      </c>
      <c r="AJ8" s="61">
        <v>2028</v>
      </c>
      <c r="AK8" s="61">
        <v>2029</v>
      </c>
      <c r="AL8" s="52"/>
      <c r="AM8" s="52"/>
      <c r="AQ8" s="90"/>
      <c r="AR8" s="90"/>
      <c r="AS8" s="90"/>
      <c r="AT8" s="90"/>
      <c r="AU8" s="90"/>
      <c r="AV8" s="90"/>
      <c r="AW8" s="90"/>
      <c r="AX8" s="90"/>
      <c r="AY8" s="90"/>
    </row>
    <row r="9" spans="1:51" ht="28.8" x14ac:dyDescent="0.3">
      <c r="B9" s="167"/>
      <c r="C9" s="168" t="s">
        <v>321</v>
      </c>
      <c r="D9" s="172">
        <f>ROUND(('[1]Base-EPACPRG2025'!$F$17*0.05),0)</f>
        <v>3863</v>
      </c>
      <c r="E9" s="169">
        <f>ROUND(('[1]Base-EPACPRG2026'!$F$17*0.05),0)</f>
        <v>3978</v>
      </c>
      <c r="F9" s="169">
        <f>ROUND(('[1]Base-EPACPRG2027'!$F$17*0.05),0)</f>
        <v>4098</v>
      </c>
      <c r="G9" s="169">
        <f>ROUND(('[1]Base-EPACPRG2028'!$F$17*0.05),0)</f>
        <v>4221</v>
      </c>
      <c r="H9" s="169">
        <f>ROUND(('[1]Base-EPACPRG2029'!$F$17*0.05),0)</f>
        <v>4347</v>
      </c>
      <c r="I9" s="173"/>
      <c r="J9" s="171">
        <f>SUM(D9:H9)</f>
        <v>20507</v>
      </c>
      <c r="K9" s="92" t="s">
        <v>308</v>
      </c>
      <c r="L9" s="93" t="s">
        <v>105</v>
      </c>
      <c r="M9" s="93" t="s">
        <v>203</v>
      </c>
      <c r="Q9" s="101"/>
      <c r="R9" s="52" t="s">
        <v>210</v>
      </c>
      <c r="S9" s="52">
        <v>24</v>
      </c>
      <c r="T9" s="52">
        <v>3000</v>
      </c>
      <c r="U9" s="52">
        <v>13</v>
      </c>
      <c r="V9" s="102">
        <f>U9*T9*S9</f>
        <v>936000</v>
      </c>
      <c r="AF9" s="61" t="s">
        <v>300</v>
      </c>
      <c r="AG9" s="103">
        <f>'[1]Base-EPACPRG2025'!$E$51</f>
        <v>0.7</v>
      </c>
      <c r="AH9" s="103">
        <f>'[1]Base-EPACPRG2026'!$E$51</f>
        <v>0.71</v>
      </c>
      <c r="AI9" s="103">
        <f>'[1]Base-EPACPRG2027'!$E$51</f>
        <v>0.73</v>
      </c>
      <c r="AJ9" s="103">
        <f>'[1]Base-EPACPRG2028'!$E$51</f>
        <v>0.74</v>
      </c>
      <c r="AK9" s="103">
        <f>'[1]Base-EPACPRG2029'!$E$51</f>
        <v>0.75</v>
      </c>
    </row>
    <row r="10" spans="1:51" ht="28.8" x14ac:dyDescent="0.3">
      <c r="B10" s="167"/>
      <c r="C10" s="174" t="s">
        <v>224</v>
      </c>
      <c r="D10" s="169">
        <f>ROUND('[1]Base-EPACPRG2025'!$G$17*0.07,0)</f>
        <v>5250</v>
      </c>
      <c r="E10" s="169">
        <f>ROUND('[1]Base-EPACPRG2026'!$G$17*0.07,0)</f>
        <v>5408</v>
      </c>
      <c r="F10" s="169">
        <f>ROUND(('[1]Base-EPACPRG2027'!$G$17*0.07),0)</f>
        <v>5570</v>
      </c>
      <c r="G10" s="169">
        <f>ROUND(('[1]Base-EPACPRG2028'!$G$17*0.07),0)</f>
        <v>5737</v>
      </c>
      <c r="H10" s="169">
        <f>ROUND(('[1]Base-EPACPRG2029'!$G$17*0.07),0)</f>
        <v>5909</v>
      </c>
      <c r="I10" s="170"/>
      <c r="J10" s="171">
        <f>SUM(D10:H10)</f>
        <v>27874</v>
      </c>
      <c r="K10" s="92" t="s">
        <v>308</v>
      </c>
      <c r="L10" s="52"/>
      <c r="M10" s="93" t="s">
        <v>231</v>
      </c>
      <c r="Q10" s="101"/>
      <c r="R10" s="52" t="s">
        <v>215</v>
      </c>
      <c r="S10" s="52">
        <v>12</v>
      </c>
      <c r="T10" s="52">
        <v>3000</v>
      </c>
      <c r="U10" s="52">
        <v>13</v>
      </c>
      <c r="V10" s="102">
        <f>S10*T10*U10</f>
        <v>468000</v>
      </c>
      <c r="Y10" s="61" t="s">
        <v>250</v>
      </c>
      <c r="Z10" s="61" t="s">
        <v>251</v>
      </c>
      <c r="AA10" s="61" t="s">
        <v>252</v>
      </c>
      <c r="AF10" s="61" t="s">
        <v>301</v>
      </c>
      <c r="AG10" s="103">
        <f>'[1]Base-EPACPRG2025'!$F$51</f>
        <v>0.39</v>
      </c>
      <c r="AH10" s="103">
        <f>'[1]Base-EPACPRG2026'!$F$51</f>
        <v>0.39</v>
      </c>
      <c r="AI10" s="103">
        <f>'[1]Base-EPACPRG2027'!$F$51</f>
        <v>0.4</v>
      </c>
      <c r="AJ10" s="103">
        <f>'[1]Base-EPACPRG2028'!$F$51</f>
        <v>0.41</v>
      </c>
      <c r="AK10" s="103">
        <f>'[1]Base-EPACPRG2029'!$F$51</f>
        <v>0.41</v>
      </c>
    </row>
    <row r="11" spans="1:51" ht="29.4" thickBot="1" x14ac:dyDescent="0.35">
      <c r="B11" s="167"/>
      <c r="C11" s="174" t="s">
        <v>140</v>
      </c>
      <c r="D11" s="169">
        <f>ROUND('[1]Base-EPACPRG2025'!$L$17,0)</f>
        <v>70000</v>
      </c>
      <c r="E11" s="169">
        <f>ROUND('[1]Base-EPACPRG2026'!$L$17,0)</f>
        <v>72100</v>
      </c>
      <c r="F11" s="169">
        <f>ROUND('[1]Base-EPACPRG2027'!$L$17,0)</f>
        <v>74263</v>
      </c>
      <c r="G11" s="169">
        <f>ROUND(('[1]Base-EPACPRG2028'!$L$17),0)</f>
        <v>76491</v>
      </c>
      <c r="H11" s="169">
        <f>ROUND(('[1]Base-EPACPRG2029'!$L$17),0)</f>
        <v>78786</v>
      </c>
      <c r="I11" s="170"/>
      <c r="J11" s="171">
        <f>SUM(D11:H11)</f>
        <v>371640</v>
      </c>
      <c r="K11" s="92" t="s">
        <v>308</v>
      </c>
      <c r="L11" s="93" t="s">
        <v>106</v>
      </c>
      <c r="M11" s="93" t="s">
        <v>137</v>
      </c>
      <c r="Q11" s="104"/>
      <c r="R11" s="105"/>
      <c r="S11" s="105"/>
      <c r="T11" s="105"/>
      <c r="U11" s="105"/>
      <c r="V11" s="106">
        <f>V9+V10</f>
        <v>1404000</v>
      </c>
      <c r="Y11" s="61"/>
      <c r="Z11" s="61" t="s">
        <v>267</v>
      </c>
      <c r="AA11" s="61" t="s">
        <v>268</v>
      </c>
      <c r="AF11" s="61" t="s">
        <v>302</v>
      </c>
      <c r="AG11" s="103">
        <f>'[1]Base-EPACPRG2025'!$G$51</f>
        <v>0.81</v>
      </c>
      <c r="AH11" s="103">
        <f>'[1]Base-EPACPRG2026'!$G$51</f>
        <v>0.81</v>
      </c>
      <c r="AI11" s="103">
        <f>'[1]Base-EPACPRG2027'!$G$51</f>
        <v>0.83</v>
      </c>
      <c r="AJ11" s="103">
        <f>'[1]Base-EPACPRG2028'!$G$51</f>
        <v>0.87</v>
      </c>
      <c r="AK11" s="103">
        <f>'[1]Base-EPACPRG2029'!$G$51</f>
        <v>0.89</v>
      </c>
    </row>
    <row r="12" spans="1:51" ht="28.8" x14ac:dyDescent="0.3">
      <c r="B12" s="167"/>
      <c r="C12" s="174" t="s">
        <v>319</v>
      </c>
      <c r="D12" s="169">
        <f>ROUND('[1]Base-EPACPRG2025'!$M$17,0)</f>
        <v>55000</v>
      </c>
      <c r="E12" s="169">
        <f>ROUND('[1]Base-EPACPRG2026'!$M$17,0)</f>
        <v>56650</v>
      </c>
      <c r="F12" s="169">
        <f>ROUND('[1]Base-EPACPRG2027'!$M$17,0)</f>
        <v>58350</v>
      </c>
      <c r="G12" s="169">
        <f>ROUND('[1]Base-EPACPRG2028'!$M$17,0)</f>
        <v>60100</v>
      </c>
      <c r="H12" s="169">
        <f>ROUND('[1]Base-EPACPRG2029'!$M$17,0)</f>
        <v>61903</v>
      </c>
      <c r="I12" s="170"/>
      <c r="J12" s="171">
        <f>SUM(D12:H12)</f>
        <v>292003</v>
      </c>
      <c r="L12" s="52" t="s">
        <v>323</v>
      </c>
      <c r="M12" s="93" t="s">
        <v>138</v>
      </c>
      <c r="Q12" s="107" t="s">
        <v>216</v>
      </c>
      <c r="R12" s="99"/>
      <c r="Y12" s="61">
        <f>5.7*2</f>
        <v>11.4</v>
      </c>
      <c r="Z12" s="108" t="s">
        <v>249</v>
      </c>
      <c r="AA12" s="108" t="s">
        <v>253</v>
      </c>
      <c r="AF12" s="61" t="s">
        <v>303</v>
      </c>
      <c r="AG12" s="103">
        <f>'[1]Base-EPACPRG2025'!$L$51</f>
        <v>0.85</v>
      </c>
      <c r="AH12" s="103">
        <f>'[1]Base-EPACPRG2026'!$L$51</f>
        <v>0.86</v>
      </c>
      <c r="AI12" s="103">
        <f>'[1]Base-EPACPRG2027'!$L$51</f>
        <v>0.88</v>
      </c>
      <c r="AJ12" s="103">
        <f>'[1]Base-EPACPRG2028'!$L$51</f>
        <v>0.91</v>
      </c>
      <c r="AK12" s="103">
        <f>'[1]Base-EPACPRG2029'!$L$51</f>
        <v>0.93</v>
      </c>
    </row>
    <row r="13" spans="1:51" x14ac:dyDescent="0.3">
      <c r="B13" s="167"/>
      <c r="C13" s="175" t="s">
        <v>109</v>
      </c>
      <c r="D13" s="176">
        <f>SUM(D8:D12)</f>
        <v>137203</v>
      </c>
      <c r="E13" s="176">
        <f>SUM(E8:E12)</f>
        <v>141319</v>
      </c>
      <c r="F13" s="176">
        <f>SUM(F8:F12)</f>
        <v>145559</v>
      </c>
      <c r="G13" s="176">
        <f>SUM(G8:G12)</f>
        <v>149926</v>
      </c>
      <c r="H13" s="176">
        <f>SUM(H8:H12)</f>
        <v>154423</v>
      </c>
      <c r="I13" s="177"/>
      <c r="J13" s="178">
        <f>SUM(J8:J12)</f>
        <v>728430</v>
      </c>
      <c r="Q13" s="101" t="s">
        <v>217</v>
      </c>
      <c r="R13" s="102">
        <f>J12+J19</f>
        <v>589214</v>
      </c>
      <c r="Y13" s="61">
        <f>14.1*2</f>
        <v>28.2</v>
      </c>
      <c r="Z13" s="108" t="s">
        <v>324</v>
      </c>
      <c r="AA13" s="108" t="s">
        <v>325</v>
      </c>
      <c r="AF13" s="61" t="s">
        <v>304</v>
      </c>
      <c r="AG13" s="103">
        <f>'[1]Base-EPACPRG2025'!$M$51</f>
        <v>0.96</v>
      </c>
      <c r="AH13" s="103">
        <f>'[1]Base-EPACPRG2026'!$M$51</f>
        <v>0.98</v>
      </c>
      <c r="AI13" s="103">
        <f>'[1]Base-EPACPRG2027'!$M$51</f>
        <v>1.01</v>
      </c>
      <c r="AJ13" s="103">
        <f>'[1]Base-EPACPRG2028'!$M$51</f>
        <v>1.05</v>
      </c>
      <c r="AK13" s="103">
        <f>'[1]Base-EPACPRG2029'!$M$51</f>
        <v>1.08</v>
      </c>
    </row>
    <row r="14" spans="1:51" ht="14.4" customHeight="1" x14ac:dyDescent="0.3">
      <c r="B14" s="167"/>
      <c r="C14" s="179" t="s">
        <v>110</v>
      </c>
      <c r="D14" s="180" t="s">
        <v>35</v>
      </c>
      <c r="E14" s="181"/>
      <c r="F14" s="181"/>
      <c r="G14" s="181"/>
      <c r="H14" s="182"/>
      <c r="J14" s="166" t="s">
        <v>35</v>
      </c>
      <c r="L14" s="93" t="s">
        <v>107</v>
      </c>
      <c r="M14" s="93" t="s">
        <v>159</v>
      </c>
      <c r="Q14" s="101"/>
      <c r="R14" s="102">
        <v>10000</v>
      </c>
      <c r="Y14" s="61">
        <f>6.3*2</f>
        <v>12.6</v>
      </c>
      <c r="Z14" s="108" t="s">
        <v>237</v>
      </c>
      <c r="AA14" s="108" t="s">
        <v>256</v>
      </c>
    </row>
    <row r="15" spans="1:51" ht="28.8" x14ac:dyDescent="0.3">
      <c r="B15" s="167"/>
      <c r="C15" s="174" t="s">
        <v>309</v>
      </c>
      <c r="D15" s="169">
        <f>ROUND((D8*'[1]Base-EPACPRG2025'!$E$51),0)</f>
        <v>2163</v>
      </c>
      <c r="E15" s="169">
        <f>ROUND((E8*'[1]Base-EPACPRG2026'!$E$51),0)</f>
        <v>2260</v>
      </c>
      <c r="F15" s="169">
        <f>ROUND((F8*'[1]Base-EPACPRG2027'!$E$51),0)</f>
        <v>2393</v>
      </c>
      <c r="G15" s="169">
        <f>ROUND((G8*'[1]Base-EPACPRG2028'!$E$51),0)</f>
        <v>2499</v>
      </c>
      <c r="H15" s="169">
        <f>ROUND((H8*'[1]Base-EPACPRG2029'!$E$51),0)</f>
        <v>2609</v>
      </c>
      <c r="I15" s="170"/>
      <c r="J15" s="171">
        <f>SUM(D15:H15)</f>
        <v>11924</v>
      </c>
      <c r="K15" s="92" t="s">
        <v>308</v>
      </c>
      <c r="L15" s="93" t="s">
        <v>124</v>
      </c>
      <c r="M15" s="93" t="s">
        <v>159</v>
      </c>
      <c r="Q15" s="101"/>
      <c r="R15" s="102">
        <f>J22</f>
        <v>23042</v>
      </c>
      <c r="Y15" s="61">
        <f>48.6*2</f>
        <v>97.2</v>
      </c>
      <c r="Z15" s="108" t="s">
        <v>238</v>
      </c>
      <c r="AA15" s="109" t="s">
        <v>255</v>
      </c>
    </row>
    <row r="16" spans="1:51" ht="29.4" thickBot="1" x14ac:dyDescent="0.35">
      <c r="B16" s="167"/>
      <c r="C16" s="174" t="s">
        <v>310</v>
      </c>
      <c r="D16" s="169">
        <f>ROUND((D9*'[1]Base-EPACPRG2025'!$F$51),0)</f>
        <v>1507</v>
      </c>
      <c r="E16" s="169">
        <f>ROUND((E9*'[1]Base-EPACPRG2026'!$F$51),0)</f>
        <v>1551</v>
      </c>
      <c r="F16" s="169">
        <f>ROUND((F9*'[1]Base-EPACPRG2027'!$F$51),0)</f>
        <v>1639</v>
      </c>
      <c r="G16" s="169">
        <f>ROUND((G9*'[1]Base-EPACPRG2028'!$F$51),0)</f>
        <v>1731</v>
      </c>
      <c r="H16" s="169">
        <f>ROUND((H9*'[1]Base-EPACPRG2029'!$F$51),0)</f>
        <v>1782</v>
      </c>
      <c r="I16" s="170"/>
      <c r="J16" s="171">
        <f>SUM(D16:H16)</f>
        <v>8210</v>
      </c>
      <c r="K16" s="92" t="s">
        <v>308</v>
      </c>
      <c r="L16" s="93" t="s">
        <v>124</v>
      </c>
      <c r="M16" s="93" t="s">
        <v>159</v>
      </c>
      <c r="Q16" s="104"/>
      <c r="R16" s="106">
        <f>R13+R14+R15</f>
        <v>622256</v>
      </c>
      <c r="Y16" s="61">
        <f>56.1*2</f>
        <v>112.2</v>
      </c>
      <c r="Z16" s="108" t="s">
        <v>239</v>
      </c>
      <c r="AA16" s="108" t="s">
        <v>254</v>
      </c>
    </row>
    <row r="17" spans="2:35" ht="43.2" x14ac:dyDescent="0.3">
      <c r="B17" s="167"/>
      <c r="C17" s="174" t="s">
        <v>311</v>
      </c>
      <c r="D17" s="169">
        <f>ROUND((D10*'[1]Base-EPACPRG2025'!$G$51),0)</f>
        <v>4253</v>
      </c>
      <c r="E17" s="169">
        <f>ROUND((E10*'[1]Base-EPACPRG2026'!$G$51),0)</f>
        <v>4380</v>
      </c>
      <c r="F17" s="169">
        <f>ROUND((F10*'[1]Base-EPACPRG2027'!$G$51),0)</f>
        <v>4623</v>
      </c>
      <c r="G17" s="169">
        <f>ROUND((G10*'[1]Base-EPACPRG2028'!$G$51),0)</f>
        <v>4991</v>
      </c>
      <c r="H17" s="169">
        <f>ROUND((H10*'[1]Base-EPACPRG2029'!$G$51),0)</f>
        <v>5259</v>
      </c>
      <c r="I17" s="170"/>
      <c r="J17" s="171">
        <f>SUM(D17:H17)</f>
        <v>23506</v>
      </c>
      <c r="L17" s="93" t="s">
        <v>124</v>
      </c>
      <c r="M17" s="93" t="s">
        <v>159</v>
      </c>
      <c r="Y17" s="61">
        <f>18.2*2</f>
        <v>36.4</v>
      </c>
      <c r="Z17" s="108" t="s">
        <v>240</v>
      </c>
      <c r="AA17" s="108" t="s">
        <v>257</v>
      </c>
    </row>
    <row r="18" spans="2:35" ht="29.4" thickBot="1" x14ac:dyDescent="0.35">
      <c r="B18" s="167"/>
      <c r="C18" s="174" t="s">
        <v>312</v>
      </c>
      <c r="D18" s="169">
        <f>ROUND((D11*'[1]Base-EPACPRG2025'!$L$51),0)</f>
        <v>59500</v>
      </c>
      <c r="E18" s="169">
        <f>ROUND((E11*'[1]Base-EPACPRG2026'!$L$51),0)</f>
        <v>62006</v>
      </c>
      <c r="F18" s="169">
        <f>ROUND((F11*'[1]Base-EPACPRG2027'!$L$51),0)</f>
        <v>65351</v>
      </c>
      <c r="G18" s="169">
        <f>ROUND((G11*'[1]Base-EPACPRG2028'!$L$51),0)</f>
        <v>69607</v>
      </c>
      <c r="H18" s="169">
        <f>ROUND((H11*'[1]Base-EPACPRG2029'!$L$51),0)</f>
        <v>73271</v>
      </c>
      <c r="I18" s="170"/>
      <c r="J18" s="171">
        <f>SUM(D18:H18)</f>
        <v>329735</v>
      </c>
      <c r="M18" s="93" t="s">
        <v>159</v>
      </c>
      <c r="Y18" s="61">
        <f>41.7*2</f>
        <v>83.4</v>
      </c>
      <c r="Z18" s="108" t="s">
        <v>241</v>
      </c>
      <c r="AA18" s="108" t="s">
        <v>258</v>
      </c>
    </row>
    <row r="19" spans="2:35" ht="28.8" x14ac:dyDescent="0.3">
      <c r="B19" s="167"/>
      <c r="C19" s="174" t="s">
        <v>320</v>
      </c>
      <c r="D19" s="169">
        <f>ROUND(D12*'[1]Base-EPACPRG2025'!$M$51,0)</f>
        <v>52800</v>
      </c>
      <c r="E19" s="169">
        <f>ROUND(E12*'[1]Base-EPACPRG2026'!$M$51,0)</f>
        <v>55517</v>
      </c>
      <c r="F19" s="169">
        <f>ROUND(F12*'[1]Base-EPACPRG2027'!$M$51,0)</f>
        <v>58934</v>
      </c>
      <c r="G19" s="169">
        <f>ROUND(G12*'[1]Base-EPACPRG2028'!$M$51,0)</f>
        <v>63105</v>
      </c>
      <c r="H19" s="169">
        <f>ROUND(H12*'[1]Base-EPACPRG2029'!$M$51,0)</f>
        <v>66855</v>
      </c>
      <c r="I19" s="170"/>
      <c r="J19" s="171">
        <f>SUM(D19:H19)</f>
        <v>297211</v>
      </c>
      <c r="L19" s="93" t="s">
        <v>124</v>
      </c>
      <c r="M19" s="93" t="s">
        <v>159</v>
      </c>
      <c r="N19" s="110" t="s">
        <v>87</v>
      </c>
      <c r="O19" s="98"/>
      <c r="P19" s="98"/>
      <c r="Q19" s="99"/>
      <c r="T19" s="110" t="s">
        <v>144</v>
      </c>
      <c r="U19" s="111"/>
      <c r="V19" s="111" t="s">
        <v>145</v>
      </c>
      <c r="W19" s="99"/>
      <c r="Y19" s="61">
        <f>25.8*2</f>
        <v>51.6</v>
      </c>
      <c r="Z19" s="108" t="s">
        <v>242</v>
      </c>
      <c r="AA19" s="108" t="s">
        <v>260</v>
      </c>
    </row>
    <row r="20" spans="2:35" x14ac:dyDescent="0.3">
      <c r="B20" s="167"/>
      <c r="C20" s="175" t="s">
        <v>111</v>
      </c>
      <c r="D20" s="176">
        <f>SUM(D15:D19)</f>
        <v>120223</v>
      </c>
      <c r="E20" s="176">
        <f>SUM(E15:E19)</f>
        <v>125714</v>
      </c>
      <c r="F20" s="176">
        <f>SUM(F15:F19)</f>
        <v>132940</v>
      </c>
      <c r="G20" s="176">
        <f>SUM(G15:G19)</f>
        <v>141933</v>
      </c>
      <c r="H20" s="176">
        <f>SUM(H15:H19)</f>
        <v>149776</v>
      </c>
      <c r="I20" s="177"/>
      <c r="J20" s="178">
        <f>SUM(J15:J19)</f>
        <v>670586</v>
      </c>
      <c r="N20" s="101"/>
      <c r="Q20" s="112"/>
      <c r="T20" s="101">
        <v>104</v>
      </c>
      <c r="U20" s="52" t="s">
        <v>146</v>
      </c>
      <c r="W20" s="112"/>
      <c r="Y20" s="61">
        <f>53.6*2</f>
        <v>107.2</v>
      </c>
      <c r="Z20" s="108" t="s">
        <v>243</v>
      </c>
      <c r="AA20" s="108" t="s">
        <v>261</v>
      </c>
    </row>
    <row r="21" spans="2:35" x14ac:dyDescent="0.3">
      <c r="B21" s="167"/>
      <c r="C21" s="179" t="s">
        <v>112</v>
      </c>
      <c r="D21" s="183" t="s">
        <v>35</v>
      </c>
      <c r="E21" s="183"/>
      <c r="F21" s="183"/>
      <c r="G21" s="183"/>
      <c r="H21" s="184"/>
      <c r="I21" s="170"/>
      <c r="J21" s="185" t="s">
        <v>35</v>
      </c>
      <c r="N21" s="101">
        <f>Y26</f>
        <v>955.40000000000009</v>
      </c>
      <c r="O21" s="52" t="s">
        <v>79</v>
      </c>
      <c r="Q21" s="112" t="s">
        <v>266</v>
      </c>
      <c r="T21" s="101">
        <v>412</v>
      </c>
      <c r="U21" s="52" t="s">
        <v>147</v>
      </c>
      <c r="W21" s="112"/>
      <c r="Y21" s="61">
        <f>16.3*2</f>
        <v>32.6</v>
      </c>
      <c r="Z21" s="108" t="s">
        <v>244</v>
      </c>
      <c r="AA21" s="113" t="s">
        <v>262</v>
      </c>
    </row>
    <row r="22" spans="2:35" ht="28.8" x14ac:dyDescent="0.3">
      <c r="B22" s="167"/>
      <c r="C22" s="174" t="s">
        <v>80</v>
      </c>
      <c r="D22" s="169">
        <f>ROUND($N$25*$N$27,0)</f>
        <v>7681</v>
      </c>
      <c r="E22" s="169">
        <f>ROUND($N$25*$N$27,0)</f>
        <v>7681</v>
      </c>
      <c r="F22" s="169">
        <f>ROUND($N$26*$N$27,0)</f>
        <v>2560</v>
      </c>
      <c r="G22" s="169">
        <f>ROUND($N$26*$N$27,0)</f>
        <v>2560</v>
      </c>
      <c r="H22" s="169">
        <f>ROUND($N$26*$N$27,0)</f>
        <v>2560</v>
      </c>
      <c r="I22" s="170"/>
      <c r="J22" s="171">
        <f t="shared" ref="J22:J26" si="0">SUM(D22:H22)</f>
        <v>23042</v>
      </c>
      <c r="N22" s="101">
        <v>12</v>
      </c>
      <c r="O22" s="52" t="s">
        <v>81</v>
      </c>
      <c r="P22" s="52">
        <v>2</v>
      </c>
      <c r="Q22" s="112" t="s">
        <v>141</v>
      </c>
      <c r="T22" s="101">
        <v>54.77</v>
      </c>
      <c r="U22" s="52" t="s">
        <v>148</v>
      </c>
      <c r="V22" s="52">
        <v>59.25</v>
      </c>
      <c r="W22" s="112" t="s">
        <v>149</v>
      </c>
      <c r="Y22" s="61">
        <f>48.1*2</f>
        <v>96.2</v>
      </c>
      <c r="Z22" s="108" t="s">
        <v>245</v>
      </c>
      <c r="AA22" s="109" t="s">
        <v>263</v>
      </c>
    </row>
    <row r="23" spans="2:35" ht="43.2" x14ac:dyDescent="0.3">
      <c r="B23" s="167"/>
      <c r="C23" s="174" t="s">
        <v>125</v>
      </c>
      <c r="D23" s="169">
        <f>ROUND(1026*0.67,0)</f>
        <v>687</v>
      </c>
      <c r="E23" s="169">
        <f>ROUND(1026*0.67,0)</f>
        <v>687</v>
      </c>
      <c r="F23" s="169">
        <f>ROUND(1026*0.67,0)</f>
        <v>687</v>
      </c>
      <c r="G23" s="169">
        <f>ROUND(1026*0.67,0)</f>
        <v>687</v>
      </c>
      <c r="H23" s="169">
        <f>ROUND(1026*0.67,0)</f>
        <v>687</v>
      </c>
      <c r="I23" s="173"/>
      <c r="J23" s="171">
        <f t="shared" si="0"/>
        <v>3435</v>
      </c>
      <c r="L23" s="93" t="s">
        <v>126</v>
      </c>
      <c r="M23" s="93" t="s">
        <v>208</v>
      </c>
      <c r="N23" s="101">
        <v>4</v>
      </c>
      <c r="O23" s="52" t="s">
        <v>81</v>
      </c>
      <c r="P23" s="52">
        <v>3</v>
      </c>
      <c r="Q23" s="112" t="s">
        <v>141</v>
      </c>
      <c r="T23" s="101">
        <v>88</v>
      </c>
      <c r="U23" s="52" t="s">
        <v>150</v>
      </c>
      <c r="V23" s="52">
        <v>79</v>
      </c>
      <c r="W23" s="112" t="s">
        <v>151</v>
      </c>
      <c r="Y23" s="61">
        <f>30*2</f>
        <v>60</v>
      </c>
      <c r="Z23" s="108" t="s">
        <v>246</v>
      </c>
      <c r="AA23" s="108" t="s">
        <v>264</v>
      </c>
    </row>
    <row r="24" spans="2:35" ht="51.75" customHeight="1" thickBot="1" x14ac:dyDescent="0.35">
      <c r="B24" s="167"/>
      <c r="C24" s="174" t="s">
        <v>204</v>
      </c>
      <c r="D24" s="169">
        <f>ROUND((T20+T21)*2,0)</f>
        <v>1032</v>
      </c>
      <c r="E24" s="169">
        <f t="shared" ref="E24:H25" si="1">ROUND(D24*1.03,0)</f>
        <v>1063</v>
      </c>
      <c r="F24" s="169">
        <f t="shared" si="1"/>
        <v>1095</v>
      </c>
      <c r="G24" s="169">
        <f t="shared" si="1"/>
        <v>1128</v>
      </c>
      <c r="H24" s="169">
        <f t="shared" si="1"/>
        <v>1162</v>
      </c>
      <c r="I24" s="173"/>
      <c r="J24" s="171">
        <f t="shared" si="0"/>
        <v>5480</v>
      </c>
      <c r="L24" s="93" t="s">
        <v>127</v>
      </c>
      <c r="M24" s="93" t="s">
        <v>232</v>
      </c>
      <c r="N24" s="101"/>
      <c r="Q24" s="112"/>
      <c r="T24" s="104">
        <v>279.25</v>
      </c>
      <c r="U24" s="105" t="s">
        <v>152</v>
      </c>
      <c r="V24" s="105">
        <v>261</v>
      </c>
      <c r="W24" s="114"/>
      <c r="Y24" s="61">
        <f>48*2</f>
        <v>96</v>
      </c>
      <c r="Z24" s="108" t="s">
        <v>247</v>
      </c>
      <c r="AA24" s="108" t="s">
        <v>265</v>
      </c>
    </row>
    <row r="25" spans="2:35" ht="28.8" x14ac:dyDescent="0.3">
      <c r="B25" s="167"/>
      <c r="C25" s="174" t="s">
        <v>205</v>
      </c>
      <c r="D25" s="169">
        <f>ROUND(T24*2*2,0)</f>
        <v>1117</v>
      </c>
      <c r="E25" s="169">
        <f t="shared" si="1"/>
        <v>1151</v>
      </c>
      <c r="F25" s="169">
        <f t="shared" si="1"/>
        <v>1186</v>
      </c>
      <c r="G25" s="169">
        <f t="shared" si="1"/>
        <v>1222</v>
      </c>
      <c r="H25" s="169">
        <f t="shared" si="1"/>
        <v>1259</v>
      </c>
      <c r="I25" s="173"/>
      <c r="J25" s="171">
        <f t="shared" si="0"/>
        <v>5935</v>
      </c>
      <c r="L25" s="93" t="s">
        <v>128</v>
      </c>
      <c r="M25" s="93" t="s">
        <v>233</v>
      </c>
      <c r="N25" s="101">
        <f>N21*N22</f>
        <v>11464.800000000001</v>
      </c>
      <c r="O25" s="52" t="s">
        <v>142</v>
      </c>
      <c r="Q25" s="112"/>
      <c r="Y25" s="61">
        <f>65.2*2</f>
        <v>130.4</v>
      </c>
      <c r="Z25" s="108" t="s">
        <v>248</v>
      </c>
      <c r="AA25" s="108" t="s">
        <v>259</v>
      </c>
    </row>
    <row r="26" spans="2:35" ht="43.8" thickBot="1" x14ac:dyDescent="0.35">
      <c r="B26" s="167"/>
      <c r="C26" s="174" t="s">
        <v>206</v>
      </c>
      <c r="D26" s="169">
        <f>ROUND((T23+T22+T22)*2,0)</f>
        <v>395</v>
      </c>
      <c r="E26" s="169">
        <f t="shared" ref="E26:H27" si="2">ROUND(D26*1.03,0)</f>
        <v>407</v>
      </c>
      <c r="F26" s="169">
        <f t="shared" si="2"/>
        <v>419</v>
      </c>
      <c r="G26" s="169">
        <f t="shared" si="2"/>
        <v>432</v>
      </c>
      <c r="H26" s="169">
        <f t="shared" si="2"/>
        <v>445</v>
      </c>
      <c r="I26" s="173"/>
      <c r="J26" s="171">
        <f t="shared" si="0"/>
        <v>2098</v>
      </c>
      <c r="L26" s="93" t="s">
        <v>129</v>
      </c>
      <c r="M26" s="93" t="s">
        <v>233</v>
      </c>
      <c r="N26" s="101">
        <f>N21*N23</f>
        <v>3821.6000000000004</v>
      </c>
      <c r="O26" s="52" t="s">
        <v>143</v>
      </c>
      <c r="Q26" s="112"/>
      <c r="T26" s="52" t="s">
        <v>236</v>
      </c>
      <c r="Y26" s="115">
        <f>SUM(Y12:Y25)</f>
        <v>955.40000000000009</v>
      </c>
      <c r="Z26" s="115">
        <v>12</v>
      </c>
      <c r="AA26" s="115"/>
      <c r="AB26" s="61"/>
      <c r="AC26" s="61"/>
      <c r="AD26" s="61"/>
      <c r="AE26" s="61"/>
      <c r="AF26" s="61"/>
      <c r="AG26" s="61"/>
      <c r="AH26" s="57" t="s">
        <v>292</v>
      </c>
      <c r="AI26" s="61"/>
    </row>
    <row r="27" spans="2:35" ht="43.8" thickBot="1" x14ac:dyDescent="0.35">
      <c r="B27" s="167"/>
      <c r="C27" s="174" t="s">
        <v>207</v>
      </c>
      <c r="D27" s="169">
        <f>ROUND(T22*2,0)</f>
        <v>110</v>
      </c>
      <c r="E27" s="169">
        <f t="shared" si="2"/>
        <v>113</v>
      </c>
      <c r="F27" s="169">
        <f t="shared" si="2"/>
        <v>116</v>
      </c>
      <c r="G27" s="169">
        <f t="shared" si="2"/>
        <v>119</v>
      </c>
      <c r="H27" s="169">
        <f t="shared" si="2"/>
        <v>123</v>
      </c>
      <c r="I27" s="173"/>
      <c r="J27" s="171">
        <f>SUM(D27:H27)</f>
        <v>581</v>
      </c>
      <c r="L27" s="93" t="s">
        <v>130</v>
      </c>
      <c r="M27" s="93" t="s">
        <v>234</v>
      </c>
      <c r="N27" s="101">
        <v>0.67</v>
      </c>
      <c r="O27" s="52" t="s">
        <v>82</v>
      </c>
      <c r="Q27" s="112"/>
      <c r="T27" s="116">
        <v>150</v>
      </c>
      <c r="U27" s="117">
        <v>50</v>
      </c>
      <c r="V27" s="117">
        <f>T27*U27</f>
        <v>7500</v>
      </c>
      <c r="W27" s="118"/>
      <c r="Y27" s="57" t="s">
        <v>270</v>
      </c>
      <c r="Z27" s="61"/>
      <c r="AA27" s="61"/>
      <c r="AB27" s="61"/>
      <c r="AC27" s="61"/>
      <c r="AD27" s="61"/>
      <c r="AE27" s="61"/>
      <c r="AF27" s="61"/>
      <c r="AG27" s="61"/>
      <c r="AH27" s="119">
        <f>Y29*2</f>
        <v>20</v>
      </c>
      <c r="AI27" s="61" t="s">
        <v>293</v>
      </c>
    </row>
    <row r="28" spans="2:35" ht="15" thickBot="1" x14ac:dyDescent="0.35">
      <c r="B28" s="167"/>
      <c r="C28" s="175" t="s">
        <v>113</v>
      </c>
      <c r="D28" s="178">
        <f>SUM(D22:D27)</f>
        <v>11022</v>
      </c>
      <c r="E28" s="178">
        <f>SUM(E22:E27)</f>
        <v>11102</v>
      </c>
      <c r="F28" s="178">
        <f>SUM(F22:F27)</f>
        <v>6063</v>
      </c>
      <c r="G28" s="178">
        <f>SUM(G22:G27)</f>
        <v>6148</v>
      </c>
      <c r="H28" s="178">
        <f>SUM(H22:H27)</f>
        <v>6236</v>
      </c>
      <c r="I28" s="177"/>
      <c r="J28" s="178">
        <f>SUM(J22:J27)</f>
        <v>40571</v>
      </c>
      <c r="L28" s="93" t="s">
        <v>133</v>
      </c>
      <c r="N28" s="104"/>
      <c r="O28" s="105"/>
      <c r="P28" s="105"/>
      <c r="Q28" s="114"/>
      <c r="Y28" s="119">
        <v>245</v>
      </c>
      <c r="Z28" s="61" t="s">
        <v>272</v>
      </c>
      <c r="AA28" s="120" t="s">
        <v>271</v>
      </c>
      <c r="AB28" s="61"/>
      <c r="AC28" s="61"/>
      <c r="AD28" s="61"/>
      <c r="AE28" s="61"/>
      <c r="AF28" s="61"/>
      <c r="AG28" s="61"/>
      <c r="AH28" s="119">
        <f>Y30*AB31</f>
        <v>468</v>
      </c>
      <c r="AI28" s="61" t="s">
        <v>294</v>
      </c>
    </row>
    <row r="29" spans="2:35" ht="29.4" thickBot="1" x14ac:dyDescent="0.35">
      <c r="B29" s="167"/>
      <c r="C29" s="179" t="s">
        <v>114</v>
      </c>
      <c r="D29" s="186"/>
      <c r="E29" s="164"/>
      <c r="F29" s="164"/>
      <c r="G29" s="164"/>
      <c r="H29" s="165"/>
      <c r="J29" s="187" t="s">
        <v>20</v>
      </c>
      <c r="L29" s="93" t="s">
        <v>134</v>
      </c>
      <c r="M29" s="93" t="s">
        <v>209</v>
      </c>
      <c r="Q29" s="52">
        <f>N32*N33</f>
        <v>688.00000000000011</v>
      </c>
      <c r="Y29" s="119">
        <v>10</v>
      </c>
      <c r="Z29" s="61" t="s">
        <v>274</v>
      </c>
      <c r="AA29" s="61" t="s">
        <v>273</v>
      </c>
      <c r="AB29" s="61">
        <f>13*2*12*5</f>
        <v>1560</v>
      </c>
      <c r="AC29" s="61" t="s">
        <v>277</v>
      </c>
      <c r="AD29" s="61"/>
      <c r="AE29" s="61"/>
      <c r="AF29" s="61"/>
      <c r="AG29" s="61"/>
      <c r="AH29" s="121">
        <f>Y33*AB32</f>
        <v>60</v>
      </c>
      <c r="AI29" s="61" t="s">
        <v>284</v>
      </c>
    </row>
    <row r="30" spans="2:35" x14ac:dyDescent="0.3">
      <c r="B30" s="167"/>
      <c r="C30" s="174"/>
      <c r="D30" s="171"/>
      <c r="E30" s="171"/>
      <c r="F30" s="171"/>
      <c r="G30" s="171"/>
      <c r="H30" s="171"/>
      <c r="J30" s="171"/>
      <c r="N30" s="110" t="s">
        <v>83</v>
      </c>
      <c r="O30" s="98"/>
      <c r="P30" s="99"/>
      <c r="Y30" s="119">
        <v>30</v>
      </c>
      <c r="Z30" s="61" t="s">
        <v>276</v>
      </c>
      <c r="AA30" s="61" t="s">
        <v>275</v>
      </c>
      <c r="AB30" s="61">
        <v>100</v>
      </c>
      <c r="AC30" s="61" t="s">
        <v>278</v>
      </c>
      <c r="AD30" s="61"/>
      <c r="AE30" s="61"/>
      <c r="AF30" s="61"/>
      <c r="AG30" s="61"/>
      <c r="AH30" s="121">
        <f>Y34*AB33</f>
        <v>50</v>
      </c>
      <c r="AI30" s="61" t="s">
        <v>295</v>
      </c>
    </row>
    <row r="31" spans="2:35" x14ac:dyDescent="0.3">
      <c r="B31" s="167"/>
      <c r="C31" s="188" t="s">
        <v>39</v>
      </c>
      <c r="D31" s="189" t="s">
        <v>35</v>
      </c>
      <c r="E31" s="166"/>
      <c r="F31" s="166"/>
      <c r="G31" s="166"/>
      <c r="H31" s="166"/>
      <c r="J31" s="171">
        <f t="shared" ref="J31:J42" si="3">SUM(D31:H31)</f>
        <v>0</v>
      </c>
      <c r="N31" s="101">
        <v>688</v>
      </c>
      <c r="O31" s="52" t="s">
        <v>84</v>
      </c>
      <c r="P31" s="112"/>
      <c r="Y31" s="61"/>
      <c r="Z31" s="61"/>
      <c r="AA31" s="61"/>
      <c r="AB31" s="61">
        <f>AB29/AB30</f>
        <v>15.6</v>
      </c>
      <c r="AC31" s="61" t="s">
        <v>279</v>
      </c>
      <c r="AD31" s="61"/>
      <c r="AE31" s="61"/>
      <c r="AF31" s="61"/>
      <c r="AG31" s="61"/>
      <c r="AH31" s="121">
        <f>Y35*AB34</f>
        <v>13</v>
      </c>
      <c r="AI31" s="61" t="s">
        <v>296</v>
      </c>
    </row>
    <row r="32" spans="2:35" x14ac:dyDescent="0.3">
      <c r="B32" s="167"/>
      <c r="C32" s="175" t="s">
        <v>115</v>
      </c>
      <c r="D32" s="190">
        <f>SUM(D30:D31)</f>
        <v>0</v>
      </c>
      <c r="E32" s="190">
        <f>SUM(E30:E31)</f>
        <v>0</v>
      </c>
      <c r="F32" s="190">
        <f>SUM(F30:F31)</f>
        <v>0</v>
      </c>
      <c r="G32" s="190">
        <f>SUM(G30:G31)</f>
        <v>0</v>
      </c>
      <c r="H32" s="190">
        <f>SUM(H30:H31)</f>
        <v>0</v>
      </c>
      <c r="I32" s="177"/>
      <c r="J32" s="178">
        <f>SUM(J30:J31)</f>
        <v>0</v>
      </c>
      <c r="N32" s="101">
        <v>0.67</v>
      </c>
      <c r="O32" s="52" t="s">
        <v>85</v>
      </c>
      <c r="P32" s="112"/>
      <c r="Y32" s="61"/>
      <c r="Z32" s="61"/>
      <c r="AA32" s="61"/>
      <c r="AB32" s="61">
        <v>12</v>
      </c>
      <c r="AC32" s="61" t="s">
        <v>284</v>
      </c>
      <c r="AD32" s="61"/>
      <c r="AE32" s="61"/>
      <c r="AF32" s="61"/>
      <c r="AG32" s="61"/>
      <c r="AH32" s="61">
        <f>Y36*AB35*AD35</f>
        <v>520</v>
      </c>
      <c r="AI32" s="61" t="s">
        <v>297</v>
      </c>
    </row>
    <row r="33" spans="2:35" ht="15" thickBot="1" x14ac:dyDescent="0.35">
      <c r="B33" s="167"/>
      <c r="C33" s="179" t="s">
        <v>116</v>
      </c>
      <c r="D33" s="191" t="s">
        <v>35</v>
      </c>
      <c r="E33" s="191"/>
      <c r="F33" s="191"/>
      <c r="G33" s="191"/>
      <c r="H33" s="192"/>
      <c r="I33" s="170"/>
      <c r="J33" s="171"/>
      <c r="N33" s="104">
        <f>N31/N32</f>
        <v>1026.8656716417911</v>
      </c>
      <c r="O33" s="105" t="s">
        <v>86</v>
      </c>
      <c r="P33" s="114"/>
      <c r="Y33" s="122">
        <v>5</v>
      </c>
      <c r="Z33" s="61" t="s">
        <v>281</v>
      </c>
      <c r="AA33" s="61" t="s">
        <v>280</v>
      </c>
      <c r="AB33" s="61">
        <v>5</v>
      </c>
      <c r="AC33" s="61" t="s">
        <v>279</v>
      </c>
      <c r="AD33" s="61">
        <v>20</v>
      </c>
      <c r="AE33" s="61" t="s">
        <v>285</v>
      </c>
      <c r="AF33" s="61"/>
      <c r="AG33" s="61"/>
      <c r="AH33" s="123">
        <f>SUM(AH27:AH32)</f>
        <v>1131</v>
      </c>
      <c r="AI33" s="61"/>
    </row>
    <row r="34" spans="2:35" ht="28.8" x14ac:dyDescent="0.3">
      <c r="B34" s="167"/>
      <c r="C34" s="193" t="s">
        <v>298</v>
      </c>
      <c r="D34" s="194">
        <f>AH33</f>
        <v>1131</v>
      </c>
      <c r="E34" s="194"/>
      <c r="F34" s="194"/>
      <c r="G34" s="194"/>
      <c r="H34" s="194"/>
      <c r="I34" s="170"/>
      <c r="J34" s="171">
        <f>SUM(D34:H34)</f>
        <v>1131</v>
      </c>
      <c r="M34" s="93" t="s">
        <v>202</v>
      </c>
      <c r="Y34" s="122">
        <v>10</v>
      </c>
      <c r="Z34" s="61" t="s">
        <v>282</v>
      </c>
      <c r="AA34" s="61" t="s">
        <v>283</v>
      </c>
      <c r="AB34" s="61">
        <v>2</v>
      </c>
      <c r="AC34" s="61" t="s">
        <v>288</v>
      </c>
      <c r="AD34" s="61"/>
      <c r="AE34" s="61"/>
      <c r="AF34" s="61"/>
      <c r="AG34" s="61"/>
      <c r="AH34" s="61"/>
      <c r="AI34" s="61"/>
    </row>
    <row r="35" spans="2:35" ht="27" customHeight="1" x14ac:dyDescent="0.3">
      <c r="B35" s="167"/>
      <c r="C35" s="174" t="s">
        <v>235</v>
      </c>
      <c r="D35" s="194">
        <v>5000</v>
      </c>
      <c r="E35" s="194">
        <v>1000</v>
      </c>
      <c r="F35" s="194">
        <v>1000</v>
      </c>
      <c r="G35" s="194">
        <v>1000</v>
      </c>
      <c r="H35" s="194">
        <v>1000</v>
      </c>
      <c r="I35" s="170"/>
      <c r="J35" s="171">
        <f>SUM(D35:H35)</f>
        <v>9000</v>
      </c>
      <c r="Y35" s="122">
        <v>6.5</v>
      </c>
      <c r="Z35" s="61" t="s">
        <v>286</v>
      </c>
      <c r="AA35" s="61" t="s">
        <v>287</v>
      </c>
      <c r="AB35" s="61">
        <v>2</v>
      </c>
      <c r="AC35" s="61"/>
      <c r="AD35" s="61">
        <v>2</v>
      </c>
      <c r="AE35" s="61" t="s">
        <v>291</v>
      </c>
      <c r="AF35" s="61"/>
      <c r="AG35" s="61"/>
      <c r="AH35" s="61"/>
      <c r="AI35" s="61"/>
    </row>
    <row r="36" spans="2:35" ht="15" thickBot="1" x14ac:dyDescent="0.35">
      <c r="B36" s="167"/>
      <c r="C36" s="193" t="s">
        <v>201</v>
      </c>
      <c r="D36" s="194">
        <v>60</v>
      </c>
      <c r="E36" s="194">
        <v>50</v>
      </c>
      <c r="F36" s="194">
        <v>50</v>
      </c>
      <c r="G36" s="194">
        <v>50</v>
      </c>
      <c r="H36" s="194">
        <v>50</v>
      </c>
      <c r="I36" s="170"/>
      <c r="J36" s="171">
        <f>SUM(D36:H36)</f>
        <v>260</v>
      </c>
      <c r="L36" s="93" t="s">
        <v>135</v>
      </c>
      <c r="W36" s="52" t="s">
        <v>223</v>
      </c>
      <c r="Y36" s="61">
        <v>130</v>
      </c>
      <c r="Z36" s="61" t="s">
        <v>289</v>
      </c>
      <c r="AA36" s="61" t="s">
        <v>290</v>
      </c>
      <c r="AB36" s="124"/>
    </row>
    <row r="37" spans="2:35" ht="72.599999999999994" thickBot="1" x14ac:dyDescent="0.35">
      <c r="B37" s="167"/>
      <c r="C37" s="174" t="s">
        <v>318</v>
      </c>
      <c r="D37" s="194">
        <f>O48*2</f>
        <v>6628</v>
      </c>
      <c r="E37" s="194"/>
      <c r="F37" s="194"/>
      <c r="G37" s="194">
        <f>10*2</f>
        <v>20</v>
      </c>
      <c r="H37" s="194"/>
      <c r="I37" s="173"/>
      <c r="J37" s="171">
        <f>SUM(D37:H37)</f>
        <v>6648</v>
      </c>
      <c r="K37" s="92" t="s">
        <v>308</v>
      </c>
      <c r="L37" s="125" t="s">
        <v>132</v>
      </c>
      <c r="M37" s="93" t="s">
        <v>184</v>
      </c>
      <c r="N37" s="126" t="s">
        <v>153</v>
      </c>
      <c r="W37" s="107" t="s">
        <v>220</v>
      </c>
      <c r="X37" s="127">
        <v>23524</v>
      </c>
    </row>
    <row r="38" spans="2:35" ht="43.2" x14ac:dyDescent="0.3">
      <c r="B38" s="167"/>
      <c r="C38" s="174" t="s">
        <v>315</v>
      </c>
      <c r="D38" s="194">
        <f>'[2]Measure 1 Budget'!$X$39+'[2]Measure 1 Budget'!$X$35</f>
        <v>2464</v>
      </c>
      <c r="E38" s="194">
        <f>'[2]Measure 1 Budget'!$Y$39+'[2]Measure 1 Budget'!$Y$35</f>
        <v>2801</v>
      </c>
      <c r="F38" s="194">
        <f>'[2]Measure 1 Budget'!$Z$39+'[2]Measure 1 Budget'!$Z$35</f>
        <v>3212</v>
      </c>
      <c r="G38" s="194">
        <f>'[2]Measure 1 Budget'!$AA$39+'[2]Measure 1 Budget'!$AA$35</f>
        <v>3716</v>
      </c>
      <c r="H38" s="194">
        <f>'[2]Measure 1 Budget'!$AB$39+'[2]Measure 1 Budget'!$AB$35</f>
        <v>4345</v>
      </c>
      <c r="I38" s="170"/>
      <c r="J38" s="171">
        <f>SUM(D38:H38)</f>
        <v>16538</v>
      </c>
      <c r="L38" s="93" t="s">
        <v>131</v>
      </c>
      <c r="M38" s="93" t="s">
        <v>185</v>
      </c>
      <c r="N38" s="128" t="s">
        <v>154</v>
      </c>
      <c r="O38" s="98"/>
      <c r="P38" s="111" t="s">
        <v>314</v>
      </c>
      <c r="Q38" s="98"/>
      <c r="R38" s="98"/>
      <c r="S38" s="98"/>
      <c r="W38" s="101" t="s">
        <v>221</v>
      </c>
      <c r="X38" s="129">
        <v>1048.67</v>
      </c>
      <c r="Y38" s="98">
        <v>11</v>
      </c>
      <c r="Z38" s="98"/>
      <c r="AA38" s="130">
        <f>X37*Y38</f>
        <v>258764</v>
      </c>
      <c r="AB38" s="52" t="s">
        <v>225</v>
      </c>
    </row>
    <row r="39" spans="2:35" x14ac:dyDescent="0.3">
      <c r="B39" s="167"/>
      <c r="C39" s="175" t="s">
        <v>117</v>
      </c>
      <c r="D39" s="178">
        <f>SUM(D34:D38)</f>
        <v>15283</v>
      </c>
      <c r="E39" s="178">
        <f>SUM(E34:E38)</f>
        <v>3851</v>
      </c>
      <c r="F39" s="178">
        <f>SUM(F34:F38)</f>
        <v>4262</v>
      </c>
      <c r="G39" s="178">
        <f>SUM(G34:G38)</f>
        <v>4786</v>
      </c>
      <c r="H39" s="178">
        <f>SUM(H34:H38)</f>
        <v>5395</v>
      </c>
      <c r="I39" s="177"/>
      <c r="J39" s="178">
        <f>SUM(J34:J38)</f>
        <v>33577</v>
      </c>
      <c r="N39" s="101" t="s">
        <v>155</v>
      </c>
      <c r="O39" s="131">
        <f>175*2</f>
        <v>350</v>
      </c>
      <c r="P39" s="52" t="s">
        <v>156</v>
      </c>
      <c r="W39" s="101" t="s">
        <v>222</v>
      </c>
      <c r="X39" s="52">
        <v>10</v>
      </c>
      <c r="Y39" s="52">
        <v>10</v>
      </c>
      <c r="Z39" s="52">
        <v>11</v>
      </c>
      <c r="AA39" s="132">
        <f>ROUND(X38*Y39*Z39,0)</f>
        <v>115354</v>
      </c>
    </row>
    <row r="40" spans="2:35" ht="15" thickBot="1" x14ac:dyDescent="0.35">
      <c r="B40" s="167"/>
      <c r="C40" s="179" t="s">
        <v>118</v>
      </c>
      <c r="D40" s="191" t="s">
        <v>35</v>
      </c>
      <c r="E40" s="191"/>
      <c r="F40" s="191"/>
      <c r="G40" s="191"/>
      <c r="H40" s="192"/>
      <c r="I40" s="170"/>
      <c r="J40" s="171"/>
      <c r="N40" s="101" t="s">
        <v>90</v>
      </c>
      <c r="O40" s="131">
        <v>170</v>
      </c>
      <c r="P40" s="52" t="s">
        <v>157</v>
      </c>
      <c r="W40" s="104"/>
      <c r="X40" s="105"/>
      <c r="Y40" s="52">
        <v>14</v>
      </c>
      <c r="Z40" s="129">
        <v>400</v>
      </c>
      <c r="AA40" s="132">
        <f>X39*Y40*Z40</f>
        <v>56000</v>
      </c>
    </row>
    <row r="41" spans="2:35" ht="29.4" thickBot="1" x14ac:dyDescent="0.35">
      <c r="B41" s="167"/>
      <c r="C41" s="174" t="s">
        <v>199</v>
      </c>
      <c r="D41" s="194">
        <f>T71</f>
        <v>120000</v>
      </c>
      <c r="E41" s="194"/>
      <c r="F41" s="194">
        <f>T72</f>
        <v>720000</v>
      </c>
      <c r="G41" s="194"/>
      <c r="H41" s="194"/>
      <c r="I41" s="195"/>
      <c r="J41" s="171">
        <f>SUM(D41:H41)</f>
        <v>840000</v>
      </c>
      <c r="N41" s="101" t="s">
        <v>91</v>
      </c>
      <c r="O41" s="131">
        <v>30</v>
      </c>
      <c r="P41" s="52" t="s">
        <v>92</v>
      </c>
      <c r="Y41" s="105"/>
      <c r="Z41" s="105"/>
      <c r="AA41" s="133">
        <f>AA38+AA39+AA40</f>
        <v>430118</v>
      </c>
    </row>
    <row r="42" spans="2:35" x14ac:dyDescent="0.3">
      <c r="B42" s="167"/>
      <c r="C42" s="174" t="s">
        <v>306</v>
      </c>
      <c r="D42" s="194">
        <v>7500</v>
      </c>
      <c r="E42" s="194">
        <v>7500</v>
      </c>
      <c r="F42" s="194">
        <v>7500</v>
      </c>
      <c r="G42" s="194">
        <v>7500</v>
      </c>
      <c r="H42" s="194">
        <v>7500</v>
      </c>
      <c r="I42" s="195"/>
      <c r="J42" s="171">
        <f t="shared" si="3"/>
        <v>37500</v>
      </c>
      <c r="L42" s="134">
        <f>50*250</f>
        <v>12500</v>
      </c>
      <c r="N42" s="101" t="s">
        <v>93</v>
      </c>
      <c r="O42" s="131">
        <v>10</v>
      </c>
      <c r="P42" s="52" t="s">
        <v>94</v>
      </c>
    </row>
    <row r="43" spans="2:35" x14ac:dyDescent="0.3">
      <c r="B43" s="167"/>
      <c r="C43" s="174" t="s">
        <v>219</v>
      </c>
      <c r="D43" s="194">
        <f>AA38</f>
        <v>258764</v>
      </c>
      <c r="E43" s="194"/>
      <c r="F43" s="194">
        <f>AA39+AA40</f>
        <v>171354</v>
      </c>
      <c r="G43" s="194"/>
      <c r="H43" s="194"/>
      <c r="I43" s="195"/>
      <c r="J43" s="171">
        <f>SUM(D43:H43)</f>
        <v>430118</v>
      </c>
      <c r="N43" s="101" t="s">
        <v>95</v>
      </c>
      <c r="O43" s="131">
        <v>25</v>
      </c>
      <c r="P43" s="52" t="s">
        <v>96</v>
      </c>
    </row>
    <row r="44" spans="2:35" x14ac:dyDescent="0.3">
      <c r="B44" s="167"/>
      <c r="C44" s="175" t="s">
        <v>119</v>
      </c>
      <c r="D44" s="178">
        <f>SUM(D41:D43)</f>
        <v>386264</v>
      </c>
      <c r="E44" s="178">
        <f>SUM(E41:E43)</f>
        <v>7500</v>
      </c>
      <c r="F44" s="222">
        <f>SUM(F41:F43)</f>
        <v>898854</v>
      </c>
      <c r="G44" s="178">
        <f>SUM(G41:G43)</f>
        <v>7500</v>
      </c>
      <c r="H44" s="178">
        <f>SUM(H41:H43)</f>
        <v>7500</v>
      </c>
      <c r="I44" s="177"/>
      <c r="J44" s="178">
        <f>SUM(J41:J43)</f>
        <v>1307618</v>
      </c>
      <c r="N44" s="101" t="s">
        <v>97</v>
      </c>
      <c r="O44" s="131">
        <v>370</v>
      </c>
      <c r="P44" s="52" t="s">
        <v>98</v>
      </c>
    </row>
    <row r="45" spans="2:35" x14ac:dyDescent="0.3">
      <c r="B45" s="167"/>
      <c r="C45" s="179" t="s">
        <v>42</v>
      </c>
      <c r="D45" s="191" t="s">
        <v>35</v>
      </c>
      <c r="E45" s="191"/>
      <c r="F45" s="191"/>
      <c r="G45" s="191"/>
      <c r="H45" s="192"/>
      <c r="I45" s="170"/>
      <c r="J45" s="171"/>
      <c r="N45" s="101" t="s">
        <v>88</v>
      </c>
      <c r="O45" s="131">
        <f>350+300</f>
        <v>650</v>
      </c>
      <c r="P45" s="52" t="s">
        <v>89</v>
      </c>
    </row>
    <row r="46" spans="2:35" x14ac:dyDescent="0.3">
      <c r="B46" s="167"/>
      <c r="C46" s="174" t="s">
        <v>269</v>
      </c>
      <c r="D46" s="196">
        <f>ROUND(Y28*2,0)</f>
        <v>490</v>
      </c>
      <c r="E46" s="197"/>
      <c r="F46" s="196"/>
      <c r="G46" s="197"/>
      <c r="H46" s="197"/>
      <c r="J46" s="171">
        <f>SUM(D46:H46)</f>
        <v>490</v>
      </c>
      <c r="N46" s="101" t="s">
        <v>99</v>
      </c>
      <c r="O46" s="131">
        <v>100</v>
      </c>
      <c r="P46" s="52" t="s">
        <v>100</v>
      </c>
    </row>
    <row r="47" spans="2:35" x14ac:dyDescent="0.3">
      <c r="B47" s="167"/>
      <c r="C47" s="175" t="s">
        <v>120</v>
      </c>
      <c r="D47" s="176">
        <f>SUM(D46)</f>
        <v>490</v>
      </c>
      <c r="E47" s="178">
        <f>SUM(E46)</f>
        <v>0</v>
      </c>
      <c r="F47" s="178">
        <f>SUM(F46)</f>
        <v>0</v>
      </c>
      <c r="G47" s="178">
        <f>SUM(G46)</f>
        <v>0</v>
      </c>
      <c r="H47" s="178">
        <f>SUM(H46)</f>
        <v>0</v>
      </c>
      <c r="I47" s="177"/>
      <c r="J47" s="178">
        <f>SUM(J46)</f>
        <v>490</v>
      </c>
      <c r="N47" s="101" t="s">
        <v>101</v>
      </c>
      <c r="O47" s="131">
        <v>1609</v>
      </c>
      <c r="P47" s="52" t="s">
        <v>158</v>
      </c>
    </row>
    <row r="48" spans="2:35" x14ac:dyDescent="0.3">
      <c r="B48" s="167"/>
      <c r="C48" s="175" t="s">
        <v>121</v>
      </c>
      <c r="D48" s="178">
        <f>SUM(D47,D44,D39,D32,D28,D20,D13)</f>
        <v>670485</v>
      </c>
      <c r="E48" s="178">
        <f>SUM(E47,E44,E39,E32,E28,E20,E13)</f>
        <v>289486</v>
      </c>
      <c r="F48" s="178">
        <f>SUM(F47,F44,F39,F32,F28,F20,F13)</f>
        <v>1187678</v>
      </c>
      <c r="G48" s="178">
        <f>SUM(G47,G44,G39,G32,G28,G20,G13)</f>
        <v>310293</v>
      </c>
      <c r="H48" s="178">
        <f>SUM(H47,H44,H39,H32,H28,H20,H13)</f>
        <v>323330</v>
      </c>
      <c r="I48" s="177"/>
      <c r="J48" s="178">
        <f>SUM(D48:H48)</f>
        <v>2781272</v>
      </c>
      <c r="N48" s="101"/>
      <c r="O48" s="135">
        <f>ROUND(SUM(O39:O47),0)</f>
        <v>3314</v>
      </c>
      <c r="P48" s="52" t="s">
        <v>313</v>
      </c>
    </row>
    <row r="49" spans="1:51" ht="43.8" thickBot="1" x14ac:dyDescent="0.35">
      <c r="B49" s="198"/>
      <c r="C49" s="175" t="s">
        <v>122</v>
      </c>
      <c r="D49" s="178">
        <f>SUM(D47,D44,D39,D32,D28,D20,D13)</f>
        <v>670485</v>
      </c>
      <c r="E49" s="178">
        <f>SUM(E47,E44,E39,E32,E28,E20,E13)</f>
        <v>289486</v>
      </c>
      <c r="F49" s="178">
        <f>SUM(F47,F44,F39,F32,F28,F20,F13)</f>
        <v>1187678</v>
      </c>
      <c r="G49" s="178">
        <f>SUM(G47,G44,G39,G32,G28,G20,G13)</f>
        <v>310293</v>
      </c>
      <c r="H49" s="178">
        <f>SUM(H47,H44,H39,H32,H28,H20,H13)</f>
        <v>323330</v>
      </c>
      <c r="I49" s="177"/>
      <c r="J49" s="178">
        <f>SUM(D49:H49)</f>
        <v>2781272</v>
      </c>
      <c r="L49" s="93" t="s">
        <v>322</v>
      </c>
      <c r="M49" s="93" t="s">
        <v>200</v>
      </c>
      <c r="N49" s="136"/>
      <c r="O49" s="105"/>
      <c r="P49" s="105"/>
      <c r="Q49" s="105"/>
      <c r="R49" s="105"/>
      <c r="S49" s="137"/>
    </row>
    <row r="50" spans="1:51" x14ac:dyDescent="0.3">
      <c r="B50" s="199"/>
      <c r="E50" s="148"/>
      <c r="H50" s="148"/>
      <c r="I50" s="148"/>
      <c r="J50" s="148" t="s">
        <v>20</v>
      </c>
    </row>
    <row r="51" spans="1:51" ht="15" thickBot="1" x14ac:dyDescent="0.35">
      <c r="B51" s="219" t="s">
        <v>43</v>
      </c>
      <c r="C51" s="163" t="s">
        <v>43</v>
      </c>
      <c r="D51" s="200"/>
      <c r="E51" s="200"/>
      <c r="F51" s="200"/>
      <c r="G51" s="200"/>
      <c r="H51" s="201"/>
      <c r="I51" s="148"/>
      <c r="J51" s="202" t="s">
        <v>20</v>
      </c>
      <c r="N51" s="52" t="s">
        <v>183</v>
      </c>
    </row>
    <row r="52" spans="1:51" x14ac:dyDescent="0.3">
      <c r="B52" s="220"/>
      <c r="C52" s="174" t="s">
        <v>123</v>
      </c>
      <c r="D52" s="171">
        <f>ROUND(D49*0.1,0)</f>
        <v>67049</v>
      </c>
      <c r="E52" s="171">
        <f>ROUND(E49*0.1,0)</f>
        <v>28949</v>
      </c>
      <c r="F52" s="171">
        <f>ROUND(F49*0.1,0)</f>
        <v>118768</v>
      </c>
      <c r="G52" s="171">
        <f>ROUND(G49*0.1,0)</f>
        <v>31029</v>
      </c>
      <c r="H52" s="171">
        <f>ROUND(H49*0.1,0)</f>
        <v>32333</v>
      </c>
      <c r="I52" s="170"/>
      <c r="J52" s="171">
        <f>SUM(D52:H52)</f>
        <v>278128</v>
      </c>
      <c r="N52" s="107" t="s">
        <v>160</v>
      </c>
      <c r="O52" s="98"/>
      <c r="P52" s="98"/>
      <c r="Q52" s="98"/>
      <c r="R52" s="98"/>
      <c r="S52" s="98"/>
      <c r="T52" s="98"/>
      <c r="U52" s="98"/>
      <c r="V52" s="98"/>
      <c r="W52" s="99"/>
    </row>
    <row r="53" spans="1:51" x14ac:dyDescent="0.3">
      <c r="B53" s="220"/>
      <c r="C53" s="203"/>
      <c r="D53" s="185"/>
      <c r="E53" s="185"/>
      <c r="F53" s="185"/>
      <c r="G53" s="185"/>
      <c r="H53" s="185"/>
      <c r="I53" s="170"/>
      <c r="J53" s="171">
        <f t="shared" ref="J53" si="4">SUM(D53:H53)</f>
        <v>0</v>
      </c>
      <c r="N53" s="101"/>
      <c r="O53" s="62" t="s">
        <v>161</v>
      </c>
      <c r="P53" s="62">
        <v>2024</v>
      </c>
      <c r="Q53" s="62">
        <v>2025</v>
      </c>
      <c r="R53" s="62">
        <v>2026</v>
      </c>
      <c r="S53" s="62">
        <v>2027</v>
      </c>
      <c r="T53" s="62">
        <v>2028</v>
      </c>
      <c r="U53" s="62">
        <v>2029</v>
      </c>
      <c r="V53" s="62" t="s">
        <v>162</v>
      </c>
      <c r="W53" s="112"/>
    </row>
    <row r="54" spans="1:51" x14ac:dyDescent="0.3">
      <c r="B54" s="221"/>
      <c r="C54" s="175" t="s">
        <v>21</v>
      </c>
      <c r="D54" s="178">
        <f>SUM(D52:D53)</f>
        <v>67049</v>
      </c>
      <c r="E54" s="178">
        <f t="shared" ref="E54:H54" si="5">SUM(E52:E53)</f>
        <v>28949</v>
      </c>
      <c r="F54" s="178">
        <f t="shared" si="5"/>
        <v>118768</v>
      </c>
      <c r="G54" s="178">
        <f t="shared" si="5"/>
        <v>31029</v>
      </c>
      <c r="H54" s="178">
        <f t="shared" si="5"/>
        <v>32333</v>
      </c>
      <c r="I54" s="177"/>
      <c r="J54" s="178">
        <f>SUM(J52:J53)</f>
        <v>278128</v>
      </c>
      <c r="N54" s="138" t="s">
        <v>163</v>
      </c>
      <c r="O54" s="52">
        <v>1.33</v>
      </c>
      <c r="P54" s="52">
        <v>311</v>
      </c>
      <c r="Q54" s="52">
        <v>414</v>
      </c>
      <c r="R54" s="52">
        <v>551</v>
      </c>
      <c r="S54" s="52">
        <v>733</v>
      </c>
      <c r="T54" s="52">
        <v>975</v>
      </c>
      <c r="U54" s="52">
        <v>1297</v>
      </c>
      <c r="V54" s="52" t="s">
        <v>164</v>
      </c>
      <c r="W54" s="112"/>
    </row>
    <row r="55" spans="1:51" ht="15" thickBot="1" x14ac:dyDescent="0.35">
      <c r="B55" s="204"/>
      <c r="D55" s="170"/>
      <c r="E55" s="170"/>
      <c r="F55" s="170"/>
      <c r="G55" s="170"/>
      <c r="H55" s="170"/>
      <c r="I55" s="170"/>
      <c r="J55" s="170" t="s">
        <v>20</v>
      </c>
      <c r="N55" s="138" t="s">
        <v>165</v>
      </c>
      <c r="O55" s="52">
        <v>1.33</v>
      </c>
      <c r="P55" s="52">
        <v>194</v>
      </c>
      <c r="Q55" s="52">
        <v>258</v>
      </c>
      <c r="R55" s="52">
        <v>343</v>
      </c>
      <c r="S55" s="52">
        <v>456</v>
      </c>
      <c r="T55" s="52">
        <v>606</v>
      </c>
      <c r="U55" s="52">
        <v>806</v>
      </c>
      <c r="V55" s="52" t="s">
        <v>166</v>
      </c>
      <c r="W55" s="112"/>
    </row>
    <row r="56" spans="1:51" ht="14.4" customHeight="1" thickBot="1" x14ac:dyDescent="0.35">
      <c r="B56" s="205" t="s">
        <v>22</v>
      </c>
      <c r="C56" s="205" t="s">
        <v>22</v>
      </c>
      <c r="D56" s="206">
        <f>SUM(D54,D48)</f>
        <v>737534</v>
      </c>
      <c r="E56" s="206">
        <f>SUM(E54,E48)</f>
        <v>318435</v>
      </c>
      <c r="F56" s="206">
        <f>SUM(F54,F48)</f>
        <v>1306446</v>
      </c>
      <c r="G56" s="206">
        <f>SUM(G54,G48)</f>
        <v>341322</v>
      </c>
      <c r="H56" s="206">
        <f>SUM(H54,H48)</f>
        <v>355663</v>
      </c>
      <c r="I56" s="170"/>
      <c r="J56" s="206">
        <f>SUM(J54,J48)</f>
        <v>3059400</v>
      </c>
      <c r="K56" s="139"/>
      <c r="L56" s="126"/>
      <c r="M56" s="126"/>
      <c r="N56" s="138" t="s">
        <v>167</v>
      </c>
      <c r="O56" s="52">
        <v>1.03</v>
      </c>
      <c r="P56" s="52">
        <v>22</v>
      </c>
      <c r="Q56" s="52">
        <v>22</v>
      </c>
      <c r="R56" s="52">
        <v>22</v>
      </c>
      <c r="S56" s="52">
        <v>23</v>
      </c>
      <c r="T56" s="52">
        <v>23</v>
      </c>
      <c r="U56" s="52">
        <v>23</v>
      </c>
      <c r="V56" s="52" t="s">
        <v>168</v>
      </c>
      <c r="W56" s="112"/>
    </row>
    <row r="57" spans="1:51" x14ac:dyDescent="0.3">
      <c r="B57" s="207"/>
      <c r="L57" s="140">
        <f>J56/13</f>
        <v>235338.46153846153</v>
      </c>
      <c r="M57" s="93" t="s">
        <v>316</v>
      </c>
      <c r="N57" s="138" t="s">
        <v>169</v>
      </c>
      <c r="O57" s="52">
        <v>1.07</v>
      </c>
      <c r="P57" s="52">
        <v>305</v>
      </c>
      <c r="Q57" s="52">
        <v>326</v>
      </c>
      <c r="R57" s="52">
        <v>349</v>
      </c>
      <c r="S57" s="52">
        <v>373</v>
      </c>
      <c r="T57" s="52">
        <v>399</v>
      </c>
      <c r="U57" s="52">
        <v>427</v>
      </c>
      <c r="V57" s="52" t="s">
        <v>170</v>
      </c>
      <c r="W57" s="112"/>
    </row>
    <row r="58" spans="1:51" s="62" customFormat="1" x14ac:dyDescent="0.3">
      <c r="A58" s="208"/>
      <c r="B58" s="148"/>
      <c r="C58" s="148"/>
      <c r="D58" s="148"/>
      <c r="E58" s="150"/>
      <c r="F58" s="148"/>
      <c r="G58" s="148"/>
      <c r="H58" s="150"/>
      <c r="I58" s="151"/>
      <c r="J58" s="148"/>
      <c r="K58" s="92"/>
      <c r="L58" s="140">
        <f>J56/(10*13)</f>
        <v>23533.846153846152</v>
      </c>
      <c r="M58" s="93" t="s">
        <v>317</v>
      </c>
      <c r="N58" s="138" t="s">
        <v>171</v>
      </c>
      <c r="O58" s="52">
        <v>1.1000000000000001</v>
      </c>
      <c r="P58" s="52">
        <v>325</v>
      </c>
      <c r="Q58" s="62">
        <v>358</v>
      </c>
      <c r="R58" s="62">
        <v>394</v>
      </c>
      <c r="S58" s="62">
        <v>433</v>
      </c>
      <c r="T58" s="62">
        <v>476</v>
      </c>
      <c r="U58" s="62">
        <v>524</v>
      </c>
      <c r="V58" s="62" t="s">
        <v>172</v>
      </c>
      <c r="W58" s="141"/>
      <c r="Y58" s="52"/>
      <c r="Z58" s="52"/>
      <c r="AA58" s="52"/>
      <c r="AQ58" s="91"/>
      <c r="AR58" s="91"/>
      <c r="AS58" s="91"/>
      <c r="AT58" s="91"/>
      <c r="AU58" s="91"/>
      <c r="AV58" s="91"/>
      <c r="AW58" s="91"/>
      <c r="AX58" s="91"/>
      <c r="AY58" s="91"/>
    </row>
    <row r="59" spans="1:51" x14ac:dyDescent="0.3">
      <c r="B59" s="209"/>
      <c r="L59" s="140">
        <f>J56/167076</f>
        <v>18.311427134956546</v>
      </c>
      <c r="M59" s="93" t="s">
        <v>226</v>
      </c>
      <c r="N59" s="138" t="s">
        <v>173</v>
      </c>
      <c r="O59" s="52">
        <v>1.07</v>
      </c>
      <c r="P59" s="52">
        <v>175</v>
      </c>
      <c r="Q59" s="52">
        <v>187</v>
      </c>
      <c r="R59" s="52">
        <v>200</v>
      </c>
      <c r="S59" s="52">
        <v>214</v>
      </c>
      <c r="T59" s="52">
        <v>229</v>
      </c>
      <c r="U59" s="52">
        <v>245</v>
      </c>
      <c r="V59" s="52" t="s">
        <v>174</v>
      </c>
      <c r="W59" s="112"/>
      <c r="Y59" s="62"/>
      <c r="Z59" s="62"/>
      <c r="AA59" s="62"/>
    </row>
    <row r="60" spans="1:51" x14ac:dyDescent="0.3">
      <c r="L60" s="93" t="s">
        <v>230</v>
      </c>
      <c r="M60" s="93" t="s">
        <v>227</v>
      </c>
      <c r="N60" s="138" t="s">
        <v>305</v>
      </c>
      <c r="P60" s="142">
        <v>1021</v>
      </c>
      <c r="Q60" s="142">
        <v>1151</v>
      </c>
      <c r="R60" s="142">
        <v>1308</v>
      </c>
      <c r="S60" s="142">
        <v>1499</v>
      </c>
      <c r="T60" s="142">
        <v>1733</v>
      </c>
      <c r="U60" s="142">
        <v>2025</v>
      </c>
      <c r="V60" s="52" t="s">
        <v>175</v>
      </c>
      <c r="W60" s="112"/>
    </row>
    <row r="61" spans="1:51" ht="43.2" x14ac:dyDescent="0.3">
      <c r="M61" s="93" t="s">
        <v>228</v>
      </c>
      <c r="N61" s="138" t="s">
        <v>176</v>
      </c>
      <c r="O61" s="62"/>
      <c r="P61" s="62">
        <v>34</v>
      </c>
      <c r="Q61" s="52">
        <v>39</v>
      </c>
      <c r="R61" s="52">
        <v>45</v>
      </c>
      <c r="S61" s="52">
        <v>53</v>
      </c>
      <c r="T61" s="52">
        <v>63</v>
      </c>
      <c r="U61" s="52">
        <v>75</v>
      </c>
      <c r="V61" s="52" t="s">
        <v>177</v>
      </c>
      <c r="W61" s="112"/>
    </row>
    <row r="62" spans="1:51" ht="28.8" x14ac:dyDescent="0.3">
      <c r="M62" s="93" t="s">
        <v>229</v>
      </c>
      <c r="N62" s="138" t="s">
        <v>178</v>
      </c>
      <c r="P62" s="52">
        <v>41</v>
      </c>
      <c r="Q62" s="52">
        <v>45</v>
      </c>
      <c r="R62" s="52">
        <v>48</v>
      </c>
      <c r="S62" s="52">
        <v>52</v>
      </c>
      <c r="T62" s="52">
        <v>56</v>
      </c>
      <c r="U62" s="52">
        <v>61</v>
      </c>
      <c r="V62" s="52" t="s">
        <v>179</v>
      </c>
      <c r="W62" s="112"/>
    </row>
    <row r="63" spans="1:51" x14ac:dyDescent="0.3">
      <c r="N63" s="138" t="s">
        <v>180</v>
      </c>
      <c r="P63" s="52">
        <v>77</v>
      </c>
      <c r="Q63" s="52">
        <v>90</v>
      </c>
      <c r="R63" s="52">
        <v>105</v>
      </c>
      <c r="S63" s="52">
        <v>125</v>
      </c>
      <c r="T63" s="52">
        <v>150</v>
      </c>
      <c r="U63" s="52">
        <v>182</v>
      </c>
      <c r="V63" s="52" t="s">
        <v>181</v>
      </c>
      <c r="W63" s="112"/>
    </row>
    <row r="64" spans="1:51" ht="15" thickBot="1" x14ac:dyDescent="0.35">
      <c r="N64" s="143" t="s">
        <v>182</v>
      </c>
      <c r="O64" s="105"/>
      <c r="P64" s="144">
        <v>1173</v>
      </c>
      <c r="Q64" s="144">
        <v>1325</v>
      </c>
      <c r="R64" s="144">
        <v>1506</v>
      </c>
      <c r="S64" s="144">
        <v>1729</v>
      </c>
      <c r="T64" s="144">
        <v>2002</v>
      </c>
      <c r="U64" s="144">
        <v>2343</v>
      </c>
      <c r="V64" s="105"/>
      <c r="W64" s="114"/>
    </row>
    <row r="67" spans="2:22" ht="230.4" x14ac:dyDescent="0.3">
      <c r="B67" s="210"/>
      <c r="N67" s="17" t="s">
        <v>186</v>
      </c>
      <c r="O67" s="18" t="s">
        <v>195</v>
      </c>
      <c r="P67" s="18" t="s">
        <v>194</v>
      </c>
      <c r="Q67" s="18" t="s">
        <v>192</v>
      </c>
      <c r="R67" s="18" t="s">
        <v>193</v>
      </c>
      <c r="S67" s="18"/>
      <c r="T67" s="18" t="s">
        <v>195</v>
      </c>
      <c r="U67" s="18" t="s">
        <v>196</v>
      </c>
      <c r="V67" s="145" t="s">
        <v>187</v>
      </c>
    </row>
    <row r="68" spans="2:22" x14ac:dyDescent="0.3">
      <c r="N68" s="18" t="s">
        <v>188</v>
      </c>
      <c r="O68" s="146">
        <f>40000*1.5</f>
        <v>60000</v>
      </c>
      <c r="P68" s="146">
        <v>10000</v>
      </c>
      <c r="Q68" s="18">
        <v>14</v>
      </c>
      <c r="R68" s="18">
        <v>1</v>
      </c>
      <c r="S68" s="146"/>
      <c r="T68" s="146">
        <f>O68*Q68*R68</f>
        <v>840000</v>
      </c>
      <c r="U68" s="146">
        <f>P68*Q68*R68</f>
        <v>140000</v>
      </c>
      <c r="V68" s="145" t="s">
        <v>189</v>
      </c>
    </row>
    <row r="69" spans="2:22" x14ac:dyDescent="0.3">
      <c r="N69" s="18" t="s">
        <v>190</v>
      </c>
      <c r="O69" s="146"/>
      <c r="P69" s="146"/>
      <c r="Q69" s="18"/>
      <c r="R69" s="18"/>
      <c r="S69" s="146"/>
      <c r="T69" s="146">
        <f>O69*Q69*R69</f>
        <v>0</v>
      </c>
      <c r="U69" s="146">
        <f>P69*Q69*R68</f>
        <v>0</v>
      </c>
      <c r="V69" s="145" t="s">
        <v>191</v>
      </c>
    </row>
    <row r="70" spans="2:22" x14ac:dyDescent="0.3">
      <c r="N70" s="18"/>
      <c r="O70" s="18"/>
      <c r="P70" s="18"/>
      <c r="Q70" s="18"/>
      <c r="R70" s="18"/>
      <c r="S70" s="18"/>
      <c r="T70" s="146">
        <f>T68+T69</f>
        <v>840000</v>
      </c>
      <c r="U70" s="146">
        <f>U69+U68</f>
        <v>140000</v>
      </c>
      <c r="V70" s="145"/>
    </row>
    <row r="71" spans="2:22" x14ac:dyDescent="0.3">
      <c r="S71" s="52" t="s">
        <v>197</v>
      </c>
      <c r="T71" s="147">
        <f>O68*2</f>
        <v>120000</v>
      </c>
    </row>
    <row r="72" spans="2:22" x14ac:dyDescent="0.3">
      <c r="S72" s="52" t="s">
        <v>198</v>
      </c>
      <c r="T72" s="147">
        <f>O68*12</f>
        <v>720000</v>
      </c>
    </row>
    <row r="73" spans="2:22" x14ac:dyDescent="0.3">
      <c r="T73" s="147">
        <f>T72+T71</f>
        <v>840000</v>
      </c>
    </row>
  </sheetData>
  <sheetProtection sheet="1" objects="1" scenarios="1" insertHyperlinks="0" sort="0"/>
  <mergeCells count="1">
    <mergeCell ref="B51:B54"/>
  </mergeCells>
  <hyperlinks>
    <hyperlink ref="AA21" r:id="rId1" xr:uid="{AADC583F-DF69-447C-B76E-8F7CFBED385D}"/>
    <hyperlink ref="AA28" r:id="rId2" xr:uid="{72A9A440-9079-46F4-BFA6-B6D8B15C4E77}"/>
  </hyperlinks>
  <pageMargins left="0.7" right="0.7" top="0.75" bottom="0.75" header="0.3" footer="0.3"/>
  <pageSetup scale="34" fitToWidth="0" orientation="portrait" r:id="rId3"/>
  <ignoredErrors>
    <ignoredError sqref="J4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42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8" sqref="C8"/>
    </sheetView>
  </sheetViews>
  <sheetFormatPr defaultColWidth="9.109375" defaultRowHeight="14.4" x14ac:dyDescent="0.3"/>
  <cols>
    <col min="1" max="1" width="3.109375" customWidth="1"/>
    <col min="2" max="2" width="9.6640625" customWidth="1"/>
    <col min="3" max="3" width="44.44140625" customWidth="1"/>
    <col min="4" max="4" width="12.88671875" style="6" customWidth="1"/>
    <col min="5" max="5" width="12.44140625" style="2" customWidth="1"/>
    <col min="6" max="6" width="12.6640625" customWidth="1"/>
    <col min="7" max="7" width="12.88671875" customWidth="1"/>
    <col min="8" max="8" width="13.44140625" style="2" customWidth="1"/>
    <col min="9" max="9" width="0.88671875" style="7" customWidth="1"/>
    <col min="10" max="10" width="14.4414062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3">
      <c r="B40" s="23"/>
      <c r="C40" s="47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3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09375" defaultRowHeight="14.4" x14ac:dyDescent="0.3"/>
  <cols>
    <col min="1" max="1" width="3.109375" customWidth="1"/>
    <col min="2" max="2" width="10.6640625" customWidth="1"/>
    <col min="3" max="3" width="45.554687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88671875" style="7" customWidth="1"/>
    <col min="10" max="10" width="13.554687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0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46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3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ht="28.8" x14ac:dyDescent="0.3">
      <c r="B53" s="5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customWidth="1"/>
    <col min="2" max="2" width="10" customWidth="1"/>
    <col min="3" max="3" width="46.88671875" customWidth="1"/>
    <col min="4" max="4" width="12.6640625" style="6" customWidth="1"/>
    <col min="5" max="5" width="12.44140625" style="2" customWidth="1"/>
    <col min="6" max="6" width="12.88671875" customWidth="1"/>
    <col min="7" max="7" width="12.44140625" customWidth="1"/>
    <col min="8" max="8" width="12.6640625" style="2" customWidth="1"/>
    <col min="9" max="9" width="0.88671875" style="7" customWidth="1"/>
    <col min="10" max="10" width="12.6640625" bestFit="1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0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 t="s">
        <v>39</v>
      </c>
      <c r="E19" s="11" t="s">
        <v>39</v>
      </c>
      <c r="F19" s="11" t="s">
        <v>39</v>
      </c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44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5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customWidth="1"/>
    <col min="2" max="2" width="11.109375" customWidth="1"/>
    <col min="3" max="3" width="46.44140625" customWidth="1"/>
    <col min="4" max="4" width="13.33203125" style="6" customWidth="1"/>
    <col min="5" max="5" width="13.109375" style="2" customWidth="1"/>
    <col min="6" max="7" width="13.109375" customWidth="1"/>
    <col min="8" max="8" width="12.88671875" style="2" customWidth="1"/>
    <col min="9" max="9" width="0.88671875" style="7" customWidth="1"/>
    <col min="10" max="10" width="14.554687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0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5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6" zoomScale="85" zoomScaleNormal="85" workbookViewId="0">
      <selection activeCell="P22" sqref="P22"/>
    </sheetView>
  </sheetViews>
  <sheetFormatPr defaultColWidth="9.109375" defaultRowHeight="14.4" x14ac:dyDescent="0.3"/>
  <cols>
    <col min="1" max="1" width="3.109375" customWidth="1"/>
    <col min="2" max="2" width="12.109375" customWidth="1"/>
    <col min="3" max="3" width="52.8867187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4.554687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8" x14ac:dyDescent="0.3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/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x14ac:dyDescent="0.3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x14ac:dyDescent="0.3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57.6" x14ac:dyDescent="0.3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.6" x14ac:dyDescent="0.3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.6" x14ac:dyDescent="0.3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x14ac:dyDescent="0.3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8" x14ac:dyDescent="0.3">
      <c r="B43" s="23"/>
      <c r="C43" s="25" t="s">
        <v>63</v>
      </c>
      <c r="D43" s="15">
        <v>10000000</v>
      </c>
      <c r="E43" s="45">
        <v>10000000</v>
      </c>
      <c r="F43" s="45">
        <v>10000000</v>
      </c>
      <c r="G43" s="45">
        <v>10000000</v>
      </c>
      <c r="H43" s="45">
        <v>10000000</v>
      </c>
      <c r="J43" s="15">
        <f t="shared" si="6"/>
        <v>50000000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">
      <c r="B47" s="6"/>
      <c r="D47"/>
      <c r="E47"/>
      <c r="H47"/>
      <c r="I47"/>
      <c r="J47" t="s">
        <v>20</v>
      </c>
    </row>
    <row r="48" spans="2:10" x14ac:dyDescent="0.3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P22" sqref="P22"/>
      <selection pane="topRight" activeCell="P22" sqref="P22"/>
      <selection pane="bottomLeft" activeCell="P22" sqref="P22"/>
      <selection pane="bottomRight" activeCell="P22" sqref="P22"/>
    </sheetView>
  </sheetViews>
  <sheetFormatPr defaultColWidth="9.109375" defaultRowHeight="14.4" x14ac:dyDescent="0.3"/>
  <cols>
    <col min="1" max="1" width="3.109375" customWidth="1"/>
    <col min="2" max="2" width="12.109375" customWidth="1"/>
    <col min="3" max="3" width="52.88671875" customWidth="1"/>
    <col min="4" max="4" width="12.88671875" style="6" customWidth="1"/>
    <col min="5" max="5" width="12.44140625" style="2" customWidth="1"/>
    <col min="6" max="6" width="12.6640625" customWidth="1"/>
    <col min="7" max="7" width="12.88671875" customWidth="1"/>
    <col min="8" max="8" width="13.44140625" style="2" customWidth="1"/>
    <col min="9" max="9" width="0.88671875" style="7" customWidth="1"/>
    <col min="10" max="10" width="14.4414062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48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3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3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3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3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3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">
      <c r="B40" s="23"/>
      <c r="C40" s="47"/>
      <c r="D40" s="15"/>
      <c r="E40" s="15"/>
      <c r="F40" s="15"/>
      <c r="G40" s="15"/>
      <c r="H40" s="15"/>
      <c r="I40" s="35"/>
      <c r="J40" s="15"/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3.2" x14ac:dyDescent="0.3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.6" x14ac:dyDescent="0.3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6.4" x14ac:dyDescent="0.3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3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84f64e2-ad4a-40a0-a9ce-9540fb4beab1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2054D22DA4714CB7CF75E31B1BF727" ma:contentTypeVersion="8" ma:contentTypeDescription="Create a new document." ma:contentTypeScope="" ma:versionID="0eb1c5237914f67347f4afbc76d3eac8">
  <xsd:schema xmlns:xsd="http://www.w3.org/2001/XMLSchema" xmlns:xs="http://www.w3.org/2001/XMLSchema" xmlns:p="http://schemas.microsoft.com/office/2006/metadata/properties" xmlns:ns2="4af14768-05da-45a1-8aed-7c6176d6610a" xmlns:ns3="084f64e2-ad4a-40a0-a9ce-9540fb4beab1" targetNamespace="http://schemas.microsoft.com/office/2006/metadata/properties" ma:root="true" ma:fieldsID="f3003ffe0129685fb6d7724ce723629d" ns2:_="" ns3:_="">
    <xsd:import namespace="4af14768-05da-45a1-8aed-7c6176d6610a"/>
    <xsd:import namespace="084f64e2-ad4a-40a0-a9ce-9540fb4bea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f14768-05da-45a1-8aed-7c6176d661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f64e2-ad4a-40a0-a9ce-9540fb4beab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purl.org/dc/terms/"/>
    <ds:schemaRef ds:uri="http://www.w3.org/XML/1998/namespace"/>
    <ds:schemaRef ds:uri="http://schemas.microsoft.com/office/2006/documentManagement/types"/>
    <ds:schemaRef ds:uri="4af14768-05da-45a1-8aed-7c6176d6610a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084f64e2-ad4a-40a0-a9ce-9540fb4beab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8777C896-B2C8-4B3F-8FFF-DD51843974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f14768-05da-45a1-8aed-7c6176d6610a"/>
    <ds:schemaRef ds:uri="084f64e2-ad4a-40a0-a9ce-9540fb4bea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2024-03-29T20:49:45Z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0x010100602054D22DA4714CB7CF75E31B1BF727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