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231"/>
  <workbookPr hidePivotFieldList="1"/>
  <mc:AlternateContent xmlns:mc="http://schemas.openxmlformats.org/markup-compatibility/2006">
    <mc:Choice Requires="x15">
      <x15ac:absPath xmlns:x15ac="http://schemas.microsoft.com/office/spreadsheetml/2010/11/ac" url="https://hsvutil-my.sharepoint.com/personal/caitlin_byrd_hsvutil_org/Documents/Caitlin.Williams (fileserverhome_folders)/Grants/EPA CPRG/2024 Submission Docs/"/>
    </mc:Choice>
  </mc:AlternateContent>
  <xr:revisionPtr revIDLastSave="0" documentId="8_{AA88E6AC-B157-4651-9C37-E45C8BBBB6CC}" xr6:coauthVersionLast="47" xr6:coauthVersionMax="47" xr10:uidLastSave="{00000000-0000-0000-0000-000000000000}"/>
  <bookViews>
    <workbookView xWindow="30735" yWindow="3195" windowWidth="21600" windowHeight="11325" activeTab="2"/>
  </bookViews>
  <sheets>
    <sheet name="CO2_factors_2021" sheetId="9" r:id="rId1"/>
    <sheet name="Sheet1" sheetId="10" r:id="rId2"/>
    <sheet name="Supporting Info" sheetId="11"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10" l="1"/>
  <c r="B28" i="10"/>
  <c r="H28" i="10"/>
  <c r="B19" i="10"/>
  <c r="G16" i="10"/>
  <c r="C16" i="10"/>
  <c r="E16" i="10"/>
  <c r="D5" i="10"/>
  <c r="C5" i="10"/>
  <c r="B5" i="10"/>
  <c r="E5" i="10"/>
  <c r="H5" i="10"/>
  <c r="D4" i="10"/>
  <c r="C4" i="10"/>
  <c r="B4" i="10"/>
  <c r="F8" i="9"/>
  <c r="B8" i="9"/>
  <c r="D8" i="9"/>
  <c r="F9" i="9"/>
  <c r="B9" i="9"/>
  <c r="D9" i="9"/>
  <c r="F10" i="9"/>
  <c r="F11" i="9"/>
  <c r="B11" i="9"/>
  <c r="D11" i="9"/>
  <c r="F12" i="9"/>
  <c r="B12" i="9"/>
  <c r="D12" i="9"/>
  <c r="G13" i="9"/>
  <c r="F13" i="9"/>
  <c r="B13" i="9"/>
  <c r="D13" i="9"/>
  <c r="F14" i="9"/>
  <c r="B14" i="9"/>
  <c r="D14" i="9"/>
  <c r="F15" i="9"/>
  <c r="F17" i="9"/>
  <c r="B17" i="9"/>
  <c r="D17" i="9"/>
  <c r="F18" i="9"/>
  <c r="B18" i="9"/>
  <c r="D18" i="9"/>
  <c r="F20" i="9"/>
  <c r="B20" i="9"/>
  <c r="D20" i="9"/>
  <c r="F22" i="9"/>
  <c r="B22" i="9"/>
  <c r="D22" i="9"/>
  <c r="F23" i="9"/>
  <c r="B23" i="9"/>
  <c r="D23" i="9"/>
  <c r="F24" i="9"/>
  <c r="B24" i="9"/>
  <c r="D24" i="9"/>
  <c r="F25" i="9"/>
  <c r="B25" i="9"/>
  <c r="D25" i="9"/>
  <c r="F26" i="9"/>
  <c r="B26" i="9"/>
  <c r="D26" i="9"/>
  <c r="F27" i="9"/>
  <c r="B27" i="9"/>
  <c r="D27" i="9"/>
  <c r="F29" i="9"/>
  <c r="B29" i="9"/>
  <c r="D29" i="9"/>
  <c r="F30" i="9"/>
  <c r="B30" i="9"/>
  <c r="D30" i="9"/>
  <c r="F31" i="9"/>
  <c r="B31" i="9"/>
  <c r="D31" i="9"/>
  <c r="F32" i="9"/>
  <c r="B32" i="9"/>
  <c r="D32" i="9"/>
  <c r="F33" i="9"/>
  <c r="B33" i="9"/>
  <c r="D33" i="9"/>
  <c r="F35" i="9"/>
  <c r="F36" i="9"/>
  <c r="F37" i="9"/>
  <c r="B37" i="9"/>
  <c r="D37" i="9"/>
  <c r="F38" i="9"/>
  <c r="B38" i="9"/>
  <c r="D38" i="9"/>
  <c r="F39" i="9"/>
  <c r="B39" i="9"/>
  <c r="D39" i="9"/>
  <c r="B10" i="9"/>
  <c r="D10" i="9"/>
  <c r="B15" i="9"/>
  <c r="D15" i="9"/>
  <c r="E4" i="10"/>
  <c r="H4" i="10"/>
  <c r="C19" i="10"/>
  <c r="G4" i="10"/>
  <c r="G5" i="10"/>
  <c r="E19" i="10"/>
  <c r="C24" i="10"/>
  <c r="F4" i="10"/>
  <c r="F5" i="10"/>
</calcChain>
</file>

<file path=xl/sharedStrings.xml><?xml version="1.0" encoding="utf-8"?>
<sst xmlns="http://schemas.openxmlformats.org/spreadsheetml/2006/main" count="159" uniqueCount="86">
  <si>
    <t>Per Unit of Volume or Mass</t>
  </si>
  <si>
    <t>Per Million Btu</t>
  </si>
  <si>
    <t>For homes and businesses</t>
  </si>
  <si>
    <t>Propane</t>
  </si>
  <si>
    <t>gallon</t>
  </si>
  <si>
    <t>Kerosene</t>
  </si>
  <si>
    <t>Coal (All types)</t>
  </si>
  <si>
    <t>short ton</t>
  </si>
  <si>
    <t>Natural Gas</t>
  </si>
  <si>
    <t>thousand cubic feet</t>
  </si>
  <si>
    <t>Residual Heating Fuel (Businesses only)</t>
  </si>
  <si>
    <t xml:space="preserve">Other transportation fuels </t>
  </si>
  <si>
    <t>Jet Fuel</t>
  </si>
  <si>
    <t>Industrial fuels and others not listed above</t>
  </si>
  <si>
    <t>Petroleum coke</t>
  </si>
  <si>
    <t>Nonfuel uses</t>
  </si>
  <si>
    <t>Asphalt and Road Oil</t>
  </si>
  <si>
    <t>Lubricants</t>
  </si>
  <si>
    <t>Special Naphthas (solvents)</t>
  </si>
  <si>
    <t xml:space="preserve">Waxes </t>
  </si>
  <si>
    <t>Coals by type</t>
  </si>
  <si>
    <t>Bituminous</t>
  </si>
  <si>
    <t>Lignite</t>
  </si>
  <si>
    <t>Coke</t>
  </si>
  <si>
    <t>Note: To convert to carbon equivalents multiply by 12/44.</t>
  </si>
  <si>
    <t>Carbon Dioxide Emissions Coefficients by Fuel</t>
  </si>
  <si>
    <t>Subbituminous</t>
  </si>
  <si>
    <t>Coefficients may vary slightly with estimation method and across time.</t>
  </si>
  <si>
    <t>Anthracite</t>
  </si>
  <si>
    <t>Diesel and Home Heating Fuel (Distillate Fuel Oil)</t>
  </si>
  <si>
    <t>Aviation Gasoline</t>
  </si>
  <si>
    <t>Naphthas for Petrochemical Feedstock Use</t>
  </si>
  <si>
    <t>Other Oils for Petrochemical Feedstock Use</t>
  </si>
  <si>
    <t>Other fuels</t>
  </si>
  <si>
    <t>NA</t>
  </si>
  <si>
    <t>Geothermal (steam)</t>
  </si>
  <si>
    <t>Geothermal (binary cycle)</t>
  </si>
  <si>
    <r>
      <t>Finished Motor Gasoline</t>
    </r>
    <r>
      <rPr>
        <vertAlign val="superscript"/>
        <sz val="9"/>
        <color indexed="8"/>
        <rFont val="Calibri"/>
        <family val="2"/>
      </rPr>
      <t>a</t>
    </r>
  </si>
  <si>
    <r>
      <rPr>
        <b/>
        <vertAlign val="superscript"/>
        <sz val="9"/>
        <color indexed="8"/>
        <rFont val="Calibri"/>
        <family val="2"/>
      </rPr>
      <t xml:space="preserve">b </t>
    </r>
    <r>
      <rPr>
        <b/>
        <sz val="9"/>
        <color indexed="8"/>
        <rFont val="Calibri"/>
        <family val="2"/>
      </rPr>
      <t xml:space="preserve">Carbon factors for municipal solid waste, tire-derived fuel, and waste oil are provided by the U.S. Environmental Protection Agency, </t>
    </r>
    <r>
      <rPr>
        <b/>
        <i/>
        <sz val="9"/>
        <color indexed="8"/>
        <rFont val="Calibri"/>
        <family val="2"/>
      </rPr>
      <t>Greenhouse Gas Emissions Factor Hub</t>
    </r>
  </si>
  <si>
    <r>
      <rPr>
        <b/>
        <vertAlign val="superscript"/>
        <sz val="9"/>
        <color indexed="8"/>
        <rFont val="Calibri"/>
        <family val="2"/>
      </rPr>
      <t xml:space="preserve">c </t>
    </r>
    <r>
      <rPr>
        <b/>
        <sz val="9"/>
        <color indexed="8"/>
        <rFont val="Calibri"/>
        <family val="2"/>
      </rPr>
      <t>The carbon factor for municipal solid waste has been adjusted to apply both to biogenic and non-biogenic waste</t>
    </r>
  </si>
  <si>
    <r>
      <t>Municipal Solid Waste</t>
    </r>
    <r>
      <rPr>
        <vertAlign val="superscript"/>
        <sz val="9"/>
        <color indexed="8"/>
        <rFont val="Calibri"/>
        <family val="2"/>
      </rPr>
      <t>b,c</t>
    </r>
  </si>
  <si>
    <r>
      <t>Tire-derived fuel</t>
    </r>
    <r>
      <rPr>
        <vertAlign val="superscript"/>
        <sz val="9"/>
        <color indexed="8"/>
        <rFont val="Calibri"/>
        <family val="2"/>
      </rPr>
      <t>b</t>
    </r>
  </si>
  <si>
    <r>
      <t>Waste oil</t>
    </r>
    <r>
      <rPr>
        <vertAlign val="superscript"/>
        <sz val="9"/>
        <color indexed="8"/>
        <rFont val="Calibri"/>
        <family val="2"/>
      </rPr>
      <t>b</t>
    </r>
  </si>
  <si>
    <t>Motor Gasoline</t>
  </si>
  <si>
    <r>
      <rPr>
        <b/>
        <vertAlign val="superscript"/>
        <sz val="9"/>
        <color indexed="8"/>
        <rFont val="Calibri"/>
        <family val="2"/>
      </rPr>
      <t xml:space="preserve">a </t>
    </r>
    <r>
      <rPr>
        <b/>
        <sz val="9"/>
        <color indexed="8"/>
        <rFont val="Calibri"/>
        <family val="2"/>
      </rPr>
      <t>Includes fuel ethanol blended into motor gasoline. The fuel ethanol component of finished motor gasoline is treated as nonemissive. See methodology documentation for further details on calculations.</t>
    </r>
  </si>
  <si>
    <r>
      <t>Carbon Dioxide (CO</t>
    </r>
    <r>
      <rPr>
        <b/>
        <vertAlign val="subscript"/>
        <sz val="9"/>
        <color indexed="8"/>
        <rFont val="Calibri"/>
        <family val="2"/>
      </rPr>
      <t>2</t>
    </r>
    <r>
      <rPr>
        <b/>
        <sz val="9"/>
        <color indexed="8"/>
        <rFont val="Calibri"/>
        <family val="2"/>
      </rPr>
      <t xml:space="preserve">) Factors: </t>
    </r>
  </si>
  <si>
    <r>
      <t>Pounds CO</t>
    </r>
    <r>
      <rPr>
        <b/>
        <vertAlign val="subscript"/>
        <sz val="9"/>
        <color indexed="8"/>
        <rFont val="Calibri"/>
        <family val="2"/>
      </rPr>
      <t>2</t>
    </r>
    <r>
      <rPr>
        <b/>
        <sz val="9"/>
        <color indexed="8"/>
        <rFont val="Calibri"/>
        <family val="2"/>
      </rPr>
      <t xml:space="preserve"> </t>
    </r>
  </si>
  <si>
    <r>
      <t>Kilograms CO</t>
    </r>
    <r>
      <rPr>
        <b/>
        <vertAlign val="subscript"/>
        <sz val="9"/>
        <color indexed="8"/>
        <rFont val="Calibri"/>
        <family val="2"/>
      </rPr>
      <t>2</t>
    </r>
  </si>
  <si>
    <r>
      <t>Pounds CO</t>
    </r>
    <r>
      <rPr>
        <b/>
        <vertAlign val="subscript"/>
        <sz val="9"/>
        <color indexed="8"/>
        <rFont val="Calibri"/>
        <family val="2"/>
      </rPr>
      <t>2</t>
    </r>
  </si>
  <si>
    <r>
      <t>Coefficients are based on data from 2021. EIA uses these coefficients for estimating 2022, and more recent, energy-related CO</t>
    </r>
    <r>
      <rPr>
        <b/>
        <vertAlign val="subscript"/>
        <sz val="9"/>
        <color indexed="8"/>
        <rFont val="Calibri"/>
        <family val="2"/>
      </rPr>
      <t>2</t>
    </r>
    <r>
      <rPr>
        <b/>
        <sz val="9"/>
        <color indexed="8"/>
        <rFont val="Calibri"/>
        <family val="2"/>
      </rPr>
      <t xml:space="preserve"> emissions. </t>
    </r>
  </si>
  <si>
    <r>
      <t xml:space="preserve">Source: Carbon factors provided by the U.S. Environmental Protection Agency, </t>
    </r>
    <r>
      <rPr>
        <b/>
        <i/>
        <sz val="9"/>
        <color indexed="8"/>
        <rFont val="Calibri"/>
        <family val="2"/>
      </rPr>
      <t>Inventory of U.S. Greenhouse Gas Emissions and Sinks: 1990-2021</t>
    </r>
    <r>
      <rPr>
        <b/>
        <sz val="9"/>
        <color indexed="8"/>
        <rFont val="Calibri"/>
        <family val="2"/>
      </rPr>
      <t>, Tables A19, A-24, A-31, and A-215</t>
    </r>
    <r>
      <rPr>
        <b/>
        <sz val="9"/>
        <color indexed="8"/>
        <rFont val="Calibri"/>
        <family val="2"/>
      </rPr>
      <t xml:space="preserve">. Heat content of fuels provided by the U.S. Environmental Protection Agency </t>
    </r>
    <r>
      <rPr>
        <b/>
        <i/>
        <sz val="9"/>
        <color indexed="8"/>
        <rFont val="Calibri"/>
        <family val="2"/>
      </rPr>
      <t>Greenhouse Gas Emissions Factor Hub</t>
    </r>
    <r>
      <rPr>
        <b/>
        <sz val="9"/>
        <color indexed="8"/>
        <rFont val="Calibri"/>
        <family val="2"/>
      </rPr>
      <t xml:space="preserve">, survey Form EIA-923, and Appendix Tables A1-A3 of the EIA </t>
    </r>
    <r>
      <rPr>
        <b/>
        <i/>
        <sz val="9"/>
        <color indexed="8"/>
        <rFont val="Calibri"/>
        <family val="2"/>
      </rPr>
      <t>Monthly Energy Review</t>
    </r>
  </si>
  <si>
    <t>First 10 years</t>
  </si>
  <si>
    <t>Second 10 years</t>
  </si>
  <si>
    <t>Last years</t>
  </si>
  <si>
    <t>Total kWh</t>
  </si>
  <si>
    <t>Total in metric tons</t>
  </si>
  <si>
    <t>From https://www.eia.gov/tools/faqs/faq.php?id=667&amp;t=8</t>
  </si>
  <si>
    <t>How much coal, natural gas, or petroleum is used to generate a kilowatthour of electricity?</t>
  </si>
  <si>
    <r>
      <t>The annual average amounts of coal, natural gas, and petroleum fuels used to generate a kilowatthour (kWh) of electricity by U.S. electric utilities and independent power producers in 2022 were:</t>
    </r>
    <r>
      <rPr>
        <sz val="6"/>
        <color indexed="63"/>
        <rFont val="Arial"/>
        <family val="2"/>
      </rPr>
      <t>1</t>
    </r>
  </si>
  <si>
    <t>Natural gas–7.42 cubic feet/kWh</t>
  </si>
  <si>
    <r>
      <t>The annual average number of kWh generated per amount of coal, natural gas, and petroleum fuels consumed for electricity generation by U.S. electric utilities and independent power producers in 2022 were:</t>
    </r>
    <r>
      <rPr>
        <sz val="6"/>
        <color indexed="63"/>
        <rFont val="Arial"/>
        <family val="2"/>
      </rPr>
      <t>1</t>
    </r>
  </si>
  <si>
    <t>Natural gas–0.13 kWh/cubic foot</t>
  </si>
  <si>
    <t>cubic feet/kWh</t>
  </si>
  <si>
    <t>Natural gas</t>
  </si>
  <si>
    <t>kWh/cubic foot</t>
  </si>
  <si>
    <r>
      <t>Pounds CO</t>
    </r>
    <r>
      <rPr>
        <b/>
        <vertAlign val="subscript"/>
        <sz val="11"/>
        <color indexed="8"/>
        <rFont val="Calibri"/>
        <family val="2"/>
      </rPr>
      <t>2</t>
    </r>
    <r>
      <rPr>
        <b/>
        <sz val="11"/>
        <color indexed="8"/>
        <rFont val="Calibri"/>
        <family val="2"/>
      </rPr>
      <t xml:space="preserve"> </t>
    </r>
  </si>
  <si>
    <r>
      <t>Kilograms CO</t>
    </r>
    <r>
      <rPr>
        <b/>
        <vertAlign val="subscript"/>
        <sz val="11"/>
        <color indexed="8"/>
        <rFont val="Calibri"/>
        <family val="2"/>
      </rPr>
      <t>2</t>
    </r>
  </si>
  <si>
    <r>
      <t>Pounds CO</t>
    </r>
    <r>
      <rPr>
        <b/>
        <vertAlign val="subscript"/>
        <sz val="11"/>
        <color indexed="8"/>
        <rFont val="Calibri"/>
        <family val="2"/>
      </rPr>
      <t>2</t>
    </r>
  </si>
  <si>
    <r>
      <t>Carbon Dioxide (CO</t>
    </r>
    <r>
      <rPr>
        <b/>
        <vertAlign val="subscript"/>
        <sz val="11"/>
        <color indexed="8"/>
        <rFont val="Calibri"/>
        <family val="2"/>
      </rPr>
      <t>2</t>
    </r>
    <r>
      <rPr>
        <b/>
        <sz val="11"/>
        <color indexed="8"/>
        <rFont val="Calibri"/>
        <family val="2"/>
      </rPr>
      <t xml:space="preserve">) Factors: </t>
    </r>
  </si>
  <si>
    <r>
      <t>Pounds CO</t>
    </r>
    <r>
      <rPr>
        <b/>
        <vertAlign val="subscript"/>
        <sz val="11"/>
        <color indexed="8"/>
        <rFont val="Calibri"/>
        <family val="2"/>
      </rPr>
      <t>2</t>
    </r>
    <r>
      <rPr>
        <b/>
        <sz val="11"/>
        <color indexed="8"/>
        <rFont val="Calibri"/>
        <family val="2"/>
      </rPr>
      <t xml:space="preserve"> </t>
    </r>
    <r>
      <rPr>
        <b/>
        <sz val="11"/>
        <color indexed="8"/>
        <rFont val="Calibri"/>
        <family val="2"/>
      </rPr>
      <t>/ kWh</t>
    </r>
  </si>
  <si>
    <t>Pounds / Metric ton</t>
  </si>
  <si>
    <t>MCF</t>
  </si>
  <si>
    <t>This spreadsheet came from: https://www.eia.gov/environment/emissions/co2_vol_mass.php</t>
  </si>
  <si>
    <r>
      <t>ft</t>
    </r>
    <r>
      <rPr>
        <vertAlign val="superscript"/>
        <sz val="11"/>
        <color indexed="8"/>
        <rFont val="Calibri"/>
        <family val="2"/>
      </rPr>
      <t>3</t>
    </r>
  </si>
  <si>
    <t>kWh</t>
  </si>
  <si>
    <r>
      <t>lbs CO</t>
    </r>
    <r>
      <rPr>
        <vertAlign val="subscript"/>
        <sz val="11"/>
        <color indexed="8"/>
        <rFont val="Calibri"/>
        <family val="2"/>
      </rPr>
      <t>2</t>
    </r>
  </si>
  <si>
    <t>metric ton</t>
  </si>
  <si>
    <t>lbs</t>
  </si>
  <si>
    <r>
      <t>metric tons CO</t>
    </r>
    <r>
      <rPr>
        <vertAlign val="subscript"/>
        <sz val="11"/>
        <color indexed="8"/>
        <rFont val="Calibri"/>
        <family val="2"/>
      </rPr>
      <t>2</t>
    </r>
  </si>
  <si>
    <t>This information is from eia.gov:</t>
  </si>
  <si>
    <t>https://www.epa.gov/energy/greenhouse-gases-equivalencies-calculator-calculations-and-references</t>
  </si>
  <si>
    <t>Similar data:</t>
  </si>
  <si>
    <t>This information is from epa.gov:</t>
  </si>
  <si>
    <t>MWh</t>
  </si>
  <si>
    <t>EIA</t>
  </si>
  <si>
    <t>EPA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</si>
</sst>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5" formatCode="#,##0.0"/>
    <numFmt numFmtId="177" formatCode="[$-409]mmm\-yy;@"/>
  </numFmts>
  <fonts count="34" x14ac:knownFonts="1">
    <font>
      <sz val="11"/>
      <color theme="1"/>
      <name val="Calibri"/>
      <family val="2"/>
      <scheme val="minor"/>
    </font>
    <font>
      <b/>
      <sz val="9"/>
      <color indexed="8"/>
      <name val="Calibri"/>
      <family val="2"/>
    </font>
    <font>
      <b/>
      <i/>
      <sz val="9"/>
      <color indexed="8"/>
      <name val="Calibri"/>
      <family val="2"/>
    </font>
    <font>
      <b/>
      <sz val="9"/>
      <color indexed="8"/>
      <name val="Calibri"/>
      <family val="2"/>
    </font>
    <font>
      <b/>
      <i/>
      <sz val="9"/>
      <color indexed="8"/>
      <name val="Calibri"/>
      <family val="2"/>
    </font>
    <font>
      <b/>
      <vertAlign val="superscript"/>
      <sz val="9"/>
      <color indexed="8"/>
      <name val="Calibri"/>
      <family val="2"/>
    </font>
    <font>
      <vertAlign val="superscript"/>
      <sz val="9"/>
      <color indexed="8"/>
      <name val="Calibri"/>
      <family val="2"/>
    </font>
    <font>
      <b/>
      <sz val="9"/>
      <color indexed="8"/>
      <name val="Calibri"/>
      <family val="2"/>
    </font>
    <font>
      <b/>
      <vertAlign val="subscript"/>
      <sz val="9"/>
      <color indexed="8"/>
      <name val="Calibri"/>
      <family val="2"/>
    </font>
    <font>
      <sz val="10"/>
      <name val="Verdana"/>
      <family val="2"/>
    </font>
    <font>
      <sz val="10"/>
      <name val="Verdana"/>
      <family val="2"/>
    </font>
    <font>
      <sz val="10"/>
      <name val="Arial"/>
      <family val="2"/>
    </font>
    <font>
      <u/>
      <sz val="10"/>
      <color indexed="12"/>
      <name val="Verdana"/>
      <family val="2"/>
    </font>
    <font>
      <sz val="10"/>
      <name val="Verdana"/>
      <family val="2"/>
    </font>
    <font>
      <b/>
      <sz val="9"/>
      <color indexed="8"/>
      <name val="Calibri"/>
      <family val="2"/>
    </font>
    <font>
      <b/>
      <i/>
      <sz val="9"/>
      <color indexed="8"/>
      <name val="Calibri"/>
      <family val="2"/>
    </font>
    <font>
      <b/>
      <sz val="11"/>
      <color indexed="8"/>
      <name val="Calibri"/>
      <family val="2"/>
    </font>
    <font>
      <b/>
      <i/>
      <sz val="9"/>
      <color indexed="8"/>
      <name val="Calibri"/>
      <family val="2"/>
    </font>
    <font>
      <b/>
      <sz val="11"/>
      <color indexed="8"/>
      <name val="Calibri"/>
      <family val="2"/>
    </font>
    <font>
      <sz val="6"/>
      <color indexed="63"/>
      <name val="Arial"/>
      <family val="2"/>
    </font>
    <font>
      <b/>
      <vertAlign val="subscript"/>
      <sz val="11"/>
      <color indexed="8"/>
      <name val="Calibri"/>
      <family val="2"/>
    </font>
    <font>
      <vertAlign val="superscript"/>
      <sz val="11"/>
      <color indexed="8"/>
      <name val="Calibri"/>
      <family val="2"/>
    </font>
    <font>
      <vertAlign val="subscript"/>
      <sz val="11"/>
      <color indexed="8"/>
      <name val="Calibri"/>
      <family val="2"/>
    </font>
    <font>
      <sz val="11"/>
      <color theme="1"/>
      <name val="Calibri"/>
      <family val="2"/>
      <scheme val="minor"/>
    </font>
    <font>
      <sz val="9"/>
      <color theme="1"/>
      <name val="Calibri"/>
      <family val="2"/>
      <scheme val="minor"/>
    </font>
    <font>
      <u/>
      <sz val="11"/>
      <color theme="6"/>
      <name val="Calibri"/>
      <family val="2"/>
    </font>
    <font>
      <b/>
      <sz val="9"/>
      <color theme="1"/>
      <name val="Calibri"/>
      <family val="2"/>
      <scheme val="minor"/>
    </font>
    <font>
      <u/>
      <sz val="10"/>
      <color theme="4"/>
      <name val="Calibri"/>
      <family val="2"/>
      <scheme val="minor"/>
    </font>
    <font>
      <b/>
      <sz val="12"/>
      <color theme="4"/>
      <name val="Calibri"/>
      <family val="2"/>
      <scheme val="minor"/>
    </font>
    <font>
      <b/>
      <sz val="11"/>
      <color theme="1"/>
      <name val="Calibri"/>
      <family val="2"/>
      <scheme val="minor"/>
    </font>
    <font>
      <sz val="11"/>
      <color rgb="FFFF0000"/>
      <name val="Calibri"/>
      <family val="2"/>
      <scheme val="minor"/>
    </font>
    <font>
      <sz val="24"/>
      <color rgb="FF333333"/>
      <name val="Times New Roman"/>
      <family val="1"/>
    </font>
    <font>
      <sz val="11"/>
      <color rgb="FF333333"/>
      <name val="Arial"/>
      <family val="2"/>
    </font>
    <font>
      <sz val="10"/>
      <color rgb="FF333333"/>
      <name val="Arial"/>
      <family val="2"/>
    </font>
  </fonts>
  <fills count="3">
    <fill>
      <patternFill patternType="none"/>
    </fill>
    <fill>
      <patternFill patternType="gray125"/>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ck">
        <color indexed="64"/>
      </bottom>
      <diagonal/>
    </border>
    <border>
      <left/>
      <right style="thick">
        <color indexed="64"/>
      </right>
      <top/>
      <bottom style="thick">
        <color indexed="64"/>
      </bottom>
      <diagonal/>
    </border>
    <border>
      <left/>
      <right style="thick">
        <color indexed="64"/>
      </right>
      <top/>
      <bottom/>
      <diagonal/>
    </border>
    <border>
      <left/>
      <right style="thick">
        <color indexed="64"/>
      </right>
      <top style="thick">
        <color indexed="64"/>
      </top>
      <bottom/>
      <diagonal/>
    </border>
    <border>
      <left style="thin">
        <color indexed="64"/>
      </left>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right/>
      <top/>
      <bottom style="dashed">
        <color theme="0" tint="-0.24994659260841701"/>
      </bottom>
      <diagonal/>
    </border>
    <border>
      <left/>
      <right/>
      <top style="medium">
        <color theme="4"/>
      </top>
      <bottom/>
      <diagonal/>
    </border>
    <border>
      <left/>
      <right/>
      <top/>
      <bottom style="thick">
        <color theme="4"/>
      </bottom>
      <diagonal/>
    </border>
    <border>
      <left style="thick">
        <color theme="0"/>
      </left>
      <right style="thick">
        <color theme="0"/>
      </right>
      <top/>
      <bottom style="thin">
        <color theme="0" tint="-0.24994659260841701"/>
      </bottom>
      <diagonal/>
    </border>
    <border>
      <left/>
      <right/>
      <top/>
      <bottom style="thin">
        <color theme="0" tint="-0.249977111117893"/>
      </bottom>
      <diagonal/>
    </border>
    <border>
      <left/>
      <right/>
      <top style="thin">
        <color theme="4"/>
      </top>
      <bottom style="dashed">
        <color theme="0" tint="-0.24994659260841701"/>
      </bottom>
      <diagonal/>
    </border>
    <border>
      <left/>
      <right/>
      <top style="thin">
        <color theme="4"/>
      </top>
      <bottom style="thin">
        <color theme="0" tint="-0.24994659260841701"/>
      </bottom>
      <diagonal/>
    </border>
    <border>
      <left/>
      <right/>
      <top style="dashed">
        <color theme="0" tint="-0.24994659260841701"/>
      </top>
      <bottom style="thin">
        <color theme="0" tint="-0.249977111117893"/>
      </bottom>
      <diagonal/>
    </border>
  </borders>
  <cellStyleXfs count="29">
    <xf numFmtId="0" fontId="0" fillId="0" borderId="0"/>
    <xf numFmtId="0" fontId="24" fillId="0" borderId="8" applyNumberFormat="0" applyFont="0" applyProtection="0">
      <alignment wrapText="1"/>
    </xf>
    <xf numFmtId="43" fontId="10" fillId="0" borderId="0" applyFont="0" applyFill="0" applyBorder="0" applyAlignment="0" applyProtection="0"/>
    <xf numFmtId="43" fontId="9" fillId="0" borderId="0" applyFont="0" applyFill="0" applyBorder="0" applyAlignment="0" applyProtection="0"/>
    <xf numFmtId="0" fontId="25" fillId="0" borderId="0" applyNumberFormat="0" applyFill="0" applyBorder="0" applyAlignment="0" applyProtection="0">
      <alignment vertical="top"/>
      <protection locked="0"/>
    </xf>
    <xf numFmtId="0" fontId="24" fillId="0" borderId="0" applyNumberFormat="0" applyFill="0" applyBorder="0" applyAlignment="0" applyProtection="0"/>
    <xf numFmtId="0" fontId="24" fillId="0" borderId="0" applyNumberFormat="0" applyProtection="0">
      <alignment vertical="top" wrapText="1"/>
    </xf>
    <xf numFmtId="0" fontId="24" fillId="0" borderId="9" applyNumberFormat="0" applyProtection="0">
      <alignment vertical="top" wrapText="1"/>
    </xf>
    <xf numFmtId="0" fontId="26" fillId="0" borderId="10" applyNumberFormat="0" applyProtection="0">
      <alignment wrapText="1"/>
    </xf>
    <xf numFmtId="0" fontId="26" fillId="0" borderId="11" applyNumberFormat="0" applyProtection="0">
      <alignment horizontal="left" wrapText="1"/>
    </xf>
    <xf numFmtId="0" fontId="27"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1" fillId="0" borderId="0"/>
    <xf numFmtId="0" fontId="10" fillId="0" borderId="0"/>
    <xf numFmtId="0" fontId="9" fillId="0" borderId="0"/>
    <xf numFmtId="0" fontId="11" fillId="0" borderId="0"/>
    <xf numFmtId="0" fontId="11" fillId="0" borderId="0"/>
    <xf numFmtId="0" fontId="11" fillId="0" borderId="0"/>
    <xf numFmtId="0" fontId="10" fillId="0" borderId="0"/>
    <xf numFmtId="0" fontId="9" fillId="0" borderId="0"/>
    <xf numFmtId="0" fontId="9" fillId="0" borderId="0"/>
    <xf numFmtId="0" fontId="13" fillId="0" borderId="0"/>
    <xf numFmtId="177" fontId="11" fillId="0" borderId="0"/>
    <xf numFmtId="0" fontId="26" fillId="0" borderId="12" applyNumberFormat="0" applyProtection="0">
      <alignment wrapText="1"/>
    </xf>
    <xf numFmtId="9" fontId="10" fillId="0" borderId="0" applyFont="0" applyFill="0" applyBorder="0" applyAlignment="0" applyProtection="0"/>
    <xf numFmtId="9" fontId="9" fillId="0" borderId="0" applyFont="0" applyFill="0" applyBorder="0" applyAlignment="0" applyProtection="0"/>
    <xf numFmtId="0" fontId="24" fillId="0" borderId="13" applyNumberFormat="0" applyFont="0" applyFill="0" applyProtection="0">
      <alignment wrapText="1"/>
    </xf>
    <xf numFmtId="0" fontId="26" fillId="0" borderId="14" applyNumberFormat="0" applyFill="0" applyProtection="0">
      <alignment wrapText="1"/>
    </xf>
    <xf numFmtId="0" fontId="28" fillId="0" borderId="0" applyNumberFormat="0" applyProtection="0">
      <alignment horizontal="left"/>
    </xf>
  </cellStyleXfs>
  <cellXfs count="56">
    <xf numFmtId="0" fontId="0" fillId="0" borderId="0" xfId="0"/>
    <xf numFmtId="0" fontId="0" fillId="0" borderId="0" xfId="0"/>
    <xf numFmtId="0" fontId="26" fillId="0" borderId="10" xfId="8">
      <alignment wrapText="1"/>
    </xf>
    <xf numFmtId="0" fontId="26" fillId="0" borderId="12" xfId="23" applyAlignment="1">
      <alignment horizontal="right" wrapText="1"/>
    </xf>
    <xf numFmtId="0" fontId="26" fillId="0" borderId="10" xfId="8" applyAlignment="1">
      <alignment horizontal="right" wrapText="1"/>
    </xf>
    <xf numFmtId="0" fontId="24" fillId="0" borderId="0" xfId="1" applyBorder="1">
      <alignment wrapText="1"/>
    </xf>
    <xf numFmtId="2" fontId="26" fillId="0" borderId="12" xfId="23" applyNumberFormat="1" applyAlignment="1">
      <alignment horizontal="right" wrapText="1"/>
    </xf>
    <xf numFmtId="2" fontId="26" fillId="0" borderId="10" xfId="8" applyNumberFormat="1" applyAlignment="1">
      <alignment horizontal="right" wrapText="1"/>
    </xf>
    <xf numFmtId="2" fontId="24" fillId="0" borderId="0" xfId="1" applyNumberFormat="1" applyBorder="1">
      <alignment wrapText="1"/>
    </xf>
    <xf numFmtId="2" fontId="0" fillId="0" borderId="0" xfId="0" applyNumberFormat="1"/>
    <xf numFmtId="2" fontId="26" fillId="0" borderId="12" xfId="23" applyNumberFormat="1" applyFill="1" applyAlignment="1">
      <alignment horizontal="right" wrapText="1"/>
    </xf>
    <xf numFmtId="2" fontId="26" fillId="0" borderId="10" xfId="8" applyNumberFormat="1" applyFill="1" applyAlignment="1">
      <alignment horizontal="right" wrapText="1"/>
    </xf>
    <xf numFmtId="0" fontId="24" fillId="0" borderId="0" xfId="1" applyFill="1" applyBorder="1">
      <alignment wrapText="1"/>
    </xf>
    <xf numFmtId="2" fontId="24" fillId="0" borderId="0" xfId="1" applyNumberFormat="1" applyFill="1" applyBorder="1">
      <alignment wrapText="1"/>
    </xf>
    <xf numFmtId="2" fontId="0" fillId="0" borderId="0" xfId="0" applyNumberFormat="1" applyFill="1"/>
    <xf numFmtId="0" fontId="0" fillId="0" borderId="0" xfId="0" quotePrefix="1" applyAlignment="1">
      <alignment horizontal="right"/>
    </xf>
    <xf numFmtId="0" fontId="0" fillId="0" borderId="0" xfId="0" applyAlignment="1">
      <alignment horizontal="right"/>
    </xf>
    <xf numFmtId="4" fontId="24" fillId="0" borderId="8" xfId="1" applyNumberFormat="1" applyFill="1">
      <alignment wrapText="1"/>
    </xf>
    <xf numFmtId="4" fontId="24" fillId="0" borderId="8" xfId="1" applyNumberFormat="1" applyFill="1" applyAlignment="1">
      <alignment horizontal="right" wrapText="1"/>
    </xf>
    <xf numFmtId="0" fontId="0" fillId="0" borderId="1" xfId="0" applyBorder="1" applyAlignment="1">
      <alignment horizontal="right"/>
    </xf>
    <xf numFmtId="0" fontId="31" fillId="0" borderId="0" xfId="0" applyFont="1" applyAlignment="1">
      <alignment vertical="center" wrapText="1"/>
    </xf>
    <xf numFmtId="0" fontId="32" fillId="0" borderId="0" xfId="0" applyFont="1" applyAlignment="1">
      <alignment vertical="center" wrapText="1"/>
    </xf>
    <xf numFmtId="0" fontId="0" fillId="0" borderId="0" xfId="0" applyAlignment="1">
      <alignment horizontal="left" vertical="center" wrapText="1" indent="1"/>
    </xf>
    <xf numFmtId="0" fontId="33" fillId="0" borderId="0" xfId="0" applyFont="1" applyAlignment="1">
      <alignment horizontal="left" vertical="center" wrapText="1" indent="1"/>
    </xf>
    <xf numFmtId="4" fontId="24" fillId="2" borderId="8" xfId="1" applyNumberFormat="1" applyFill="1">
      <alignment wrapText="1"/>
    </xf>
    <xf numFmtId="4" fontId="0" fillId="0" borderId="0" xfId="0" applyNumberFormat="1"/>
    <xf numFmtId="0" fontId="23" fillId="0" borderId="0" xfId="1" applyFont="1" applyBorder="1">
      <alignment wrapText="1"/>
    </xf>
    <xf numFmtId="0" fontId="29" fillId="0" borderId="12" xfId="23" applyFont="1" applyAlignment="1">
      <alignment horizontal="right" wrapText="1"/>
    </xf>
    <xf numFmtId="2" fontId="29" fillId="0" borderId="12" xfId="23" applyNumberFormat="1" applyFont="1" applyAlignment="1">
      <alignment horizontal="right" wrapText="1"/>
    </xf>
    <xf numFmtId="2" fontId="29" fillId="0" borderId="12" xfId="23" applyNumberFormat="1" applyFont="1" applyFill="1" applyAlignment="1">
      <alignment horizontal="right" wrapText="1"/>
    </xf>
    <xf numFmtId="0" fontId="29" fillId="0" borderId="10" xfId="8" applyFont="1">
      <alignment wrapText="1"/>
    </xf>
    <xf numFmtId="0" fontId="29" fillId="0" borderId="10" xfId="8" applyFont="1" applyAlignment="1">
      <alignment horizontal="right" wrapText="1"/>
    </xf>
    <xf numFmtId="2" fontId="29" fillId="0" borderId="10" xfId="8" applyNumberFormat="1" applyFont="1" applyAlignment="1">
      <alignment horizontal="right" wrapText="1"/>
    </xf>
    <xf numFmtId="2" fontId="29" fillId="0" borderId="10" xfId="8" applyNumberFormat="1" applyFont="1" applyFill="1" applyAlignment="1">
      <alignment horizontal="right" wrapText="1"/>
    </xf>
    <xf numFmtId="4" fontId="23" fillId="0" borderId="8" xfId="1" applyNumberFormat="1" applyFont="1" applyFill="1">
      <alignment wrapText="1"/>
    </xf>
    <xf numFmtId="0" fontId="0" fillId="2" borderId="0" xfId="0" applyFill="1"/>
    <xf numFmtId="0" fontId="29" fillId="2" borderId="12" xfId="23" applyFont="1" applyFill="1" applyAlignment="1">
      <alignment horizontal="right" wrapText="1"/>
    </xf>
    <xf numFmtId="0" fontId="30" fillId="0" borderId="0" xfId="0" applyFont="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applyAlignment="1">
      <alignment horizontal="right"/>
    </xf>
    <xf numFmtId="165" fontId="0" fillId="0" borderId="6" xfId="0" applyNumberFormat="1" applyBorder="1" applyAlignment="1">
      <alignment horizontal="right"/>
    </xf>
    <xf numFmtId="0" fontId="0" fillId="0" borderId="7" xfId="0" applyFill="1" applyBorder="1" applyAlignment="1">
      <alignment horizontal="center"/>
    </xf>
    <xf numFmtId="0" fontId="0" fillId="0" borderId="7" xfId="0" applyBorder="1"/>
    <xf numFmtId="0" fontId="28" fillId="0" borderId="0" xfId="28">
      <alignment horizontal="left"/>
    </xf>
    <xf numFmtId="0" fontId="26" fillId="0" borderId="12" xfId="23">
      <alignment wrapText="1"/>
    </xf>
    <xf numFmtId="4" fontId="26" fillId="0" borderId="12" xfId="23" applyNumberFormat="1" applyFill="1">
      <alignment wrapText="1"/>
    </xf>
    <xf numFmtId="4" fontId="26" fillId="0" borderId="15" xfId="23" applyNumberFormat="1" applyFill="1" applyBorder="1">
      <alignment wrapText="1"/>
    </xf>
    <xf numFmtId="0" fontId="26" fillId="0" borderId="0" xfId="1" applyFont="1" applyBorder="1">
      <alignment wrapText="1"/>
    </xf>
    <xf numFmtId="0" fontId="26" fillId="0" borderId="0" xfId="1" applyFont="1" applyBorder="1" applyAlignment="1">
      <alignment horizontal="left" wrapText="1"/>
    </xf>
    <xf numFmtId="0" fontId="26" fillId="0" borderId="9" xfId="7" applyFont="1">
      <alignment vertical="top" wrapText="1"/>
    </xf>
    <xf numFmtId="0" fontId="1" fillId="0" borderId="0" xfId="7" applyFont="1" applyBorder="1">
      <alignment vertical="top" wrapText="1"/>
    </xf>
    <xf numFmtId="0" fontId="26" fillId="0" borderId="0" xfId="7" applyFont="1" applyBorder="1">
      <alignment vertical="top" wrapText="1"/>
    </xf>
    <xf numFmtId="0" fontId="29" fillId="0" borderId="12" xfId="23" applyFont="1">
      <alignment wrapText="1"/>
    </xf>
  </cellXfs>
  <cellStyles count="29">
    <cellStyle name="Body: normal cell" xfId="1"/>
    <cellStyle name="Comma 2" xfId="2"/>
    <cellStyle name="Comma 3" xfId="3"/>
    <cellStyle name="Followed Hyperlink" xfId="4" builtinId="9" customBuiltin="1"/>
    <cellStyle name="Font: Calibri, 9pt regular" xfId="5"/>
    <cellStyle name="Footnotes: all except top row" xfId="6"/>
    <cellStyle name="Footnotes: top row" xfId="7"/>
    <cellStyle name="Header: bottom row" xfId="8"/>
    <cellStyle name="Header: top rows" xfId="9"/>
    <cellStyle name="Hyperlink" xfId="10" builtinId="8" customBuiltin="1"/>
    <cellStyle name="Hyperlink 2" xfId="11"/>
    <cellStyle name="Normal" xfId="0" builtinId="0"/>
    <cellStyle name="Normal 10 3" xfId="12"/>
    <cellStyle name="Normal 128" xfId="13"/>
    <cellStyle name="Normal 128 2" xfId="14"/>
    <cellStyle name="Normal 153" xfId="15"/>
    <cellStyle name="Normal 2" xfId="16"/>
    <cellStyle name="Normal 2 2 2 3" xfId="17"/>
    <cellStyle name="Normal 3" xfId="18"/>
    <cellStyle name="Normal 3 2" xfId="19"/>
    <cellStyle name="Normal 4" xfId="20"/>
    <cellStyle name="Normal 5" xfId="21"/>
    <cellStyle name="Normal 8" xfId="22"/>
    <cellStyle name="Parent row" xfId="23"/>
    <cellStyle name="Percent 2" xfId="24"/>
    <cellStyle name="Percent 3" xfId="25"/>
    <cellStyle name="Section Break" xfId="26"/>
    <cellStyle name="Section Break: parent row" xfId="27"/>
    <cellStyle name="Table title" xfId="28"/>
  </cellStyles>
  <dxfs count="2">
    <dxf>
      <border>
        <left/>
        <right/>
        <top/>
        <bottom style="thick">
          <color theme="4"/>
        </bottom>
        <vertical/>
        <horizontal/>
      </border>
    </dxf>
    <dxf>
      <border>
        <left/>
        <right/>
        <top/>
        <bottom/>
        <vertical/>
        <horizontal style="dotted">
          <color theme="0" tint="-0.24994659260841701"/>
        </horizontal>
      </border>
    </dxf>
  </dxfs>
  <tableStyles count="1" defaultTableStyle="TableStyleMedium9" defaultPivotStyle="PivotStyleLight16">
    <tableStyle name="Table Style 1" pivot="0" count="2">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14</xdr:row>
      <xdr:rowOff>47625</xdr:rowOff>
    </xdr:from>
    <xdr:to>
      <xdr:col>1</xdr:col>
      <xdr:colOff>8153400</xdr:colOff>
      <xdr:row>60</xdr:row>
      <xdr:rowOff>95250</xdr:rowOff>
    </xdr:to>
    <xdr:pic>
      <xdr:nvPicPr>
        <xdr:cNvPr id="1039" name="Picture 1">
          <a:extLst>
            <a:ext uri="{FF2B5EF4-FFF2-40B4-BE49-F238E27FC236}">
              <a16:creationId xmlns:a16="http://schemas.microsoft.com/office/drawing/2014/main" id="{86F822A1-0147-F79B-CF16-3A6AD2F56E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 y="3648075"/>
          <a:ext cx="8115300" cy="8810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47625</xdr:colOff>
      <xdr:row>65</xdr:row>
      <xdr:rowOff>66675</xdr:rowOff>
    </xdr:from>
    <xdr:to>
      <xdr:col>1</xdr:col>
      <xdr:colOff>8029575</xdr:colOff>
      <xdr:row>108</xdr:row>
      <xdr:rowOff>95250</xdr:rowOff>
    </xdr:to>
    <xdr:pic>
      <xdr:nvPicPr>
        <xdr:cNvPr id="1040" name="Picture 2">
          <a:extLst>
            <a:ext uri="{FF2B5EF4-FFF2-40B4-BE49-F238E27FC236}">
              <a16:creationId xmlns:a16="http://schemas.microsoft.com/office/drawing/2014/main" id="{A488CB59-AA12-FDB3-9232-38E7ED82FA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57225" y="13382625"/>
          <a:ext cx="7981950" cy="822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eia_report">
  <a:themeElements>
    <a:clrScheme name="EIA">
      <a:dk1>
        <a:srgbClr val="000000"/>
      </a:dk1>
      <a:lt1>
        <a:srgbClr val="FFFFFF"/>
      </a:lt1>
      <a:dk2>
        <a:srgbClr val="003953"/>
      </a:dk2>
      <a:lt2>
        <a:srgbClr val="333333"/>
      </a:lt2>
      <a:accent1>
        <a:srgbClr val="0096D7"/>
      </a:accent1>
      <a:accent2>
        <a:srgbClr val="BD732A"/>
      </a:accent2>
      <a:accent3>
        <a:srgbClr val="5D9732"/>
      </a:accent3>
      <a:accent4>
        <a:srgbClr val="FFC702"/>
      </a:accent4>
      <a:accent5>
        <a:srgbClr val="A33340"/>
      </a:accent5>
      <a:accent6>
        <a:srgbClr val="675005"/>
      </a:accent6>
      <a:hlink>
        <a:srgbClr val="0096D7"/>
      </a:hlink>
      <a:folHlink>
        <a:srgbClr val="5D9732"/>
      </a:folHlink>
    </a:clrScheme>
    <a:fontScheme name="EIA 2">
      <a:majorFont>
        <a:latin typeface="Times New Roman"/>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showGridLines="0" topLeftCell="A37" zoomScale="90" zoomScaleNormal="90" workbookViewId="0"/>
  </sheetViews>
  <sheetFormatPr defaultColWidth="8.7109375" defaultRowHeight="15" x14ac:dyDescent="0.25"/>
  <cols>
    <col min="1" max="1" width="19" style="1" customWidth="1"/>
    <col min="2" max="2" width="13.140625" style="1" customWidth="1"/>
    <col min="3" max="3" width="14.5703125" style="1" bestFit="1" customWidth="1"/>
    <col min="4" max="4" width="11.7109375" style="1" customWidth="1"/>
    <col min="5" max="5" width="15.140625" style="1" customWidth="1"/>
    <col min="6" max="6" width="11.28515625" style="9" customWidth="1"/>
    <col min="7" max="7" width="11.7109375" style="14" customWidth="1"/>
    <col min="8" max="11" width="8.7109375" style="1"/>
    <col min="12" max="12" width="19.7109375" style="1" customWidth="1"/>
    <col min="13" max="16384" width="8.7109375" style="1"/>
  </cols>
  <sheetData>
    <row r="1" spans="1:12" x14ac:dyDescent="0.25">
      <c r="A1" s="37"/>
    </row>
    <row r="2" spans="1:12" x14ac:dyDescent="0.25">
      <c r="A2" s="37" t="s">
        <v>72</v>
      </c>
    </row>
    <row r="3" spans="1:12" x14ac:dyDescent="0.25">
      <c r="A3" s="37"/>
    </row>
    <row r="4" spans="1:12" ht="18.75" customHeight="1" x14ac:dyDescent="0.25">
      <c r="A4" s="46" t="s">
        <v>25</v>
      </c>
      <c r="B4" s="46"/>
      <c r="C4" s="46"/>
      <c r="D4" s="46"/>
      <c r="E4" s="46"/>
      <c r="F4" s="46"/>
      <c r="G4" s="46"/>
    </row>
    <row r="5" spans="1:12" ht="30" customHeight="1" x14ac:dyDescent="0.25">
      <c r="A5" s="5"/>
      <c r="B5" s="3" t="s">
        <v>46</v>
      </c>
      <c r="C5" s="3"/>
      <c r="D5" s="3" t="s">
        <v>47</v>
      </c>
      <c r="E5" s="3"/>
      <c r="F5" s="6" t="s">
        <v>48</v>
      </c>
      <c r="G5" s="10" t="s">
        <v>47</v>
      </c>
    </row>
    <row r="6" spans="1:12" ht="27.75" customHeight="1" thickBot="1" x14ac:dyDescent="0.3">
      <c r="A6" s="2" t="s">
        <v>45</v>
      </c>
      <c r="B6" s="4" t="s">
        <v>0</v>
      </c>
      <c r="C6" s="4"/>
      <c r="D6" s="4" t="s">
        <v>0</v>
      </c>
      <c r="E6" s="4"/>
      <c r="F6" s="7" t="s">
        <v>1</v>
      </c>
      <c r="G6" s="11" t="s">
        <v>1</v>
      </c>
    </row>
    <row r="7" spans="1:12" ht="15.75" customHeight="1" thickTop="1" x14ac:dyDescent="0.25">
      <c r="A7" s="47" t="s">
        <v>2</v>
      </c>
      <c r="B7" s="47"/>
      <c r="C7" s="47"/>
      <c r="D7" s="47"/>
      <c r="E7" s="47"/>
      <c r="F7" s="47"/>
      <c r="G7" s="47"/>
    </row>
    <row r="8" spans="1:12" x14ac:dyDescent="0.25">
      <c r="A8" s="17" t="s">
        <v>3</v>
      </c>
      <c r="B8" s="17">
        <f>F8*3.841/42</f>
        <v>12.678396059388888</v>
      </c>
      <c r="C8" s="17" t="s">
        <v>4</v>
      </c>
      <c r="D8" s="17">
        <f t="shared" ref="D8:D15" si="0">B8/2.20462</f>
        <v>5.7508305555555559</v>
      </c>
      <c r="E8" s="17" t="s">
        <v>4</v>
      </c>
      <c r="F8" s="17">
        <f>G8*2.20462</f>
        <v>138.63385433333332</v>
      </c>
      <c r="G8" s="17">
        <v>62.883333333333326</v>
      </c>
      <c r="I8" s="9"/>
    </row>
    <row r="9" spans="1:12" ht="26.25" customHeight="1" x14ac:dyDescent="0.25">
      <c r="A9" s="17" t="s">
        <v>29</v>
      </c>
      <c r="B9" s="17">
        <f>F9*5.77/42</f>
        <v>22.454989038952373</v>
      </c>
      <c r="C9" s="17" t="s">
        <v>4</v>
      </c>
      <c r="D9" s="17">
        <f t="shared" si="0"/>
        <v>10.185423809523806</v>
      </c>
      <c r="E9" s="17" t="s">
        <v>4</v>
      </c>
      <c r="F9" s="17">
        <f t="shared" ref="F9:F15" si="1">G9*2.20462</f>
        <v>163.45052679999995</v>
      </c>
      <c r="G9" s="17">
        <v>74.139999999999986</v>
      </c>
      <c r="I9" s="9"/>
    </row>
    <row r="10" spans="1:12" x14ac:dyDescent="0.25">
      <c r="A10" s="17" t="s">
        <v>5</v>
      </c>
      <c r="B10" s="17">
        <f>F10*5.67/42</f>
        <v>21.782086523999997</v>
      </c>
      <c r="C10" s="17" t="s">
        <v>4</v>
      </c>
      <c r="D10" s="17">
        <f t="shared" si="0"/>
        <v>9.8802000000000003</v>
      </c>
      <c r="E10" s="17" t="s">
        <v>4</v>
      </c>
      <c r="F10" s="17">
        <f t="shared" si="1"/>
        <v>161.34878906666665</v>
      </c>
      <c r="G10" s="17">
        <v>73.186666666666667</v>
      </c>
      <c r="I10" s="9"/>
    </row>
    <row r="11" spans="1:12" x14ac:dyDescent="0.25">
      <c r="A11" s="17" t="s">
        <v>6</v>
      </c>
      <c r="B11" s="17">
        <f>F11*18.399</f>
        <v>3890.7841002095997</v>
      </c>
      <c r="C11" s="17" t="s">
        <v>7</v>
      </c>
      <c r="D11" s="17">
        <f t="shared" si="0"/>
        <v>1764.8320800000001</v>
      </c>
      <c r="E11" s="17" t="s">
        <v>7</v>
      </c>
      <c r="F11" s="17">
        <f t="shared" si="1"/>
        <v>211.46715039999998</v>
      </c>
      <c r="G11" s="17">
        <v>95.92</v>
      </c>
      <c r="I11" s="9"/>
      <c r="L11" s="15"/>
    </row>
    <row r="12" spans="1:12" ht="24.75" x14ac:dyDescent="0.25">
      <c r="A12" s="24" t="s">
        <v>8</v>
      </c>
      <c r="B12" s="24">
        <f>F12*1.037</f>
        <v>120.96236263539997</v>
      </c>
      <c r="C12" s="24" t="s">
        <v>9</v>
      </c>
      <c r="D12" s="24">
        <f t="shared" si="0"/>
        <v>54.86766999999999</v>
      </c>
      <c r="E12" s="24" t="s">
        <v>9</v>
      </c>
      <c r="F12" s="24">
        <f t="shared" si="1"/>
        <v>116.64644419999998</v>
      </c>
      <c r="G12" s="24">
        <v>52.91</v>
      </c>
      <c r="I12" s="9"/>
      <c r="L12" s="15"/>
    </row>
    <row r="13" spans="1:12" ht="15" customHeight="1" x14ac:dyDescent="0.25">
      <c r="A13" s="17" t="s">
        <v>37</v>
      </c>
      <c r="B13" s="17">
        <f>F13*5.05/42</f>
        <v>17.864311950161635</v>
      </c>
      <c r="C13" s="17" t="s">
        <v>4</v>
      </c>
      <c r="D13" s="17">
        <f t="shared" si="0"/>
        <v>8.1031252325396839</v>
      </c>
      <c r="E13" s="17" t="s">
        <v>4</v>
      </c>
      <c r="F13" s="17">
        <f t="shared" si="1"/>
        <v>148.57447562510666</v>
      </c>
      <c r="G13" s="17">
        <f>G14*(1-0.0462)</f>
        <v>67.392328666666671</v>
      </c>
      <c r="I13" s="9"/>
      <c r="L13" s="16"/>
    </row>
    <row r="14" spans="1:12" x14ac:dyDescent="0.25">
      <c r="A14" s="17" t="s">
        <v>43</v>
      </c>
      <c r="B14" s="17">
        <f>F14*5.222/42</f>
        <v>19.367540158022219</v>
      </c>
      <c r="C14" s="17" t="s">
        <v>4</v>
      </c>
      <c r="D14" s="17">
        <f t="shared" si="0"/>
        <v>8.7849788888888884</v>
      </c>
      <c r="E14" s="17" t="s">
        <v>4</v>
      </c>
      <c r="F14" s="17">
        <f t="shared" si="1"/>
        <v>155.77110046666664</v>
      </c>
      <c r="G14" s="17">
        <v>70.656666666666666</v>
      </c>
      <c r="I14" s="9"/>
      <c r="L14" s="16"/>
    </row>
    <row r="15" spans="1:12" ht="24.75" x14ac:dyDescent="0.25">
      <c r="A15" s="17" t="s">
        <v>10</v>
      </c>
      <c r="B15" s="17">
        <f>F15*6.287/42</f>
        <v>24.781597312406348</v>
      </c>
      <c r="C15" s="17" t="s">
        <v>4</v>
      </c>
      <c r="D15" s="17">
        <f t="shared" si="0"/>
        <v>11.240756825396826</v>
      </c>
      <c r="E15" s="17" t="s">
        <v>4</v>
      </c>
      <c r="F15" s="17">
        <f t="shared" si="1"/>
        <v>165.55226453333333</v>
      </c>
      <c r="G15" s="17">
        <v>75.093333333333334</v>
      </c>
      <c r="I15" s="9"/>
      <c r="L15" s="16"/>
    </row>
    <row r="16" spans="1:12" ht="15.75" customHeight="1" x14ac:dyDescent="0.25">
      <c r="A16" s="48" t="s">
        <v>11</v>
      </c>
      <c r="B16" s="48"/>
      <c r="C16" s="48"/>
      <c r="D16" s="48"/>
      <c r="E16" s="48"/>
      <c r="F16" s="48"/>
      <c r="G16" s="48"/>
      <c r="L16" s="16"/>
    </row>
    <row r="17" spans="1:12" ht="15" customHeight="1" x14ac:dyDescent="0.25">
      <c r="A17" s="17" t="s">
        <v>12</v>
      </c>
      <c r="B17" s="17">
        <f>F17*5.67/42</f>
        <v>21.498351929999998</v>
      </c>
      <c r="C17" s="17" t="s">
        <v>4</v>
      </c>
      <c r="D17" s="17">
        <f>B17/2.20462</f>
        <v>9.7515000000000001</v>
      </c>
      <c r="E17" s="17" t="s">
        <v>4</v>
      </c>
      <c r="F17" s="17">
        <f>G17*2.20462</f>
        <v>159.24705133333333</v>
      </c>
      <c r="G17" s="17">
        <v>72.233333333333334</v>
      </c>
      <c r="L17" s="16"/>
    </row>
    <row r="18" spans="1:12" x14ac:dyDescent="0.25">
      <c r="A18" s="17" t="s">
        <v>30</v>
      </c>
      <c r="B18" s="17">
        <f>F18*5.048/42</f>
        <v>18.323858002615868</v>
      </c>
      <c r="C18" s="17" t="s">
        <v>4</v>
      </c>
      <c r="D18" s="17">
        <f>B18/2.20462</f>
        <v>8.3115720634920613</v>
      </c>
      <c r="E18" s="17" t="s">
        <v>4</v>
      </c>
      <c r="F18" s="17">
        <f>G18*2.20462</f>
        <v>152.4568217333333</v>
      </c>
      <c r="G18" s="17">
        <v>69.153333333333322</v>
      </c>
    </row>
    <row r="19" spans="1:12" ht="15.75" customHeight="1" x14ac:dyDescent="0.25">
      <c r="A19" s="48" t="s">
        <v>13</v>
      </c>
      <c r="B19" s="48"/>
      <c r="C19" s="48"/>
      <c r="D19" s="48"/>
      <c r="E19" s="48"/>
      <c r="F19" s="48"/>
      <c r="G19" s="48"/>
    </row>
    <row r="20" spans="1:12" x14ac:dyDescent="0.25">
      <c r="A20" s="17" t="s">
        <v>14</v>
      </c>
      <c r="B20" s="17">
        <f>F20*6.135/42</f>
        <v>32.884833670595242</v>
      </c>
      <c r="C20" s="17" t="s">
        <v>4</v>
      </c>
      <c r="D20" s="17">
        <f>B20/2.20462</f>
        <v>14.916327380952383</v>
      </c>
      <c r="E20" s="17" t="s">
        <v>4</v>
      </c>
      <c r="F20" s="17">
        <f>G20*2.20462</f>
        <v>225.12844566666666</v>
      </c>
      <c r="G20" s="17">
        <v>102.11666666666667</v>
      </c>
    </row>
    <row r="21" spans="1:12" ht="15.75" customHeight="1" x14ac:dyDescent="0.25">
      <c r="A21" s="48" t="s">
        <v>15</v>
      </c>
      <c r="B21" s="48"/>
      <c r="C21" s="48"/>
      <c r="D21" s="48"/>
      <c r="E21" s="48"/>
      <c r="F21" s="48"/>
      <c r="G21" s="48"/>
    </row>
    <row r="22" spans="1:12" x14ac:dyDescent="0.25">
      <c r="A22" s="17" t="s">
        <v>16</v>
      </c>
      <c r="B22" s="17">
        <f>F22*6.636/42</f>
        <v>26.246662485999998</v>
      </c>
      <c r="C22" s="17" t="s">
        <v>4</v>
      </c>
      <c r="D22" s="17">
        <f t="shared" ref="D22:D27" si="2">B22/2.20462</f>
        <v>11.9053</v>
      </c>
      <c r="E22" s="17" t="s">
        <v>4</v>
      </c>
      <c r="F22" s="17">
        <f t="shared" ref="F22:F27" si="3">G22*2.20462</f>
        <v>166.11811699999998</v>
      </c>
      <c r="G22" s="17">
        <v>75.349999999999994</v>
      </c>
    </row>
    <row r="23" spans="1:12" x14ac:dyDescent="0.25">
      <c r="A23" s="17" t="s">
        <v>17</v>
      </c>
      <c r="B23" s="17">
        <f>F23*6.065/42</f>
        <v>23.57968817984127</v>
      </c>
      <c r="C23" s="17" t="s">
        <v>4</v>
      </c>
      <c r="D23" s="17">
        <f t="shared" si="2"/>
        <v>10.695579365079366</v>
      </c>
      <c r="E23" s="17" t="s">
        <v>4</v>
      </c>
      <c r="F23" s="17">
        <f t="shared" si="3"/>
        <v>163.28885466666665</v>
      </c>
      <c r="G23" s="17">
        <v>74.066666666666663</v>
      </c>
    </row>
    <row r="24" spans="1:12" ht="36.75" x14ac:dyDescent="0.25">
      <c r="A24" s="17" t="s">
        <v>31</v>
      </c>
      <c r="B24" s="17">
        <f>F24*5.248/42</f>
        <v>18.736722439111109</v>
      </c>
      <c r="C24" s="17" t="s">
        <v>4</v>
      </c>
      <c r="D24" s="17">
        <f t="shared" si="2"/>
        <v>8.498844444444444</v>
      </c>
      <c r="E24" s="17" t="s">
        <v>4</v>
      </c>
      <c r="F24" s="17">
        <f t="shared" si="3"/>
        <v>149.95090366666665</v>
      </c>
      <c r="G24" s="17">
        <v>68.016666666666666</v>
      </c>
      <c r="L24" s="16"/>
    </row>
    <row r="25" spans="1:12" ht="36.75" x14ac:dyDescent="0.25">
      <c r="A25" s="17" t="s">
        <v>32</v>
      </c>
      <c r="B25" s="17">
        <f>F25*5.825/42</f>
        <v>22.612975432579361</v>
      </c>
      <c r="C25" s="17" t="s">
        <v>4</v>
      </c>
      <c r="D25" s="17">
        <f t="shared" si="2"/>
        <v>10.257085317460316</v>
      </c>
      <c r="E25" s="17" t="s">
        <v>4</v>
      </c>
      <c r="F25" s="17">
        <f t="shared" si="3"/>
        <v>163.04634646666665</v>
      </c>
      <c r="G25" s="17">
        <v>73.956666666666663</v>
      </c>
      <c r="L25" s="16"/>
    </row>
    <row r="26" spans="1:12" ht="24.75" x14ac:dyDescent="0.25">
      <c r="A26" s="17" t="s">
        <v>18</v>
      </c>
      <c r="B26" s="17">
        <f>F26*5.248/42</f>
        <v>19.938700859733334</v>
      </c>
      <c r="C26" s="17" t="s">
        <v>4</v>
      </c>
      <c r="D26" s="17">
        <f t="shared" si="2"/>
        <v>9.0440533333333342</v>
      </c>
      <c r="E26" s="17" t="s">
        <v>4</v>
      </c>
      <c r="F26" s="17">
        <f t="shared" si="3"/>
        <v>159.57039559999998</v>
      </c>
      <c r="G26" s="17">
        <v>72.38</v>
      </c>
    </row>
    <row r="27" spans="1:12" x14ac:dyDescent="0.25">
      <c r="A27" s="17" t="s">
        <v>19</v>
      </c>
      <c r="B27" s="17">
        <f>F27*5.537/42</f>
        <v>21.100638481999994</v>
      </c>
      <c r="C27" s="17" t="s">
        <v>4</v>
      </c>
      <c r="D27" s="17">
        <f t="shared" si="2"/>
        <v>9.5710999999999977</v>
      </c>
      <c r="E27" s="17" t="s">
        <v>4</v>
      </c>
      <c r="F27" s="17">
        <f t="shared" si="3"/>
        <v>160.05541199999996</v>
      </c>
      <c r="G27" s="17">
        <v>72.599999999999994</v>
      </c>
    </row>
    <row r="28" spans="1:12" ht="15.75" customHeight="1" x14ac:dyDescent="0.25">
      <c r="A28" s="49" t="s">
        <v>20</v>
      </c>
      <c r="B28" s="49"/>
      <c r="C28" s="49"/>
      <c r="D28" s="49"/>
      <c r="E28" s="49"/>
      <c r="F28" s="49"/>
      <c r="G28" s="49"/>
    </row>
    <row r="29" spans="1:12" x14ac:dyDescent="0.25">
      <c r="A29" s="17" t="s">
        <v>28</v>
      </c>
      <c r="B29" s="17">
        <f>F29*25.09</f>
        <v>5735.6843090213324</v>
      </c>
      <c r="C29" s="17" t="s">
        <v>7</v>
      </c>
      <c r="D29" s="17">
        <f>B29/2.20462</f>
        <v>2601.6657333333333</v>
      </c>
      <c r="E29" s="17" t="s">
        <v>7</v>
      </c>
      <c r="F29" s="17">
        <f>G29*2.20462</f>
        <v>228.6043965333333</v>
      </c>
      <c r="G29" s="17">
        <v>103.69333333333333</v>
      </c>
      <c r="L29" s="15"/>
    </row>
    <row r="30" spans="1:12" x14ac:dyDescent="0.25">
      <c r="A30" s="17" t="s">
        <v>21</v>
      </c>
      <c r="B30" s="17">
        <f>F30*23.27</f>
        <v>4783.5235550006655</v>
      </c>
      <c r="C30" s="17" t="s">
        <v>7</v>
      </c>
      <c r="D30" s="17">
        <f>B30/2.20462</f>
        <v>2169.7723666666661</v>
      </c>
      <c r="E30" s="17" t="s">
        <v>7</v>
      </c>
      <c r="F30" s="17">
        <f>G30*2.20462</f>
        <v>205.56611753333328</v>
      </c>
      <c r="G30" s="17">
        <v>93.243333333333325</v>
      </c>
      <c r="L30" s="15"/>
    </row>
    <row r="31" spans="1:12" x14ac:dyDescent="0.25">
      <c r="A31" s="17" t="s">
        <v>26</v>
      </c>
      <c r="B31" s="17">
        <f>F31*17.49</f>
        <v>3745.2166130939991</v>
      </c>
      <c r="C31" s="17" t="s">
        <v>7</v>
      </c>
      <c r="D31" s="17">
        <f>B31/2.20462</f>
        <v>1698.8036999999997</v>
      </c>
      <c r="E31" s="17" t="s">
        <v>7</v>
      </c>
      <c r="F31" s="17">
        <f>G31*2.20462</f>
        <v>214.13474059999996</v>
      </c>
      <c r="G31" s="17">
        <v>97.13</v>
      </c>
      <c r="L31" s="15"/>
    </row>
    <row r="32" spans="1:12" x14ac:dyDescent="0.25">
      <c r="A32" s="17" t="s">
        <v>22</v>
      </c>
      <c r="B32" s="17">
        <f>F32*12.97</f>
        <v>2809.8293429066666</v>
      </c>
      <c r="C32" s="17" t="s">
        <v>7</v>
      </c>
      <c r="D32" s="17">
        <f>B32/2.20462</f>
        <v>1274.5186666666668</v>
      </c>
      <c r="E32" s="17" t="s">
        <v>7</v>
      </c>
      <c r="F32" s="17">
        <f>G32*2.20462</f>
        <v>216.64065866666664</v>
      </c>
      <c r="G32" s="17">
        <v>98.266666666666666</v>
      </c>
      <c r="L32" s="15"/>
    </row>
    <row r="33" spans="1:12" x14ac:dyDescent="0.25">
      <c r="A33" s="17" t="s">
        <v>23</v>
      </c>
      <c r="B33" s="17">
        <f>F33*28.666</f>
        <v>7183.4647299066655</v>
      </c>
      <c r="C33" s="17" t="s">
        <v>7</v>
      </c>
      <c r="D33" s="17">
        <f>B33/2.20462</f>
        <v>3258.3686666666663</v>
      </c>
      <c r="E33" s="17" t="s">
        <v>7</v>
      </c>
      <c r="F33" s="17">
        <f>G33*2.20462</f>
        <v>250.59180666666663</v>
      </c>
      <c r="G33" s="17">
        <v>113.66666666666666</v>
      </c>
      <c r="L33" s="15"/>
    </row>
    <row r="34" spans="1:12" x14ac:dyDescent="0.25">
      <c r="A34" s="48" t="s">
        <v>33</v>
      </c>
      <c r="B34" s="48"/>
      <c r="C34" s="48"/>
      <c r="D34" s="48"/>
      <c r="E34" s="48"/>
      <c r="F34" s="48"/>
      <c r="G34" s="48"/>
    </row>
    <row r="35" spans="1:12" x14ac:dyDescent="0.25">
      <c r="A35" s="17" t="s">
        <v>35</v>
      </c>
      <c r="B35" s="18" t="s">
        <v>34</v>
      </c>
      <c r="C35" s="17"/>
      <c r="D35" s="18" t="s">
        <v>34</v>
      </c>
      <c r="E35" s="17"/>
      <c r="F35" s="17">
        <f>G35*2.20462</f>
        <v>26.029213466666665</v>
      </c>
      <c r="G35" s="17">
        <v>11.806666666666667</v>
      </c>
      <c r="L35" s="15"/>
    </row>
    <row r="36" spans="1:12" ht="24.75" x14ac:dyDescent="0.25">
      <c r="A36" s="17" t="s">
        <v>36</v>
      </c>
      <c r="B36" s="18" t="s">
        <v>34</v>
      </c>
      <c r="C36" s="17"/>
      <c r="D36" s="18" t="s">
        <v>34</v>
      </c>
      <c r="E36" s="17"/>
      <c r="F36" s="17">
        <f>G36*2.20462</f>
        <v>0</v>
      </c>
      <c r="G36" s="17">
        <v>0</v>
      </c>
      <c r="L36" s="15"/>
    </row>
    <row r="37" spans="1:12" ht="27" x14ac:dyDescent="0.25">
      <c r="A37" s="17" t="s">
        <v>40</v>
      </c>
      <c r="B37" s="17">
        <f>F37*14.21</f>
        <v>1562.7818053913954</v>
      </c>
      <c r="C37" s="17" t="s">
        <v>7</v>
      </c>
      <c r="D37" s="17">
        <f>B37/2.20462</f>
        <v>708.86674592056477</v>
      </c>
      <c r="E37" s="17" t="s">
        <v>7</v>
      </c>
      <c r="F37" s="17">
        <f>G37*2.20462</f>
        <v>109.97760769819813</v>
      </c>
      <c r="G37" s="17">
        <v>49.885063048597097</v>
      </c>
      <c r="L37" s="15"/>
    </row>
    <row r="38" spans="1:12" x14ac:dyDescent="0.25">
      <c r="A38" s="17" t="s">
        <v>41</v>
      </c>
      <c r="B38" s="17">
        <f>F38*28</f>
        <v>5306.8730791999997</v>
      </c>
      <c r="C38" s="17" t="s">
        <v>7</v>
      </c>
      <c r="D38" s="17">
        <f>B38/2.20462</f>
        <v>2407.16</v>
      </c>
      <c r="E38" s="17" t="s">
        <v>7</v>
      </c>
      <c r="F38" s="17">
        <f>G38*2.20462</f>
        <v>189.53118139999998</v>
      </c>
      <c r="G38" s="17">
        <v>85.97</v>
      </c>
    </row>
    <row r="39" spans="1:12" ht="15.75" thickBot="1" x14ac:dyDescent="0.3">
      <c r="A39" s="12" t="s">
        <v>42</v>
      </c>
      <c r="B39" s="17">
        <f>F39*5.796/42</f>
        <v>22.513579439999997</v>
      </c>
      <c r="C39" s="12" t="s">
        <v>4</v>
      </c>
      <c r="D39" s="17">
        <f>B39/2.20462</f>
        <v>10.212</v>
      </c>
      <c r="E39" s="12" t="s">
        <v>4</v>
      </c>
      <c r="F39" s="17">
        <f>G39*2.20462</f>
        <v>163.14187999999999</v>
      </c>
      <c r="G39" s="17">
        <v>74</v>
      </c>
      <c r="L39" s="16"/>
    </row>
    <row r="40" spans="1:12" ht="52.5" customHeight="1" x14ac:dyDescent="0.25">
      <c r="A40" s="52" t="s">
        <v>50</v>
      </c>
      <c r="B40" s="52"/>
      <c r="C40" s="52"/>
      <c r="D40" s="52"/>
      <c r="E40" s="52"/>
      <c r="F40" s="52"/>
      <c r="G40" s="52"/>
    </row>
    <row r="41" spans="1:12" ht="25.15" customHeight="1" x14ac:dyDescent="0.25">
      <c r="A41" s="53" t="s">
        <v>44</v>
      </c>
      <c r="B41" s="54"/>
      <c r="C41" s="54"/>
      <c r="D41" s="54"/>
      <c r="E41" s="54"/>
      <c r="F41" s="54"/>
      <c r="G41" s="54"/>
    </row>
    <row r="42" spans="1:12" ht="28.15" customHeight="1" x14ac:dyDescent="0.25">
      <c r="A42" s="53" t="s">
        <v>38</v>
      </c>
      <c r="B42" s="54"/>
      <c r="C42" s="54"/>
      <c r="D42" s="54"/>
      <c r="E42" s="54"/>
      <c r="F42" s="54"/>
      <c r="G42" s="54"/>
    </row>
    <row r="43" spans="1:12" ht="17.649999999999999" customHeight="1" x14ac:dyDescent="0.25">
      <c r="A43" s="53" t="s">
        <v>39</v>
      </c>
      <c r="B43" s="54"/>
      <c r="C43" s="54"/>
      <c r="D43" s="54"/>
      <c r="E43" s="54"/>
      <c r="F43" s="54"/>
      <c r="G43" s="54"/>
    </row>
    <row r="44" spans="1:12" ht="11.25" customHeight="1" x14ac:dyDescent="0.25">
      <c r="A44" s="50" t="s">
        <v>24</v>
      </c>
      <c r="B44" s="50"/>
      <c r="C44" s="50"/>
      <c r="D44" s="50"/>
      <c r="E44" s="50"/>
      <c r="F44" s="50"/>
      <c r="G44" s="50"/>
    </row>
    <row r="45" spans="1:12" ht="12.75" customHeight="1" x14ac:dyDescent="0.25">
      <c r="A45" s="50" t="s">
        <v>27</v>
      </c>
      <c r="B45" s="50"/>
      <c r="C45" s="50"/>
      <c r="D45" s="50"/>
      <c r="E45" s="50"/>
      <c r="F45" s="50"/>
      <c r="G45" s="50"/>
    </row>
    <row r="46" spans="1:12" ht="24" customHeight="1" x14ac:dyDescent="0.25">
      <c r="A46" s="51" t="s">
        <v>49</v>
      </c>
      <c r="B46" s="51"/>
      <c r="C46" s="51"/>
      <c r="D46" s="51"/>
      <c r="E46" s="51"/>
      <c r="F46" s="51"/>
      <c r="G46" s="51"/>
    </row>
    <row r="47" spans="1:12" ht="12" customHeight="1" x14ac:dyDescent="0.25">
      <c r="A47" s="5"/>
      <c r="B47" s="5"/>
      <c r="C47" s="5"/>
      <c r="D47" s="5"/>
      <c r="E47" s="5"/>
      <c r="F47" s="5"/>
      <c r="G47" s="12"/>
    </row>
    <row r="48" spans="1:12" x14ac:dyDescent="0.25">
      <c r="D48" s="5"/>
      <c r="E48" s="5"/>
      <c r="F48" s="8"/>
      <c r="G48" s="13"/>
    </row>
  </sheetData>
  <mergeCells count="14">
    <mergeCell ref="A45:G45"/>
    <mergeCell ref="A46:G46"/>
    <mergeCell ref="A34:G34"/>
    <mergeCell ref="A40:G40"/>
    <mergeCell ref="A41:G41"/>
    <mergeCell ref="A42:G42"/>
    <mergeCell ref="A43:G43"/>
    <mergeCell ref="A44:G44"/>
    <mergeCell ref="A4:G4"/>
    <mergeCell ref="A7:G7"/>
    <mergeCell ref="A16:G16"/>
    <mergeCell ref="A19:G19"/>
    <mergeCell ref="A21:G21"/>
    <mergeCell ref="A28:G2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topLeftCell="A17" workbookViewId="0"/>
  </sheetViews>
  <sheetFormatPr defaultRowHeight="15" x14ac:dyDescent="0.25"/>
  <cols>
    <col min="2" max="2" width="11.7109375" bestFit="1" customWidth="1"/>
    <col min="3" max="3" width="14.28515625" bestFit="1" customWidth="1"/>
    <col min="4" max="4" width="11" customWidth="1"/>
    <col min="5" max="5" width="9.28515625" bestFit="1" customWidth="1"/>
    <col min="6" max="6" width="16.85546875" bestFit="1" customWidth="1"/>
    <col min="9" max="9" width="13.85546875" bestFit="1" customWidth="1"/>
  </cols>
  <sheetData>
    <row r="1" spans="1:8" x14ac:dyDescent="0.25">
      <c r="A1" s="37"/>
    </row>
    <row r="2" spans="1:8" s="1" customFormat="1" ht="15.75" thickBot="1" x14ac:dyDescent="0.3">
      <c r="A2" s="37"/>
    </row>
    <row r="3" spans="1:8" ht="16.5" thickTop="1" thickBot="1" x14ac:dyDescent="0.3">
      <c r="B3" s="19" t="s">
        <v>51</v>
      </c>
      <c r="C3" s="19" t="s">
        <v>52</v>
      </c>
      <c r="D3" s="19" t="s">
        <v>53</v>
      </c>
      <c r="E3" s="19" t="s">
        <v>54</v>
      </c>
      <c r="F3" s="42" t="s">
        <v>55</v>
      </c>
      <c r="G3" s="44" t="s">
        <v>84</v>
      </c>
      <c r="H3" s="44" t="s">
        <v>85</v>
      </c>
    </row>
    <row r="4" spans="1:8" ht="16.5" thickTop="1" thickBot="1" x14ac:dyDescent="0.3">
      <c r="B4" s="19">
        <f>0.8*16*365*10*2</f>
        <v>93440</v>
      </c>
      <c r="C4" s="19">
        <f>0.75*16*365*10*2</f>
        <v>87600</v>
      </c>
      <c r="D4" s="19">
        <f>0.5*16*365*5*2</f>
        <v>29200</v>
      </c>
      <c r="E4" s="19">
        <f>SUM(B4:D4)</f>
        <v>210240</v>
      </c>
      <c r="F4" s="43">
        <f>(E4*E19)/E23</f>
        <v>85.592511740735972</v>
      </c>
      <c r="G4" s="45">
        <f>E4*H28</f>
        <v>85.59161642384106</v>
      </c>
      <c r="H4" s="45">
        <f>E4*H33</f>
        <v>146.87046357615893</v>
      </c>
    </row>
    <row r="5" spans="1:8" ht="16.5" thickTop="1" thickBot="1" x14ac:dyDescent="0.3">
      <c r="B5" s="19">
        <f>0.8*8*365*10</f>
        <v>23360</v>
      </c>
      <c r="C5" s="19">
        <f>0.75*8*365*10</f>
        <v>21900</v>
      </c>
      <c r="D5" s="19">
        <f>0.5*8*365*10</f>
        <v>14600</v>
      </c>
      <c r="E5" s="19">
        <f>SUM(B5:D5)</f>
        <v>59860</v>
      </c>
      <c r="F5" s="43">
        <f>(E5*E19)/E23</f>
        <v>24.370090148403992</v>
      </c>
      <c r="G5" s="45">
        <f>E5*H28</f>
        <v>24.369835231788077</v>
      </c>
      <c r="H5" s="45">
        <f>E5*H33</f>
        <v>41.81728476821192</v>
      </c>
    </row>
    <row r="6" spans="1:8" ht="15.75" thickTop="1" x14ac:dyDescent="0.25"/>
    <row r="7" spans="1:8" ht="25.5" x14ac:dyDescent="0.25">
      <c r="B7" s="23" t="s">
        <v>63</v>
      </c>
      <c r="C7" s="23">
        <v>7.42</v>
      </c>
      <c r="D7" s="23" t="s">
        <v>62</v>
      </c>
    </row>
    <row r="9" spans="1:8" ht="25.5" x14ac:dyDescent="0.25">
      <c r="B9" s="23" t="s">
        <v>63</v>
      </c>
      <c r="C9" s="23">
        <v>0.13</v>
      </c>
      <c r="D9" s="23" t="s">
        <v>64</v>
      </c>
    </row>
    <row r="10" spans="1:8" s="1" customFormat="1" x14ac:dyDescent="0.25">
      <c r="A10"/>
      <c r="B10" s="23"/>
    </row>
    <row r="11" spans="1:8" x14ac:dyDescent="0.25">
      <c r="A11" s="1"/>
    </row>
    <row r="12" spans="1:8" ht="15.75" x14ac:dyDescent="0.25">
      <c r="B12" s="46" t="s">
        <v>25</v>
      </c>
      <c r="C12" s="46"/>
      <c r="D12" s="46"/>
      <c r="E12" s="46"/>
      <c r="F12" s="46"/>
      <c r="G12" s="46"/>
      <c r="H12" s="46"/>
    </row>
    <row r="13" spans="1:8" ht="33" x14ac:dyDescent="0.35">
      <c r="B13" s="26"/>
      <c r="C13" s="27" t="s">
        <v>65</v>
      </c>
      <c r="D13" s="27"/>
      <c r="E13" s="27" t="s">
        <v>66</v>
      </c>
      <c r="F13" s="27"/>
      <c r="G13" s="28" t="s">
        <v>67</v>
      </c>
      <c r="H13" s="29" t="s">
        <v>66</v>
      </c>
    </row>
    <row r="14" spans="1:8" ht="63.75" thickBot="1" x14ac:dyDescent="0.3">
      <c r="B14" s="30" t="s">
        <v>68</v>
      </c>
      <c r="C14" s="31" t="s">
        <v>0</v>
      </c>
      <c r="D14" s="31"/>
      <c r="E14" s="31" t="s">
        <v>0</v>
      </c>
      <c r="F14" s="31"/>
      <c r="G14" s="32" t="s">
        <v>1</v>
      </c>
      <c r="H14" s="33" t="s">
        <v>1</v>
      </c>
    </row>
    <row r="15" spans="1:8" ht="15.75" thickTop="1" x14ac:dyDescent="0.25">
      <c r="B15" s="55" t="s">
        <v>2</v>
      </c>
      <c r="C15" s="55"/>
      <c r="D15" s="55"/>
      <c r="E15" s="55"/>
      <c r="F15" s="55"/>
      <c r="G15" s="55"/>
      <c r="H15" s="55"/>
    </row>
    <row r="16" spans="1:8" ht="30" x14ac:dyDescent="0.25">
      <c r="B16" s="34" t="s">
        <v>8</v>
      </c>
      <c r="C16" s="34">
        <f>G16*1.037</f>
        <v>120.96236263539997</v>
      </c>
      <c r="D16" s="34" t="s">
        <v>9</v>
      </c>
      <c r="E16" s="34">
        <f>C16/2.20462</f>
        <v>54.86766999999999</v>
      </c>
      <c r="F16" s="34" t="s">
        <v>9</v>
      </c>
      <c r="G16" s="34">
        <f>H16*2.20462</f>
        <v>116.64644419999998</v>
      </c>
      <c r="H16" s="34">
        <v>52.91</v>
      </c>
    </row>
    <row r="19" spans="1:9" ht="33" x14ac:dyDescent="0.25">
      <c r="B19">
        <f>C7</f>
        <v>7.42</v>
      </c>
      <c r="C19" s="25">
        <f>C16</f>
        <v>120.96236263539997</v>
      </c>
      <c r="D19">
        <v>1000</v>
      </c>
      <c r="E19" s="35">
        <f>(B19*C19)/D19</f>
        <v>0.89754073075466767</v>
      </c>
      <c r="F19" s="36" t="s">
        <v>69</v>
      </c>
    </row>
    <row r="20" spans="1:9" x14ac:dyDescent="0.25">
      <c r="E20">
        <v>1000</v>
      </c>
    </row>
    <row r="21" spans="1:9" s="1" customFormat="1" x14ac:dyDescent="0.25">
      <c r="A21"/>
    </row>
    <row r="22" spans="1:9" s="1" customFormat="1" x14ac:dyDescent="0.25"/>
    <row r="23" spans="1:9" x14ac:dyDescent="0.25">
      <c r="A23" s="1"/>
      <c r="E23">
        <v>2204.62</v>
      </c>
      <c r="F23" t="s">
        <v>70</v>
      </c>
    </row>
    <row r="24" spans="1:9" x14ac:dyDescent="0.25">
      <c r="C24">
        <f>(C19*D19)/1000000</f>
        <v>0.12096236263539997</v>
      </c>
      <c r="D24" t="s">
        <v>71</v>
      </c>
    </row>
    <row r="26" spans="1:9" s="1" customFormat="1" x14ac:dyDescent="0.25">
      <c r="A26"/>
      <c r="B26" s="37" t="s">
        <v>79</v>
      </c>
    </row>
    <row r="27" spans="1:9" x14ac:dyDescent="0.25">
      <c r="A27" s="1"/>
    </row>
    <row r="28" spans="1:9" ht="19.5" thickBot="1" x14ac:dyDescent="0.4">
      <c r="B28" s="38">
        <f>C7</f>
        <v>7.42</v>
      </c>
      <c r="C28" s="39" t="s">
        <v>73</v>
      </c>
      <c r="D28" s="38">
        <v>120.96</v>
      </c>
      <c r="E28" s="39" t="s">
        <v>75</v>
      </c>
      <c r="F28" s="38">
        <v>1</v>
      </c>
      <c r="G28" s="39" t="s">
        <v>76</v>
      </c>
      <c r="H28" s="38">
        <f>(B28*D28*F28)/(D29*F29)</f>
        <v>4.0711385285312527E-4</v>
      </c>
      <c r="I28" s="38" t="s">
        <v>78</v>
      </c>
    </row>
    <row r="29" spans="1:9" ht="18" thickTop="1" x14ac:dyDescent="0.25">
      <c r="C29" s="40" t="s">
        <v>74</v>
      </c>
      <c r="D29">
        <v>1000</v>
      </c>
      <c r="E29" s="40" t="s">
        <v>73</v>
      </c>
      <c r="F29">
        <v>2204.6</v>
      </c>
      <c r="G29" s="40" t="s">
        <v>77</v>
      </c>
      <c r="I29" s="1" t="s">
        <v>74</v>
      </c>
    </row>
    <row r="31" spans="1:9" x14ac:dyDescent="0.25">
      <c r="B31" s="37" t="s">
        <v>82</v>
      </c>
    </row>
    <row r="33" spans="2:9" ht="18.75" thickBot="1" x14ac:dyDescent="0.4">
      <c r="B33" s="38">
        <v>1540.1</v>
      </c>
      <c r="C33" s="39" t="s">
        <v>75</v>
      </c>
      <c r="D33" s="38">
        <v>1</v>
      </c>
      <c r="E33" s="39" t="s">
        <v>76</v>
      </c>
      <c r="F33" s="38">
        <v>1E-3</v>
      </c>
      <c r="G33" s="39" t="s">
        <v>83</v>
      </c>
      <c r="H33" s="38">
        <f>(B33*D33*F33)/(D34*F34)</f>
        <v>6.9858477728386101E-4</v>
      </c>
      <c r="I33" s="38" t="s">
        <v>78</v>
      </c>
    </row>
    <row r="34" spans="2:9" ht="15.75" thickTop="1" x14ac:dyDescent="0.25">
      <c r="C34" s="41" t="s">
        <v>83</v>
      </c>
      <c r="D34" s="1">
        <v>2204.6</v>
      </c>
      <c r="E34" s="40" t="s">
        <v>77</v>
      </c>
      <c r="F34">
        <v>1</v>
      </c>
      <c r="G34" s="40" t="s">
        <v>74</v>
      </c>
      <c r="I34" s="1" t="s">
        <v>74</v>
      </c>
    </row>
  </sheetData>
  <mergeCells count="2">
    <mergeCell ref="B15:H15"/>
    <mergeCell ref="B12:H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tabSelected="1" workbookViewId="0"/>
  </sheetViews>
  <sheetFormatPr defaultRowHeight="15" x14ac:dyDescent="0.25"/>
  <cols>
    <col min="2" max="2" width="122.7109375" customWidth="1"/>
  </cols>
  <sheetData>
    <row r="1" spans="1:2" s="1" customFormat="1" x14ac:dyDescent="0.25">
      <c r="A1" s="37"/>
    </row>
    <row r="3" spans="1:2" ht="61.5" x14ac:dyDescent="0.25">
      <c r="B3" s="20" t="s">
        <v>57</v>
      </c>
    </row>
    <row r="4" spans="1:2" ht="28.5" x14ac:dyDescent="0.25">
      <c r="B4" s="21" t="s">
        <v>58</v>
      </c>
    </row>
    <row r="5" spans="1:2" x14ac:dyDescent="0.25">
      <c r="B5" s="22"/>
    </row>
    <row r="6" spans="1:2" x14ac:dyDescent="0.25">
      <c r="B6" s="23" t="s">
        <v>59</v>
      </c>
    </row>
    <row r="8" spans="1:2" ht="28.5" x14ac:dyDescent="0.25">
      <c r="B8" s="21" t="s">
        <v>60</v>
      </c>
    </row>
    <row r="9" spans="1:2" x14ac:dyDescent="0.25">
      <c r="B9" s="22"/>
    </row>
    <row r="10" spans="1:2" x14ac:dyDescent="0.25">
      <c r="B10" s="23" t="s">
        <v>61</v>
      </c>
    </row>
    <row r="13" spans="1:2" x14ac:dyDescent="0.25">
      <c r="B13" t="s">
        <v>56</v>
      </c>
    </row>
    <row r="62" spans="2:2" s="1" customFormat="1" x14ac:dyDescent="0.25"/>
    <row r="63" spans="2:2" x14ac:dyDescent="0.25">
      <c r="B63" t="s">
        <v>81</v>
      </c>
    </row>
    <row r="64" spans="2:2" x14ac:dyDescent="0.25">
      <c r="B64" t="s">
        <v>80</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98ECBCD850AC44B81683B2563B83CD5" ma:contentTypeVersion="4" ma:contentTypeDescription="Create a new document." ma:contentTypeScope="" ma:versionID="fad6562916ec139405349ede15d830ab">
  <xsd:schema xmlns:xsd="http://www.w3.org/2001/XMLSchema" xmlns:xs="http://www.w3.org/2001/XMLSchema" xmlns:p="http://schemas.microsoft.com/office/2006/metadata/properties" xmlns:ns2="bc2e8c8e-8cc3-4fe3-9a9a-bb7ebcc507ef" targetNamespace="http://schemas.microsoft.com/office/2006/metadata/properties" ma:root="true" ma:fieldsID="01e8803bb4d336303463a593b020e2bb" ns2:_="">
    <xsd:import namespace="bc2e8c8e-8cc3-4fe3-9a9a-bb7ebcc507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2e8c8e-8cc3-4fe3-9a9a-bb7ebcc507e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4BF9227-A3E4-49E1-8163-9D3ED85E3E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c2e8c8e-8cc3-4fe3-9a9a-bb7ebcc507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359D4E4-29C3-407E-AD19-34E47CC374EE}">
  <ds:schemaRefs>
    <ds:schemaRef ds:uri="http://schemas.microsoft.com/sharepoint/v3/contenttype/forms"/>
  </ds:schemaRefs>
</ds:datastoreItem>
</file>

<file path=customXml/itemProps3.xml><?xml version="1.0" encoding="utf-8"?>
<ds:datastoreItem xmlns:ds="http://schemas.openxmlformats.org/officeDocument/2006/customXml" ds:itemID="{ABB23482-2D62-4973-AF00-5A02F8EAE2CB}">
  <ds:schemaRefs>
    <ds:schemaRef ds:uri="http://schemas.openxmlformats.org/package/2006/metadata/core-properties"/>
    <ds:schemaRef ds:uri="http://schemas.microsoft.com/office/2006/documentManagement/types"/>
    <ds:schemaRef ds:uri="http://purl.org/dc/dcmitype/"/>
    <ds:schemaRef ds:uri="http://schemas.microsoft.com/office/2006/metadata/properties"/>
    <ds:schemaRef ds:uri="http://purl.org/dc/elements/1.1/"/>
    <ds:schemaRef ds:uri="http://www.w3.org/XML/1998/namespace"/>
    <ds:schemaRef ds:uri="http://schemas.microsoft.com/office/infopath/2007/PartnerControls"/>
    <ds:schemaRef ds:uri="bc2e8c8e-8cc3-4fe3-9a9a-bb7ebcc507ef"/>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CO2_factors_2021</vt:lpstr>
      <vt:lpstr>Sheet1</vt:lpstr>
      <vt:lpstr>Supporting Info</vt:lpstr>
    </vt:vector>
  </TitlesOfParts>
  <Company>EIA\DOE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Nakolan, Kevin</dc:creator>
  <cp:lastModifiedBy>Caitlin Byrd</cp:lastModifiedBy>
  <cp:lastPrinted>2016-01-14T20:03:29Z</cp:lastPrinted>
  <dcterms:created xsi:type="dcterms:W3CDTF">2012-03-07T20:42:24Z</dcterms:created>
  <dcterms:modified xsi:type="dcterms:W3CDTF">2024-04-01T22:36:31Z</dcterms:modified>
</cp:coreProperties>
</file>