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theermgroup.sharepoint.com/sites/ClimateActionPlanCenter/Shared Documents/01. CIRDA_Indianapolis-Carmel-Anderson CAP/06. CIRDA Project Files/Implementation Grant/GHG/"/>
    </mc:Choice>
  </mc:AlternateContent>
  <xr:revisionPtr revIDLastSave="933" documentId="8_{0B305EF0-87BC-4C9A-82E2-916DF0A55154}" xr6:coauthVersionLast="47" xr6:coauthVersionMax="47" xr10:uidLastSave="{8930F684-D9B7-4ED3-8268-0F3BE5DA7589}"/>
  <bookViews>
    <workbookView xWindow="25300" yWindow="1150" windowWidth="32290" windowHeight="18950" tabRatio="872" xr2:uid="{9478BBED-917C-4B21-BEDC-5936870D8B46}"/>
  </bookViews>
  <sheets>
    <sheet name="Contents" sheetId="21" r:id="rId1"/>
    <sheet name="ReadMe" sheetId="19" r:id="rId2"/>
    <sheet name="Programs" sheetId="1" r:id="rId3"/>
    <sheet name="Projects" sheetId="5" r:id="rId4"/>
    <sheet name="Provided" sheetId="13" r:id="rId5"/>
    <sheet name="Lands" sheetId="10" r:id="rId6"/>
    <sheet name="Transit" sheetId="2" r:id="rId7"/>
    <sheet name="Solar" sheetId="4" r:id="rId8"/>
    <sheet name="EE" sheetId="7" r:id="rId9"/>
    <sheet name="WasteRNG" sheetId="18" r:id="rId10"/>
    <sheet name="SupportingInfo--&gt;" sheetId="9" r:id="rId11"/>
    <sheet name="GridEF" sheetId="20" r:id="rId12"/>
    <sheet name="BaseBuildingConsmp" sheetId="8" r:id="rId13"/>
    <sheet name="CPI" sheetId="12" r:id="rId14"/>
    <sheet name="Lists" sheetId="11" r:id="rId15"/>
  </sheets>
  <externalReferences>
    <externalReference r:id="rId16"/>
    <externalReference r:id="rId17"/>
    <externalReference r:id="rId18"/>
    <externalReference r:id="rId19"/>
    <externalReference r:id="rId20"/>
  </externalReferences>
  <definedNames>
    <definedName name="_1_year">#REF!</definedName>
    <definedName name="_1_yr_after_compl_yr">#REF!</definedName>
    <definedName name="_1_yr_after_compl_yr0">#REF!</definedName>
    <definedName name="_1_yr_before_compl_yr">#REF!</definedName>
    <definedName name="_2_year">#REF!</definedName>
    <definedName name="_2_year_after_compl_yr">#REF!</definedName>
    <definedName name="_2_years">#REF!</definedName>
    <definedName name="_2_yrs_before_compl_yr">#REF!</definedName>
    <definedName name="_20_years">#REF!</definedName>
    <definedName name="_22_years">#REF!</definedName>
    <definedName name="_25_years">#REF!</definedName>
    <definedName name="_3_years">#REF!</definedName>
    <definedName name="_3_yrs_before_compl_yr">#REF!</definedName>
    <definedName name="_30_years">#REF!</definedName>
    <definedName name="_5_years">#REF!</definedName>
    <definedName name="_5_yrs_after_compl_yr">#REF!</definedName>
    <definedName name="_xlnm._FilterDatabase" localSheetId="3" hidden="1">Projects!$A$1:$M$30</definedName>
    <definedName name="analysis_year">#REF!</definedName>
    <definedName name="auxpower">#REF!</definedName>
    <definedName name="Capcosts">#REF!</definedName>
    <definedName name="capital_20_for_ipm">#REF!</definedName>
    <definedName name="capital_22_for_ipm">#REF!</definedName>
    <definedName name="capital_25_for_ipm">#REF!</definedName>
    <definedName name="capital_30_for_ipm">#REF!</definedName>
    <definedName name="capital_ct_30_for_ipm">#REF!</definedName>
    <definedName name="ck_310_Tm_master2">#REF!</definedName>
    <definedName name="ck_310_Tm_master2_ICF">#REF!</definedName>
    <definedName name="compl_yr">#REF!</definedName>
    <definedName name="compl_yr_for_ipm">#REF!</definedName>
    <definedName name="compliance_year_1">#REF!</definedName>
    <definedName name="compliance_year_2">#REF!</definedName>
    <definedName name="compliance_year_3">#REF!</definedName>
    <definedName name="compliance_year_4">#REF!</definedName>
    <definedName name="compliance_year_5">#REF!</definedName>
    <definedName name="compliance_year_6">#REF!</definedName>
    <definedName name="compliance_year_7">#REF!</definedName>
    <definedName name="compliance_year_8">#REF!</definedName>
    <definedName name="compliance_year_9">#REF!</definedName>
    <definedName name="ct_icr">#REF!</definedName>
    <definedName name="_xlnm.Database">#REF!</definedName>
    <definedName name="Details_Emissions">'[1]State Map'!$F$102:$F$105</definedName>
    <definedName name="Details_EmissionsRate">'[1]State Map'!$G$102:$G$105</definedName>
    <definedName name="discount_rate">#REF!</definedName>
    <definedName name="downtime_for_ipm">#REF!</definedName>
    <definedName name="dq_stq_facility_costs">[2]DQ_STQ_Facility_Level_Costs!$A:$IV</definedName>
    <definedName name="F860_COOLING_STATUS">#REF!</definedName>
    <definedName name="F860_NOXCONTROL">#REF!</definedName>
    <definedName name="fom_for_ipm">#REF!</definedName>
    <definedName name="gas_unit_list">[3]Index!#REF!</definedName>
    <definedName name="icr_costs">#REF!</definedName>
    <definedName name="InputUnitList">#REF!</definedName>
    <definedName name="InputUnitList2">#REF!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ListCommandControVaryingDegrees">'[4]Data Validation List'!#REF!</definedName>
    <definedName name="monitor_markup">[5]Assumptions!$H$4</definedName>
    <definedName name="NEEDS_For_Parsing">#REF!</definedName>
    <definedName name="NEEDS_v620_For_ICF">#REF!</definedName>
    <definedName name="NEEDS617_Population">#REF!</definedName>
    <definedName name="non_ct_icr">#REF!</definedName>
    <definedName name="option">#REF!</definedName>
    <definedName name="option_vlookup">#REF!</definedName>
    <definedName name="P_III_2_CA">#REF!</definedName>
    <definedName name="P_IV_7">#REF!</definedName>
    <definedName name="penalty_for_ipm">#REF!</definedName>
    <definedName name="Plant_OperationalFY2019">#REF!</definedName>
    <definedName name="_xlnm.Print_Titles">#N/A</definedName>
    <definedName name="promulgation_year">#REF!</definedName>
    <definedName name="qryUnitsModeledIdentity">#REF!</definedName>
    <definedName name="run_page">#REF!</definedName>
    <definedName name="SO2EmissionCostChartData">#REF!</definedName>
    <definedName name="SO2EmissionsChartData">#REF!</definedName>
    <definedName name="SystemOutput">#REF!,#REF!,#REF!,#REF!,#REF!</definedName>
    <definedName name="Table_1">#REF!</definedName>
    <definedName name="Table2">#REF!</definedName>
    <definedName name="tblWIPMRunResultsIOUnitCapacity">#REF!</definedName>
    <definedName name="tblWIPMRunResultsIUnitCapacity">#REF!</definedName>
    <definedName name="tblWIPMRunResultsIUnitCapacityForExistingUniverse">#REF!</definedName>
    <definedName name="tblWIPMRunResultsIUnits">#REF!</definedName>
    <definedName name="tech_costs">#REF!</definedName>
    <definedName name="Tm_310_master2">#REF!</definedName>
    <definedName name="Tm_616_Population">#REF!</definedName>
    <definedName name="Tm_616_Population_to_offline">#REF!</definedName>
    <definedName name="UnitPopulationInput">#REF!</definedName>
    <definedName name="UnitPopulationOutput">#REF!</definedName>
    <definedName name="UnitPopulationOutputPolicy">#REF!</definedName>
    <definedName name="UnitsModeledIdentity">#REF!</definedName>
    <definedName name="UserInputList">#REF!</definedName>
    <definedName name="vlookup_base">#REF!</definedName>
    <definedName name="vom_for_ipm">#REF!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4" i="1" l="1"/>
  <c r="D53" i="1"/>
  <c r="D43" i="1" l="1"/>
  <c r="B14" i="5"/>
  <c r="D31" i="1"/>
  <c r="A41" i="7"/>
  <c r="B41" i="7"/>
  <c r="G41" i="7"/>
  <c r="K41" i="7"/>
  <c r="H41" i="7" s="1"/>
  <c r="L41" i="7"/>
  <c r="M41" i="7"/>
  <c r="N41" i="7"/>
  <c r="O41" i="7"/>
  <c r="P41" i="7"/>
  <c r="Q41" i="7"/>
  <c r="R41" i="7"/>
  <c r="S41" i="7"/>
  <c r="F41" i="7" s="1"/>
  <c r="T41" i="7"/>
  <c r="U41" i="7"/>
  <c r="V41" i="7"/>
  <c r="W41" i="7"/>
  <c r="X41" i="7"/>
  <c r="Y41" i="7"/>
  <c r="Z41" i="7"/>
  <c r="AA41" i="7"/>
  <c r="AB41" i="7"/>
  <c r="AC41" i="7"/>
  <c r="AD41" i="7"/>
  <c r="AE41" i="7"/>
  <c r="AF41" i="7"/>
  <c r="AG41" i="7"/>
  <c r="AH41" i="7"/>
  <c r="AI41" i="7"/>
  <c r="AJ41" i="7"/>
  <c r="F23" i="2"/>
  <c r="F104" i="7"/>
  <c r="F17" i="7"/>
  <c r="D23" i="1"/>
  <c r="F20" i="1" l="1"/>
  <c r="B16" i="19"/>
  <c r="B8" i="19"/>
  <c r="B6" i="5"/>
  <c r="A104" i="7" l="1"/>
  <c r="A105" i="7" s="1"/>
  <c r="A106" i="7" s="1"/>
  <c r="A107" i="7" s="1"/>
  <c r="A108" i="7" s="1"/>
  <c r="A109" i="7" s="1"/>
  <c r="B104" i="7"/>
  <c r="B105" i="7" s="1"/>
  <c r="B106" i="7" s="1"/>
  <c r="B107" i="7" s="1"/>
  <c r="B108" i="7" s="1"/>
  <c r="B109" i="7" s="1"/>
  <c r="F36" i="4"/>
  <c r="A37" i="4"/>
  <c r="A38" i="4" s="1"/>
  <c r="A39" i="4" s="1"/>
  <c r="B37" i="4"/>
  <c r="B38" i="4" s="1"/>
  <c r="B39" i="4" s="1"/>
  <c r="B36" i="4"/>
  <c r="A36" i="4"/>
  <c r="N123" i="12" l="1"/>
  <c r="F92" i="2" l="1"/>
  <c r="N108" i="18"/>
  <c r="O108" i="18"/>
  <c r="P108" i="18"/>
  <c r="Q108" i="18"/>
  <c r="R108" i="18"/>
  <c r="S108" i="18"/>
  <c r="T108" i="18"/>
  <c r="U108" i="18"/>
  <c r="V108" i="18"/>
  <c r="W108" i="18"/>
  <c r="X108" i="18"/>
  <c r="Y108" i="18"/>
  <c r="Z108" i="18"/>
  <c r="AA108" i="18"/>
  <c r="AB108" i="18"/>
  <c r="AC108" i="18"/>
  <c r="AD108" i="18"/>
  <c r="AE108" i="18"/>
  <c r="AF108" i="18"/>
  <c r="AG108" i="18"/>
  <c r="AH108" i="18"/>
  <c r="AI108" i="18"/>
  <c r="AJ108" i="18"/>
  <c r="L45" i="2"/>
  <c r="L46" i="2" s="1"/>
  <c r="L47" i="2" s="1"/>
  <c r="X5" i="1"/>
  <c r="X6" i="1"/>
  <c r="X7" i="1"/>
  <c r="X8" i="1"/>
  <c r="X9" i="1"/>
  <c r="X10" i="1"/>
  <c r="X11" i="1"/>
  <c r="X12" i="1"/>
  <c r="X13" i="1"/>
  <c r="X14" i="1"/>
  <c r="X15" i="1"/>
  <c r="X16" i="1"/>
  <c r="X17" i="1"/>
  <c r="X18" i="1"/>
  <c r="X19" i="1"/>
  <c r="X4" i="1"/>
  <c r="K32" i="2"/>
  <c r="F76" i="2"/>
  <c r="F131" i="7"/>
  <c r="Y3" i="1" l="1"/>
  <c r="I24" i="20"/>
  <c r="J24" i="20"/>
  <c r="K24" i="20"/>
  <c r="L24" i="20"/>
  <c r="M24" i="20"/>
  <c r="N24" i="20"/>
  <c r="O24" i="20"/>
  <c r="P24" i="20"/>
  <c r="Q24" i="20"/>
  <c r="R24" i="20"/>
  <c r="S24" i="20"/>
  <c r="T24" i="20"/>
  <c r="U24" i="20"/>
  <c r="V24" i="20"/>
  <c r="W24" i="20"/>
  <c r="X24" i="20"/>
  <c r="Y24" i="20"/>
  <c r="Z24" i="20"/>
  <c r="AA24" i="20"/>
  <c r="AB24" i="20"/>
  <c r="AC24" i="20"/>
  <c r="AD24" i="20"/>
  <c r="AE24" i="20"/>
  <c r="AF24" i="20"/>
  <c r="AG24" i="20"/>
  <c r="AH24" i="20"/>
  <c r="AI24" i="20"/>
  <c r="AJ24" i="20"/>
  <c r="H24" i="20"/>
  <c r="Z3" i="1" l="1"/>
  <c r="AA3" i="1" s="1"/>
  <c r="AB3" i="1" s="1"/>
  <c r="AC3" i="1" s="1"/>
  <c r="AD3" i="1" s="1"/>
  <c r="AE3" i="1" s="1"/>
  <c r="AF3" i="1" s="1"/>
  <c r="AG3" i="1" s="1"/>
  <c r="AH3" i="1" s="1"/>
  <c r="AI3" i="1" s="1"/>
  <c r="AJ3" i="1" s="1"/>
  <c r="AK3" i="1" s="1"/>
  <c r="AL3" i="1" s="1"/>
  <c r="AM3" i="1" s="1"/>
  <c r="AN3" i="1" s="1"/>
  <c r="AO3" i="1" s="1"/>
  <c r="AP3" i="1" s="1"/>
  <c r="AQ3" i="1" s="1"/>
  <c r="AR3" i="1" s="1"/>
  <c r="AS3" i="1" s="1"/>
  <c r="AT3" i="1" s="1"/>
  <c r="AU3" i="1" s="1"/>
  <c r="AV3" i="1" s="1"/>
  <c r="AW3" i="1" s="1"/>
  <c r="Y14" i="1"/>
  <c r="Y6" i="1"/>
  <c r="Y13" i="1"/>
  <c r="Y12" i="1"/>
  <c r="Y4" i="1"/>
  <c r="Y5" i="1"/>
  <c r="Y19" i="1"/>
  <c r="Y11" i="1"/>
  <c r="Y18" i="1"/>
  <c r="Y10" i="1"/>
  <c r="Y17" i="1"/>
  <c r="Y9" i="1"/>
  <c r="Y16" i="1"/>
  <c r="Y8" i="1"/>
  <c r="Y15" i="1"/>
  <c r="Y7" i="1"/>
  <c r="F18" i="20" l="1"/>
  <c r="F14" i="20"/>
  <c r="G21" i="20" l="1"/>
  <c r="H21" i="20" s="1"/>
  <c r="I21" i="20" s="1"/>
  <c r="J21" i="20" s="1"/>
  <c r="K21" i="20" s="1"/>
  <c r="L21" i="20" s="1"/>
  <c r="M21" i="20" s="1"/>
  <c r="N21" i="20" s="1"/>
  <c r="O21" i="20" s="1"/>
  <c r="P21" i="20" s="1"/>
  <c r="Q21" i="20" s="1"/>
  <c r="R21" i="20" s="1"/>
  <c r="S21" i="20" s="1"/>
  <c r="T21" i="20" s="1"/>
  <c r="U21" i="20" s="1"/>
  <c r="V21" i="20" s="1"/>
  <c r="W21" i="20" s="1"/>
  <c r="X21" i="20" s="1"/>
  <c r="Y21" i="20" s="1"/>
  <c r="Z21" i="20" s="1"/>
  <c r="AA21" i="20" s="1"/>
  <c r="AB21" i="20" s="1"/>
  <c r="AC21" i="20" s="1"/>
  <c r="AD21" i="20" s="1"/>
  <c r="AE21" i="20" s="1"/>
  <c r="AF21" i="20" s="1"/>
  <c r="AG21" i="20" s="1"/>
  <c r="AH21" i="20" s="1"/>
  <c r="AI21" i="20" s="1"/>
  <c r="AJ21" i="20" s="1"/>
  <c r="G20" i="20"/>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G19" i="20"/>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G17" i="20"/>
  <c r="H17" i="20" s="1"/>
  <c r="I17" i="20" s="1"/>
  <c r="J17" i="20" s="1"/>
  <c r="K17" i="20" s="1"/>
  <c r="L17" i="20" s="1"/>
  <c r="M17" i="20" s="1"/>
  <c r="N17" i="20" s="1"/>
  <c r="O17" i="20" s="1"/>
  <c r="P17" i="20" s="1"/>
  <c r="Q17" i="20" s="1"/>
  <c r="R17" i="20" s="1"/>
  <c r="S17" i="20" s="1"/>
  <c r="T17" i="20" s="1"/>
  <c r="U17" i="20" s="1"/>
  <c r="V17" i="20" s="1"/>
  <c r="W17" i="20" s="1"/>
  <c r="X17" i="20" s="1"/>
  <c r="Y17" i="20" s="1"/>
  <c r="Z17" i="20" s="1"/>
  <c r="AA17" i="20" s="1"/>
  <c r="AB17" i="20" s="1"/>
  <c r="AC17" i="20" s="1"/>
  <c r="AD17" i="20" s="1"/>
  <c r="AE17" i="20" s="1"/>
  <c r="AF17" i="20" s="1"/>
  <c r="AG17" i="20" s="1"/>
  <c r="AH17" i="20" s="1"/>
  <c r="AI17" i="20" s="1"/>
  <c r="AJ17" i="20" s="1"/>
  <c r="G16" i="20"/>
  <c r="H16" i="20" s="1"/>
  <c r="I16" i="20" s="1"/>
  <c r="J16" i="20" s="1"/>
  <c r="K16" i="20" s="1"/>
  <c r="L16" i="20" s="1"/>
  <c r="M16" i="20" s="1"/>
  <c r="N16" i="20" s="1"/>
  <c r="O16" i="20" s="1"/>
  <c r="P16" i="20" s="1"/>
  <c r="Q16" i="20" s="1"/>
  <c r="R16" i="20" s="1"/>
  <c r="S16" i="20" s="1"/>
  <c r="T16" i="20" s="1"/>
  <c r="U16" i="20" s="1"/>
  <c r="V16" i="20" s="1"/>
  <c r="W16" i="20" s="1"/>
  <c r="X16" i="20" s="1"/>
  <c r="Y16" i="20" s="1"/>
  <c r="Z16" i="20" s="1"/>
  <c r="AA16" i="20" s="1"/>
  <c r="AB16" i="20" s="1"/>
  <c r="AC16" i="20" s="1"/>
  <c r="AD16" i="20" s="1"/>
  <c r="AE16" i="20" s="1"/>
  <c r="AF16" i="20" s="1"/>
  <c r="AG16" i="20" s="1"/>
  <c r="AH16" i="20" s="1"/>
  <c r="AI16" i="20" s="1"/>
  <c r="AJ16" i="20" s="1"/>
  <c r="G15" i="20"/>
  <c r="H15" i="20" s="1"/>
  <c r="I15" i="20" s="1"/>
  <c r="F14" i="4"/>
  <c r="F13" i="4"/>
  <c r="B13" i="4"/>
  <c r="B14" i="4" s="1"/>
  <c r="B15" i="4" s="1"/>
  <c r="B16" i="4" s="1"/>
  <c r="A12" i="4"/>
  <c r="H15" i="5"/>
  <c r="G15" i="5" s="1"/>
  <c r="B96" i="7"/>
  <c r="B97" i="7" s="1"/>
  <c r="A95" i="7"/>
  <c r="A96" i="7" s="1"/>
  <c r="A97" i="7" s="1"/>
  <c r="H14" i="5"/>
  <c r="G14" i="5" s="1"/>
  <c r="L22" i="7"/>
  <c r="F19" i="7"/>
  <c r="AJ19" i="7"/>
  <c r="AI19" i="7"/>
  <c r="AB19" i="7"/>
  <c r="AA19" i="7"/>
  <c r="T19" i="7"/>
  <c r="S19" i="7"/>
  <c r="L19" i="7"/>
  <c r="K19" i="7"/>
  <c r="AH19" i="7"/>
  <c r="B15" i="7"/>
  <c r="B16" i="7" s="1"/>
  <c r="B17" i="7" s="1"/>
  <c r="B18" i="7" s="1"/>
  <c r="B19" i="7" s="1"/>
  <c r="B20" i="7" s="1"/>
  <c r="B21" i="7" s="1"/>
  <c r="B22" i="7" s="1"/>
  <c r="B23" i="7" s="1"/>
  <c r="B24" i="7" s="1"/>
  <c r="B25" i="7" s="1"/>
  <c r="A14" i="7"/>
  <c r="L59" i="18"/>
  <c r="F14" i="18"/>
  <c r="F13" i="18"/>
  <c r="F12" i="18"/>
  <c r="H4" i="5"/>
  <c r="G4" i="5" s="1"/>
  <c r="A15" i="7" l="1"/>
  <c r="A13" i="4"/>
  <c r="M22" i="7"/>
  <c r="N22" i="7" s="1"/>
  <c r="G18" i="20"/>
  <c r="H18" i="20" s="1"/>
  <c r="I18" i="20" s="1"/>
  <c r="J18" i="20" s="1"/>
  <c r="K18" i="20" s="1"/>
  <c r="L18" i="20" s="1"/>
  <c r="M18" i="20" s="1"/>
  <c r="N18" i="20" s="1"/>
  <c r="O18" i="20" s="1"/>
  <c r="P18" i="20" s="1"/>
  <c r="Q18" i="20" s="1"/>
  <c r="R18" i="20" s="1"/>
  <c r="S18" i="20" s="1"/>
  <c r="T18" i="20" s="1"/>
  <c r="U18" i="20" s="1"/>
  <c r="V18" i="20" s="1"/>
  <c r="W18" i="20" s="1"/>
  <c r="X18" i="20" s="1"/>
  <c r="Y18" i="20" s="1"/>
  <c r="Z18" i="20" s="1"/>
  <c r="AA18" i="20" s="1"/>
  <c r="AB18" i="20" s="1"/>
  <c r="AC18" i="20" s="1"/>
  <c r="AD18" i="20" s="1"/>
  <c r="AE18" i="20" s="1"/>
  <c r="AF18" i="20" s="1"/>
  <c r="AG18" i="20" s="1"/>
  <c r="AH18" i="20" s="1"/>
  <c r="AI18" i="20" s="1"/>
  <c r="AJ18" i="20" s="1"/>
  <c r="G14" i="20"/>
  <c r="H14" i="20" s="1"/>
  <c r="J15" i="20"/>
  <c r="I14" i="20"/>
  <c r="M19" i="7"/>
  <c r="U19" i="7"/>
  <c r="AC19" i="7"/>
  <c r="N19" i="7"/>
  <c r="V19" i="7"/>
  <c r="AD19" i="7"/>
  <c r="G19" i="7"/>
  <c r="O19" i="7"/>
  <c r="W19" i="7"/>
  <c r="AE19" i="7"/>
  <c r="H19" i="7"/>
  <c r="P19" i="7"/>
  <c r="X19" i="7"/>
  <c r="AF19" i="7"/>
  <c r="K22" i="7"/>
  <c r="I19" i="7"/>
  <c r="Q19" i="7"/>
  <c r="Y19" i="7"/>
  <c r="AG19" i="7"/>
  <c r="J19" i="7"/>
  <c r="R19" i="7"/>
  <c r="Z19" i="7"/>
  <c r="B105" i="18"/>
  <c r="G87" i="18"/>
  <c r="H87" i="18"/>
  <c r="F87" i="18"/>
  <c r="H100" i="18"/>
  <c r="H99" i="18"/>
  <c r="G100" i="18"/>
  <c r="G99" i="18"/>
  <c r="F100" i="18"/>
  <c r="F99" i="18"/>
  <c r="L100" i="18"/>
  <c r="M100" i="18"/>
  <c r="N100" i="18"/>
  <c r="O100" i="18"/>
  <c r="P100" i="18"/>
  <c r="Q100" i="18"/>
  <c r="R100" i="18"/>
  <c r="S100" i="18"/>
  <c r="T100" i="18"/>
  <c r="U100" i="18"/>
  <c r="V100" i="18"/>
  <c r="W100" i="18"/>
  <c r="X100" i="18"/>
  <c r="Y100" i="18"/>
  <c r="Z100" i="18"/>
  <c r="AA100" i="18"/>
  <c r="AB100" i="18"/>
  <c r="AC100" i="18"/>
  <c r="AD100" i="18"/>
  <c r="AE100" i="18"/>
  <c r="AF100" i="18"/>
  <c r="AG100" i="18"/>
  <c r="AH100" i="18"/>
  <c r="AI100" i="18"/>
  <c r="AJ100" i="18"/>
  <c r="K100" i="18"/>
  <c r="L99" i="18"/>
  <c r="M99" i="18"/>
  <c r="N99" i="18"/>
  <c r="O99" i="18"/>
  <c r="P99" i="18"/>
  <c r="Q99" i="18"/>
  <c r="R99" i="18"/>
  <c r="S99" i="18"/>
  <c r="T99" i="18"/>
  <c r="U99" i="18"/>
  <c r="V99" i="18"/>
  <c r="W99" i="18"/>
  <c r="X99" i="18"/>
  <c r="Y99" i="18"/>
  <c r="Z99" i="18"/>
  <c r="AA99" i="18"/>
  <c r="AB99" i="18"/>
  <c r="AC99" i="18"/>
  <c r="AD99" i="18"/>
  <c r="AE99" i="18"/>
  <c r="AF99" i="18"/>
  <c r="AG99" i="18"/>
  <c r="AH99" i="18"/>
  <c r="AI99" i="18"/>
  <c r="AJ99" i="18"/>
  <c r="K99" i="18"/>
  <c r="F23" i="10"/>
  <c r="A16" i="7" l="1"/>
  <c r="A17" i="7" s="1"/>
  <c r="A18" i="7" s="1"/>
  <c r="A19" i="7" s="1"/>
  <c r="A20" i="7" s="1"/>
  <c r="A21" i="7" s="1"/>
  <c r="A22" i="7" s="1"/>
  <c r="A23" i="7" s="1"/>
  <c r="A24" i="7" s="1"/>
  <c r="A25" i="7" s="1"/>
  <c r="A14" i="4"/>
  <c r="M29" i="10"/>
  <c r="U29" i="10"/>
  <c r="AC29" i="10"/>
  <c r="N29" i="10"/>
  <c r="V29" i="10"/>
  <c r="AD29" i="10"/>
  <c r="W29" i="10"/>
  <c r="O29" i="10"/>
  <c r="AE29" i="10"/>
  <c r="P29" i="10"/>
  <c r="X29" i="10"/>
  <c r="AF29" i="10"/>
  <c r="AG29" i="10"/>
  <c r="AI29" i="10"/>
  <c r="Q29" i="10"/>
  <c r="Y29" i="10"/>
  <c r="R29" i="10"/>
  <c r="Z29" i="10"/>
  <c r="AH29" i="10"/>
  <c r="AA29" i="10"/>
  <c r="L29" i="10"/>
  <c r="T29" i="10"/>
  <c r="AB29" i="10"/>
  <c r="AJ29" i="10"/>
  <c r="S29" i="10"/>
  <c r="J22" i="7"/>
  <c r="H23" i="20"/>
  <c r="H25" i="20" s="1"/>
  <c r="I23" i="20"/>
  <c r="I25" i="20" s="1"/>
  <c r="J14" i="20"/>
  <c r="K15" i="20"/>
  <c r="O22" i="7"/>
  <c r="G29" i="10"/>
  <c r="B106" i="18"/>
  <c r="B107" i="18" s="1"/>
  <c r="B108" i="18" s="1"/>
  <c r="A104" i="18"/>
  <c r="E5" i="1"/>
  <c r="C5" i="1"/>
  <c r="C42" i="1" s="1"/>
  <c r="K87" i="18"/>
  <c r="L87" i="18"/>
  <c r="M87" i="18"/>
  <c r="N87" i="18"/>
  <c r="O87" i="18"/>
  <c r="P87" i="18"/>
  <c r="Q87" i="18"/>
  <c r="R87" i="18"/>
  <c r="S87" i="18"/>
  <c r="T87" i="18"/>
  <c r="U87" i="18"/>
  <c r="V87" i="18"/>
  <c r="W87" i="18"/>
  <c r="X87" i="18"/>
  <c r="Y87" i="18"/>
  <c r="Z87" i="18"/>
  <c r="AA87" i="18"/>
  <c r="AB87" i="18"/>
  <c r="AC87" i="18"/>
  <c r="AD87" i="18"/>
  <c r="AE87" i="18"/>
  <c r="AF87" i="18"/>
  <c r="AG87" i="18"/>
  <c r="AH87" i="18"/>
  <c r="AI87" i="18"/>
  <c r="AJ87" i="18"/>
  <c r="B22" i="10"/>
  <c r="B23" i="10" s="1"/>
  <c r="B24" i="10" s="1"/>
  <c r="B25" i="10" s="1"/>
  <c r="B26" i="10" s="1"/>
  <c r="B27" i="10" s="1"/>
  <c r="B28" i="10" s="1"/>
  <c r="B29" i="10" s="1"/>
  <c r="A21" i="10"/>
  <c r="F29" i="10" l="1"/>
  <c r="H29" i="10"/>
  <c r="A15" i="4"/>
  <c r="A42" i="1"/>
  <c r="B42" i="1"/>
  <c r="A5" i="1"/>
  <c r="I20" i="7"/>
  <c r="J23" i="20"/>
  <c r="K14" i="20"/>
  <c r="L15" i="20"/>
  <c r="P22" i="7"/>
  <c r="A22" i="10"/>
  <c r="B5" i="1"/>
  <c r="G84" i="18"/>
  <c r="H84" i="18"/>
  <c r="I84" i="18"/>
  <c r="J84" i="18"/>
  <c r="K84" i="18"/>
  <c r="L84" i="18"/>
  <c r="M84" i="18"/>
  <c r="N84" i="18"/>
  <c r="O84" i="18"/>
  <c r="P84" i="18"/>
  <c r="Q84" i="18"/>
  <c r="R84" i="18"/>
  <c r="S84" i="18"/>
  <c r="T84" i="18"/>
  <c r="U84" i="18"/>
  <c r="V84" i="18"/>
  <c r="W84" i="18"/>
  <c r="X84" i="18"/>
  <c r="Y84" i="18"/>
  <c r="Z84" i="18"/>
  <c r="AA84" i="18"/>
  <c r="AB84" i="18"/>
  <c r="AC84" i="18"/>
  <c r="AD84" i="18"/>
  <c r="AE84" i="18"/>
  <c r="AF84" i="18"/>
  <c r="AG84" i="18"/>
  <c r="AH84" i="18"/>
  <c r="AI84" i="18"/>
  <c r="AJ84" i="18"/>
  <c r="F84" i="18"/>
  <c r="F49" i="18"/>
  <c r="F50" i="18" s="1"/>
  <c r="F27" i="18"/>
  <c r="F28" i="18" s="1"/>
  <c r="A105" i="18"/>
  <c r="A106" i="18" s="1"/>
  <c r="A107" i="18" s="1"/>
  <c r="A108" i="18" s="1"/>
  <c r="A16" i="4" l="1"/>
  <c r="J25" i="20"/>
  <c r="J20" i="7"/>
  <c r="J23" i="7"/>
  <c r="K23" i="20"/>
  <c r="L14" i="20"/>
  <c r="M15" i="20"/>
  <c r="Q22" i="7"/>
  <c r="A23" i="10"/>
  <c r="K20" i="7" l="1"/>
  <c r="K23" i="7"/>
  <c r="M14" i="20"/>
  <c r="L23" i="20"/>
  <c r="N15" i="20"/>
  <c r="K25" i="20"/>
  <c r="R22" i="7"/>
  <c r="A24" i="10"/>
  <c r="F53" i="18"/>
  <c r="F51" i="18"/>
  <c r="F52" i="18"/>
  <c r="H51" i="18"/>
  <c r="AJ51" i="18"/>
  <c r="K51" i="18"/>
  <c r="AD51" i="18"/>
  <c r="O51" i="18"/>
  <c r="U51" i="18"/>
  <c r="R51" i="18"/>
  <c r="J51" i="18"/>
  <c r="AG51" i="18"/>
  <c r="M49" i="18"/>
  <c r="F45" i="18"/>
  <c r="F44" i="18"/>
  <c r="L16" i="4" l="1"/>
  <c r="L23" i="7"/>
  <c r="L20" i="7"/>
  <c r="L25" i="20"/>
  <c r="N14" i="20"/>
  <c r="M23" i="20"/>
  <c r="O15" i="20"/>
  <c r="S22" i="7"/>
  <c r="A25" i="10"/>
  <c r="P51" i="18"/>
  <c r="N51" i="18"/>
  <c r="Y51" i="18"/>
  <c r="AE51" i="18"/>
  <c r="AC51" i="18"/>
  <c r="F54" i="18"/>
  <c r="N56" i="18"/>
  <c r="V56" i="18"/>
  <c r="AD56" i="18"/>
  <c r="O56" i="18"/>
  <c r="W56" i="18"/>
  <c r="AE56" i="18"/>
  <c r="L56" i="18"/>
  <c r="AI56" i="18"/>
  <c r="M56" i="18"/>
  <c r="P56" i="18"/>
  <c r="X56" i="18"/>
  <c r="AF56" i="18"/>
  <c r="AG56" i="18"/>
  <c r="R56" i="18"/>
  <c r="AC56" i="18"/>
  <c r="Q56" i="18"/>
  <c r="Y56" i="18"/>
  <c r="Z56" i="18"/>
  <c r="AH56" i="18"/>
  <c r="AA56" i="18"/>
  <c r="S56" i="18"/>
  <c r="U56" i="18"/>
  <c r="T56" i="18"/>
  <c r="AB56" i="18"/>
  <c r="AJ56" i="18"/>
  <c r="X51" i="18"/>
  <c r="L51" i="18"/>
  <c r="W51" i="18"/>
  <c r="V51" i="18"/>
  <c r="AF51" i="18"/>
  <c r="T51" i="18"/>
  <c r="AI51" i="18"/>
  <c r="AA51" i="18"/>
  <c r="I51" i="18"/>
  <c r="AB51" i="18"/>
  <c r="S51" i="18"/>
  <c r="G51" i="18"/>
  <c r="R63" i="18"/>
  <c r="Z63" i="18"/>
  <c r="AH63" i="18"/>
  <c r="Q63" i="18"/>
  <c r="AG63" i="18"/>
  <c r="S63" i="18"/>
  <c r="AA63" i="18"/>
  <c r="AI63" i="18"/>
  <c r="T63" i="18"/>
  <c r="AB63" i="18"/>
  <c r="AJ63" i="18"/>
  <c r="W63" i="18"/>
  <c r="M63" i="18"/>
  <c r="U63" i="18"/>
  <c r="AC63" i="18"/>
  <c r="L63" i="18"/>
  <c r="AE63" i="18"/>
  <c r="N63" i="18"/>
  <c r="V63" i="18"/>
  <c r="AD63" i="18"/>
  <c r="O63" i="18"/>
  <c r="P63" i="18"/>
  <c r="X63" i="18"/>
  <c r="AF63" i="18"/>
  <c r="Y63" i="18"/>
  <c r="Q51" i="18"/>
  <c r="M51" i="18"/>
  <c r="AH51" i="18"/>
  <c r="Z51" i="18"/>
  <c r="M50" i="18"/>
  <c r="M52" i="18"/>
  <c r="M53" i="18"/>
  <c r="X49" i="18"/>
  <c r="J49" i="18"/>
  <c r="AB49" i="18"/>
  <c r="I49" i="18"/>
  <c r="T49" i="18"/>
  <c r="AH49" i="18"/>
  <c r="S49" i="18"/>
  <c r="AG49" i="18"/>
  <c r="R49" i="18"/>
  <c r="W49" i="18"/>
  <c r="H49" i="18"/>
  <c r="AF49" i="18"/>
  <c r="L49" i="18"/>
  <c r="AE49" i="18"/>
  <c r="K49" i="18"/>
  <c r="AA49" i="18"/>
  <c r="Q49" i="18"/>
  <c r="G49" i="18"/>
  <c r="AJ49" i="18"/>
  <c r="Z49" i="18"/>
  <c r="P49" i="18"/>
  <c r="AI49" i="18"/>
  <c r="Y49" i="18"/>
  <c r="O49" i="18"/>
  <c r="AD49" i="18"/>
  <c r="V49" i="18"/>
  <c r="N49" i="18"/>
  <c r="AC49" i="18"/>
  <c r="U49" i="18"/>
  <c r="L33" i="18"/>
  <c r="M33" i="18"/>
  <c r="N33" i="18"/>
  <c r="O33" i="18"/>
  <c r="P33" i="18"/>
  <c r="Q33" i="18"/>
  <c r="R33" i="18"/>
  <c r="S33" i="18"/>
  <c r="T33" i="18"/>
  <c r="U33" i="18"/>
  <c r="V33" i="18"/>
  <c r="W33" i="18"/>
  <c r="X33" i="18"/>
  <c r="Y33" i="18"/>
  <c r="Z33" i="18"/>
  <c r="AA33" i="18"/>
  <c r="AB33" i="18"/>
  <c r="AC33" i="18"/>
  <c r="AD33" i="18"/>
  <c r="AE33" i="18"/>
  <c r="AF33" i="18"/>
  <c r="AG33" i="18"/>
  <c r="AH33" i="18"/>
  <c r="AI33" i="18"/>
  <c r="AJ33" i="18"/>
  <c r="L30" i="18"/>
  <c r="M30" i="18"/>
  <c r="N30" i="18"/>
  <c r="O30" i="18"/>
  <c r="P30" i="18"/>
  <c r="Q30" i="18"/>
  <c r="R30" i="18"/>
  <c r="S30" i="18"/>
  <c r="T30" i="18"/>
  <c r="U30" i="18"/>
  <c r="V30" i="18"/>
  <c r="W30" i="18"/>
  <c r="X30" i="18"/>
  <c r="Y30" i="18"/>
  <c r="Z30" i="18"/>
  <c r="AA30" i="18"/>
  <c r="AB30" i="18"/>
  <c r="AC30" i="18"/>
  <c r="AD30" i="18"/>
  <c r="AE30" i="18"/>
  <c r="AF30" i="18"/>
  <c r="AG30" i="18"/>
  <c r="AH30" i="18"/>
  <c r="AI30" i="18"/>
  <c r="AJ30" i="18"/>
  <c r="L25" i="7" l="1"/>
  <c r="M16" i="4"/>
  <c r="M20" i="7"/>
  <c r="M23" i="7"/>
  <c r="O14" i="20"/>
  <c r="N23" i="20"/>
  <c r="P15" i="20"/>
  <c r="M25" i="20"/>
  <c r="T22" i="7"/>
  <c r="A26" i="10"/>
  <c r="AE66" i="18"/>
  <c r="AE67" i="18"/>
  <c r="V67" i="18"/>
  <c r="V66" i="18"/>
  <c r="AJ66" i="18"/>
  <c r="AJ67" i="18"/>
  <c r="AH67" i="18"/>
  <c r="AH66" i="18"/>
  <c r="AB60" i="18"/>
  <c r="AB59" i="18"/>
  <c r="AB57" i="18"/>
  <c r="AB58" i="18" s="1"/>
  <c r="Q57" i="18"/>
  <c r="Q58" i="18" s="1"/>
  <c r="Q60" i="18"/>
  <c r="Q59" i="18"/>
  <c r="AI57" i="18"/>
  <c r="AI58" i="18" s="1"/>
  <c r="AI60" i="18"/>
  <c r="AI59" i="18"/>
  <c r="N67" i="18"/>
  <c r="N66" i="18"/>
  <c r="AB67" i="18"/>
  <c r="AB66" i="18"/>
  <c r="Z67" i="18"/>
  <c r="Z66" i="18"/>
  <c r="T60" i="18"/>
  <c r="T59" i="18"/>
  <c r="T57" i="18"/>
  <c r="T58" i="18" s="1"/>
  <c r="AC60" i="18"/>
  <c r="AC59" i="18"/>
  <c r="AC57" i="18"/>
  <c r="AC58" i="18" s="1"/>
  <c r="L57" i="18"/>
  <c r="L58" i="18" s="1"/>
  <c r="L60" i="18"/>
  <c r="T66" i="18"/>
  <c r="T67" i="18"/>
  <c r="R57" i="18"/>
  <c r="R58" i="18" s="1"/>
  <c r="R60" i="18"/>
  <c r="R59" i="18"/>
  <c r="S64" i="18"/>
  <c r="S65" i="18" s="1"/>
  <c r="AA64" i="18"/>
  <c r="AA65" i="18" s="1"/>
  <c r="AI64" i="18"/>
  <c r="AI65" i="18" s="1"/>
  <c r="AF64" i="18"/>
  <c r="AF65" i="18" s="1"/>
  <c r="T64" i="18"/>
  <c r="T65" i="18" s="1"/>
  <c r="AB64" i="18"/>
  <c r="AB65" i="18" s="1"/>
  <c r="AJ64" i="18"/>
  <c r="AJ65" i="18" s="1"/>
  <c r="M64" i="18"/>
  <c r="M65" i="18" s="1"/>
  <c r="U64" i="18"/>
  <c r="U65" i="18" s="1"/>
  <c r="AC64" i="18"/>
  <c r="AC65" i="18" s="1"/>
  <c r="L64" i="18"/>
  <c r="L65" i="18" s="1"/>
  <c r="L67" i="18"/>
  <c r="Z64" i="18"/>
  <c r="Z65" i="18" s="1"/>
  <c r="N64" i="18"/>
  <c r="N65" i="18" s="1"/>
  <c r="V64" i="18"/>
  <c r="V65" i="18" s="1"/>
  <c r="AD64" i="18"/>
  <c r="AD65" i="18" s="1"/>
  <c r="X64" i="18"/>
  <c r="X65" i="18" s="1"/>
  <c r="R64" i="18"/>
  <c r="R65" i="18" s="1"/>
  <c r="O64" i="18"/>
  <c r="O65" i="18" s="1"/>
  <c r="W64" i="18"/>
  <c r="W65" i="18" s="1"/>
  <c r="AE64" i="18"/>
  <c r="AE65" i="18" s="1"/>
  <c r="AE68" i="18" s="1"/>
  <c r="P64" i="18"/>
  <c r="P65" i="18" s="1"/>
  <c r="AH64" i="18"/>
  <c r="AH65" i="18" s="1"/>
  <c r="L66" i="18"/>
  <c r="Q64" i="18"/>
  <c r="Q65" i="18" s="1"/>
  <c r="Y64" i="18"/>
  <c r="Y65" i="18" s="1"/>
  <c r="AG64" i="18"/>
  <c r="AG65" i="18" s="1"/>
  <c r="W60" i="18"/>
  <c r="W59" i="18"/>
  <c r="W57" i="18"/>
  <c r="W58" i="18" s="1"/>
  <c r="M54" i="18"/>
  <c r="X67" i="18"/>
  <c r="X66" i="18"/>
  <c r="AC67" i="18"/>
  <c r="AC66" i="18"/>
  <c r="AA67" i="18"/>
  <c r="AA66" i="18"/>
  <c r="AA59" i="18"/>
  <c r="AA57" i="18"/>
  <c r="AA58" i="18" s="1"/>
  <c r="AA60" i="18"/>
  <c r="AF60" i="18"/>
  <c r="AF59" i="18"/>
  <c r="AF57" i="18"/>
  <c r="AF58" i="18" s="1"/>
  <c r="O60" i="18"/>
  <c r="O59" i="18"/>
  <c r="O57" i="18"/>
  <c r="O58" i="18" s="1"/>
  <c r="P67" i="18"/>
  <c r="P66" i="18"/>
  <c r="U67" i="18"/>
  <c r="U66" i="18"/>
  <c r="S67" i="18"/>
  <c r="S66" i="18"/>
  <c r="AH57" i="18"/>
  <c r="AH58" i="18" s="1"/>
  <c r="AH60" i="18"/>
  <c r="AH59" i="18"/>
  <c r="X60" i="18"/>
  <c r="X59" i="18"/>
  <c r="X57" i="18"/>
  <c r="X58" i="18" s="1"/>
  <c r="AD60" i="18"/>
  <c r="AD59" i="18"/>
  <c r="AD57" i="18"/>
  <c r="AD58" i="18" s="1"/>
  <c r="Y67" i="18"/>
  <c r="Y66" i="18"/>
  <c r="AE60" i="18"/>
  <c r="AE59" i="18"/>
  <c r="AE57" i="18"/>
  <c r="AE58" i="18" s="1"/>
  <c r="AF67" i="18"/>
  <c r="AF66" i="18"/>
  <c r="AI67" i="18"/>
  <c r="AI66" i="18"/>
  <c r="AG57" i="18"/>
  <c r="AG58" i="18" s="1"/>
  <c r="AG60" i="18"/>
  <c r="AG59" i="18"/>
  <c r="O66" i="18"/>
  <c r="O67" i="18"/>
  <c r="M67" i="18"/>
  <c r="M66" i="18"/>
  <c r="AG67" i="18"/>
  <c r="AG66" i="18"/>
  <c r="Z57" i="18"/>
  <c r="Z58" i="18" s="1"/>
  <c r="Z60" i="18"/>
  <c r="Z59" i="18"/>
  <c r="P60" i="18"/>
  <c r="P59" i="18"/>
  <c r="P57" i="18"/>
  <c r="P58" i="18" s="1"/>
  <c r="V60" i="18"/>
  <c r="V59" i="18"/>
  <c r="V57" i="18"/>
  <c r="V58" i="18" s="1"/>
  <c r="R67" i="18"/>
  <c r="R66" i="18"/>
  <c r="U60" i="18"/>
  <c r="U57" i="18"/>
  <c r="U58" i="18" s="1"/>
  <c r="U59" i="18"/>
  <c r="S60" i="18"/>
  <c r="S59" i="18"/>
  <c r="S57" i="18"/>
  <c r="S58" i="18" s="1"/>
  <c r="AD67" i="18"/>
  <c r="AD66" i="18"/>
  <c r="W66" i="18"/>
  <c r="W67" i="18"/>
  <c r="Q67" i="18"/>
  <c r="Q66" i="18"/>
  <c r="AJ60" i="18"/>
  <c r="AJ59" i="18"/>
  <c r="AJ57" i="18"/>
  <c r="AJ58" i="18" s="1"/>
  <c r="Y60" i="18"/>
  <c r="Y59" i="18"/>
  <c r="Y57" i="18"/>
  <c r="Y58" i="18" s="1"/>
  <c r="M59" i="18"/>
  <c r="M57" i="18"/>
  <c r="M58" i="18" s="1"/>
  <c r="M60" i="18"/>
  <c r="N60" i="18"/>
  <c r="N59" i="18"/>
  <c r="N57" i="18"/>
  <c r="N58" i="18" s="1"/>
  <c r="AC50" i="18"/>
  <c r="AC52" i="18"/>
  <c r="AC53" i="18"/>
  <c r="Z50" i="18"/>
  <c r="Z53" i="18"/>
  <c r="Z52" i="18"/>
  <c r="AF50" i="18"/>
  <c r="AF52" i="18"/>
  <c r="AF53" i="18"/>
  <c r="I50" i="18"/>
  <c r="I52" i="18"/>
  <c r="I53" i="18"/>
  <c r="N50" i="18"/>
  <c r="N52" i="18"/>
  <c r="N53" i="18"/>
  <c r="AJ50" i="18"/>
  <c r="AJ52" i="18"/>
  <c r="AJ53" i="18"/>
  <c r="H50" i="18"/>
  <c r="H52" i="18"/>
  <c r="H53" i="18"/>
  <c r="AB50" i="18"/>
  <c r="AB52" i="18"/>
  <c r="AB53" i="18"/>
  <c r="V50" i="18"/>
  <c r="V52" i="18"/>
  <c r="V53" i="18"/>
  <c r="G50" i="18"/>
  <c r="G52" i="18"/>
  <c r="G53" i="18"/>
  <c r="W50" i="18"/>
  <c r="W52" i="18"/>
  <c r="W53" i="18"/>
  <c r="J50" i="18"/>
  <c r="J53" i="18"/>
  <c r="J52" i="18"/>
  <c r="AD50" i="18"/>
  <c r="AD52" i="18"/>
  <c r="AD53" i="18"/>
  <c r="Q50" i="18"/>
  <c r="Q52" i="18"/>
  <c r="Q53" i="18"/>
  <c r="R50" i="18"/>
  <c r="R53" i="18"/>
  <c r="R52" i="18"/>
  <c r="X50" i="18"/>
  <c r="X52" i="18"/>
  <c r="X53" i="18"/>
  <c r="O50" i="18"/>
  <c r="O52" i="18"/>
  <c r="O53" i="18"/>
  <c r="AA50" i="18"/>
  <c r="AA53" i="18"/>
  <c r="AA52" i="18"/>
  <c r="AG50" i="18"/>
  <c r="AG52" i="18"/>
  <c r="AG53" i="18"/>
  <c r="Y50" i="18"/>
  <c r="Y52" i="18"/>
  <c r="Y53" i="18"/>
  <c r="K50" i="18"/>
  <c r="K53" i="18"/>
  <c r="K52" i="18"/>
  <c r="S50" i="18"/>
  <c r="S53" i="18"/>
  <c r="S52" i="18"/>
  <c r="AI50" i="18"/>
  <c r="AI53" i="18"/>
  <c r="AI52" i="18"/>
  <c r="AE50" i="18"/>
  <c r="AE52" i="18"/>
  <c r="AE53" i="18"/>
  <c r="AH50" i="18"/>
  <c r="AH53" i="18"/>
  <c r="AH52" i="18"/>
  <c r="U50" i="18"/>
  <c r="U52" i="18"/>
  <c r="U53" i="18"/>
  <c r="P50" i="18"/>
  <c r="P52" i="18"/>
  <c r="P53" i="18"/>
  <c r="L50" i="18"/>
  <c r="L52" i="18"/>
  <c r="L53" i="18"/>
  <c r="T50" i="18"/>
  <c r="T52" i="18"/>
  <c r="T53" i="18"/>
  <c r="G27" i="18"/>
  <c r="G28" i="18" s="1"/>
  <c r="H27" i="18"/>
  <c r="H28" i="18" s="1"/>
  <c r="I27" i="18"/>
  <c r="I28" i="18" s="1"/>
  <c r="J27" i="18"/>
  <c r="J28" i="18" s="1"/>
  <c r="K27" i="18"/>
  <c r="K28" i="18" s="1"/>
  <c r="L27" i="18"/>
  <c r="L28" i="18" s="1"/>
  <c r="L37" i="18" s="1"/>
  <c r="M27" i="18"/>
  <c r="M28" i="18" s="1"/>
  <c r="M37" i="18" s="1"/>
  <c r="N27" i="18"/>
  <c r="N28" i="18" s="1"/>
  <c r="N37" i="18" s="1"/>
  <c r="O27" i="18"/>
  <c r="O28" i="18" s="1"/>
  <c r="O37" i="18" s="1"/>
  <c r="P27" i="18"/>
  <c r="P28" i="18" s="1"/>
  <c r="P37" i="18" s="1"/>
  <c r="Q27" i="18"/>
  <c r="Q28" i="18" s="1"/>
  <c r="Q37" i="18" s="1"/>
  <c r="R27" i="18"/>
  <c r="R28" i="18" s="1"/>
  <c r="R37" i="18" s="1"/>
  <c r="S27" i="18"/>
  <c r="S28" i="18" s="1"/>
  <c r="S37" i="18" s="1"/>
  <c r="T27" i="18"/>
  <c r="T28" i="18" s="1"/>
  <c r="T37" i="18" s="1"/>
  <c r="U27" i="18"/>
  <c r="U28" i="18" s="1"/>
  <c r="U37" i="18" s="1"/>
  <c r="V27" i="18"/>
  <c r="V28" i="18" s="1"/>
  <c r="V37" i="18" s="1"/>
  <c r="W27" i="18"/>
  <c r="W28" i="18" s="1"/>
  <c r="W37" i="18" s="1"/>
  <c r="X27" i="18"/>
  <c r="X28" i="18" s="1"/>
  <c r="X37" i="18" s="1"/>
  <c r="Y27" i="18"/>
  <c r="Y28" i="18" s="1"/>
  <c r="Y37" i="18" s="1"/>
  <c r="Z27" i="18"/>
  <c r="Z28" i="18" s="1"/>
  <c r="Z37" i="18" s="1"/>
  <c r="AA27" i="18"/>
  <c r="AA28" i="18" s="1"/>
  <c r="AA37" i="18" s="1"/>
  <c r="AB27" i="18"/>
  <c r="AB28" i="18" s="1"/>
  <c r="AB37" i="18" s="1"/>
  <c r="AC27" i="18"/>
  <c r="AC28" i="18" s="1"/>
  <c r="AC37" i="18" s="1"/>
  <c r="AD27" i="18"/>
  <c r="AD28" i="18" s="1"/>
  <c r="AD37" i="18" s="1"/>
  <c r="AE27" i="18"/>
  <c r="AE28" i="18" s="1"/>
  <c r="AE37" i="18" s="1"/>
  <c r="AF27" i="18"/>
  <c r="AF28" i="18" s="1"/>
  <c r="AF37" i="18" s="1"/>
  <c r="AG27" i="18"/>
  <c r="AG28" i="18" s="1"/>
  <c r="AG37" i="18" s="1"/>
  <c r="AH27" i="18"/>
  <c r="AH28" i="18" s="1"/>
  <c r="AH37" i="18" s="1"/>
  <c r="AI27" i="18"/>
  <c r="AI28" i="18" s="1"/>
  <c r="AI37" i="18" s="1"/>
  <c r="AJ27" i="18"/>
  <c r="AJ28" i="18" s="1"/>
  <c r="AJ37" i="18" s="1"/>
  <c r="G24" i="18"/>
  <c r="G25" i="18" s="1"/>
  <c r="H24" i="18"/>
  <c r="H25" i="18" s="1"/>
  <c r="I24" i="18"/>
  <c r="I25" i="18" s="1"/>
  <c r="J24" i="18"/>
  <c r="J25" i="18" s="1"/>
  <c r="K24" i="18"/>
  <c r="K25" i="18" s="1"/>
  <c r="L24" i="18"/>
  <c r="L25" i="18" s="1"/>
  <c r="L36" i="18" s="1"/>
  <c r="M24" i="18"/>
  <c r="M25" i="18" s="1"/>
  <c r="M36" i="18" s="1"/>
  <c r="N24" i="18"/>
  <c r="N25" i="18" s="1"/>
  <c r="N36" i="18" s="1"/>
  <c r="O24" i="18"/>
  <c r="O25" i="18" s="1"/>
  <c r="O36" i="18" s="1"/>
  <c r="P24" i="18"/>
  <c r="P25" i="18" s="1"/>
  <c r="P36" i="18" s="1"/>
  <c r="Q24" i="18"/>
  <c r="Q25" i="18" s="1"/>
  <c r="Q36" i="18" s="1"/>
  <c r="R24" i="18"/>
  <c r="R25" i="18" s="1"/>
  <c r="R36" i="18" s="1"/>
  <c r="S24" i="18"/>
  <c r="S25" i="18" s="1"/>
  <c r="S36" i="18" s="1"/>
  <c r="T24" i="18"/>
  <c r="T25" i="18" s="1"/>
  <c r="T36" i="18" s="1"/>
  <c r="U24" i="18"/>
  <c r="U25" i="18" s="1"/>
  <c r="U36" i="18" s="1"/>
  <c r="V24" i="18"/>
  <c r="V25" i="18" s="1"/>
  <c r="V36" i="18" s="1"/>
  <c r="W24" i="18"/>
  <c r="W25" i="18" s="1"/>
  <c r="W36" i="18" s="1"/>
  <c r="X24" i="18"/>
  <c r="X25" i="18" s="1"/>
  <c r="X36" i="18" s="1"/>
  <c r="Y24" i="18"/>
  <c r="Y25" i="18" s="1"/>
  <c r="Y36" i="18" s="1"/>
  <c r="Z24" i="18"/>
  <c r="Z25" i="18" s="1"/>
  <c r="Z36" i="18" s="1"/>
  <c r="AA24" i="18"/>
  <c r="AA25" i="18" s="1"/>
  <c r="AA36" i="18" s="1"/>
  <c r="AB24" i="18"/>
  <c r="AB25" i="18" s="1"/>
  <c r="AB36" i="18" s="1"/>
  <c r="AC24" i="18"/>
  <c r="AC25" i="18" s="1"/>
  <c r="AC36" i="18" s="1"/>
  <c r="AD24" i="18"/>
  <c r="AD25" i="18" s="1"/>
  <c r="AD36" i="18" s="1"/>
  <c r="AE24" i="18"/>
  <c r="AE25" i="18" s="1"/>
  <c r="AE36" i="18" s="1"/>
  <c r="AF24" i="18"/>
  <c r="AF25" i="18" s="1"/>
  <c r="AF36" i="18" s="1"/>
  <c r="AG24" i="18"/>
  <c r="AG25" i="18" s="1"/>
  <c r="AG36" i="18" s="1"/>
  <c r="AH24" i="18"/>
  <c r="AH25" i="18" s="1"/>
  <c r="AH36" i="18" s="1"/>
  <c r="AI24" i="18"/>
  <c r="AI25" i="18" s="1"/>
  <c r="AI36" i="18" s="1"/>
  <c r="AJ24" i="18"/>
  <c r="AJ25" i="18" s="1"/>
  <c r="AJ36" i="18" s="1"/>
  <c r="F24" i="18"/>
  <c r="F25" i="18" s="1"/>
  <c r="A29" i="7"/>
  <c r="F11" i="18"/>
  <c r="L107" i="7"/>
  <c r="N16" i="4" l="1"/>
  <c r="N23" i="7"/>
  <c r="N20" i="7"/>
  <c r="Q15" i="20"/>
  <c r="N25" i="20"/>
  <c r="O23" i="20"/>
  <c r="P14" i="20"/>
  <c r="U22" i="7"/>
  <c r="A27" i="10"/>
  <c r="V68" i="18"/>
  <c r="AJ61" i="18"/>
  <c r="AF61" i="18"/>
  <c r="AG68" i="18"/>
  <c r="L68" i="18"/>
  <c r="AI68" i="18"/>
  <c r="Y68" i="18"/>
  <c r="T68" i="18"/>
  <c r="AA68" i="18"/>
  <c r="N61" i="18"/>
  <c r="AE61" i="18"/>
  <c r="X61" i="18"/>
  <c r="Q68" i="18"/>
  <c r="G37" i="18"/>
  <c r="H37" i="18"/>
  <c r="F37" i="18"/>
  <c r="G36" i="18"/>
  <c r="F36" i="18"/>
  <c r="H36" i="18"/>
  <c r="AI54" i="18"/>
  <c r="R54" i="18"/>
  <c r="AA54" i="18"/>
  <c r="Z54" i="18"/>
  <c r="AC61" i="18"/>
  <c r="X54" i="18"/>
  <c r="AA61" i="18"/>
  <c r="AE54" i="18"/>
  <c r="AB54" i="18"/>
  <c r="O61" i="18"/>
  <c r="N68" i="18"/>
  <c r="AB68" i="18"/>
  <c r="AB61" i="18"/>
  <c r="O54" i="18"/>
  <c r="V54" i="18"/>
  <c r="AC54" i="18"/>
  <c r="X68" i="18"/>
  <c r="U68" i="18"/>
  <c r="S68" i="18"/>
  <c r="N54" i="18"/>
  <c r="AC68" i="18"/>
  <c r="J54" i="18"/>
  <c r="S61" i="18"/>
  <c r="V61" i="18"/>
  <c r="Z61" i="18"/>
  <c r="AD68" i="18"/>
  <c r="M68" i="18"/>
  <c r="M71" i="18" s="1"/>
  <c r="O68" i="18"/>
  <c r="AD54" i="18"/>
  <c r="AI61" i="18"/>
  <c r="AG61" i="18"/>
  <c r="AH68" i="18"/>
  <c r="AJ68" i="18"/>
  <c r="Q61" i="18"/>
  <c r="T54" i="18"/>
  <c r="L61" i="18"/>
  <c r="S54" i="18"/>
  <c r="M61" i="18"/>
  <c r="M70" i="18" s="1"/>
  <c r="W61" i="18"/>
  <c r="P68" i="18"/>
  <c r="R61" i="18"/>
  <c r="R68" i="18"/>
  <c r="P61" i="18"/>
  <c r="AD61" i="18"/>
  <c r="AH61" i="18"/>
  <c r="Z68" i="18"/>
  <c r="T61" i="18"/>
  <c r="Y61" i="18"/>
  <c r="U61" i="18"/>
  <c r="W68" i="18"/>
  <c r="AF68" i="18"/>
  <c r="H54" i="18"/>
  <c r="L54" i="18"/>
  <c r="AH54" i="18"/>
  <c r="Y54" i="18"/>
  <c r="I54" i="18"/>
  <c r="U54" i="18"/>
  <c r="Q54" i="18"/>
  <c r="AJ54" i="18"/>
  <c r="P54" i="18"/>
  <c r="AG54" i="18"/>
  <c r="W54" i="18"/>
  <c r="AF54" i="18"/>
  <c r="G54" i="18"/>
  <c r="K54" i="18"/>
  <c r="B102" i="7"/>
  <c r="B103" i="7" s="1"/>
  <c r="B20" i="4"/>
  <c r="B21" i="4" s="1"/>
  <c r="B22" i="4" s="1"/>
  <c r="B23" i="4" s="1"/>
  <c r="F21" i="4"/>
  <c r="A19" i="4"/>
  <c r="A20" i="4" l="1"/>
  <c r="O16" i="4"/>
  <c r="O20" i="7"/>
  <c r="O23" i="7"/>
  <c r="O23" i="4"/>
  <c r="P23" i="20"/>
  <c r="Q14" i="20"/>
  <c r="O25" i="20"/>
  <c r="R15" i="20"/>
  <c r="V22" i="7"/>
  <c r="A28" i="10"/>
  <c r="AI71" i="18"/>
  <c r="AI107" i="18" s="1"/>
  <c r="R71" i="18"/>
  <c r="R107" i="18" s="1"/>
  <c r="R70" i="18"/>
  <c r="R106" i="18" s="1"/>
  <c r="V71" i="18"/>
  <c r="V107" i="18" s="1"/>
  <c r="V70" i="18"/>
  <c r="V106" i="18" s="1"/>
  <c r="S70" i="18"/>
  <c r="S106" i="18" s="1"/>
  <c r="S71" i="18"/>
  <c r="S107" i="18" s="1"/>
  <c r="AD70" i="18"/>
  <c r="AD106" i="18" s="1"/>
  <c r="AD71" i="18"/>
  <c r="AD107" i="18" s="1"/>
  <c r="U70" i="18"/>
  <c r="U106" i="18" s="1"/>
  <c r="U71" i="18"/>
  <c r="U107" i="18" s="1"/>
  <c r="N70" i="18"/>
  <c r="N106" i="18" s="1"/>
  <c r="N71" i="18"/>
  <c r="N107" i="18" s="1"/>
  <c r="T70" i="18"/>
  <c r="T106" i="18" s="1"/>
  <c r="T71" i="18"/>
  <c r="T107" i="18" s="1"/>
  <c r="AJ70" i="18"/>
  <c r="AJ106" i="18" s="1"/>
  <c r="AJ71" i="18"/>
  <c r="AJ107" i="18" s="1"/>
  <c r="AF70" i="18"/>
  <c r="AF106" i="18" s="1"/>
  <c r="AF71" i="18"/>
  <c r="AF107" i="18" s="1"/>
  <c r="Z70" i="18"/>
  <c r="Z106" i="18" s="1"/>
  <c r="Z71" i="18"/>
  <c r="Z107" i="18" s="1"/>
  <c r="L70" i="18"/>
  <c r="L71" i="18"/>
  <c r="O70" i="18"/>
  <c r="O106" i="18" s="1"/>
  <c r="O71" i="18"/>
  <c r="O107" i="18" s="1"/>
  <c r="Q71" i="18"/>
  <c r="Q107" i="18" s="1"/>
  <c r="Q70" i="18"/>
  <c r="Q106" i="18" s="1"/>
  <c r="W70" i="18"/>
  <c r="W106" i="18" s="1"/>
  <c r="W71" i="18"/>
  <c r="W107" i="18" s="1"/>
  <c r="Y71" i="18"/>
  <c r="Y107" i="18" s="1"/>
  <c r="Y70" i="18"/>
  <c r="Y106" i="18" s="1"/>
  <c r="AB70" i="18"/>
  <c r="AB106" i="18" s="1"/>
  <c r="AB71" i="18"/>
  <c r="AB107" i="18" s="1"/>
  <c r="AA70" i="18"/>
  <c r="AA106" i="18" s="1"/>
  <c r="AA71" i="18"/>
  <c r="AA107" i="18" s="1"/>
  <c r="P70" i="18"/>
  <c r="P106" i="18" s="1"/>
  <c r="P71" i="18"/>
  <c r="P107" i="18" s="1"/>
  <c r="X70" i="18"/>
  <c r="X106" i="18" s="1"/>
  <c r="X71" i="18"/>
  <c r="X107" i="18" s="1"/>
  <c r="AG70" i="18"/>
  <c r="AG106" i="18" s="1"/>
  <c r="AG71" i="18"/>
  <c r="AG107" i="18" s="1"/>
  <c r="AH70" i="18"/>
  <c r="AH106" i="18" s="1"/>
  <c r="AH71" i="18"/>
  <c r="AH107" i="18" s="1"/>
  <c r="AC70" i="18"/>
  <c r="AC106" i="18" s="1"/>
  <c r="AC71" i="18"/>
  <c r="AC107" i="18" s="1"/>
  <c r="AE70" i="18"/>
  <c r="AE106" i="18" s="1"/>
  <c r="AE71" i="18"/>
  <c r="AE107" i="18" s="1"/>
  <c r="AI70" i="18"/>
  <c r="AI106" i="18" s="1"/>
  <c r="M107" i="7"/>
  <c r="N107" i="7"/>
  <c r="O107" i="7"/>
  <c r="P107" i="7"/>
  <c r="Q107" i="7"/>
  <c r="R107" i="7"/>
  <c r="S107" i="7"/>
  <c r="T107" i="7"/>
  <c r="U107" i="7"/>
  <c r="V107" i="7"/>
  <c r="W107" i="7"/>
  <c r="X107" i="7"/>
  <c r="Y107" i="7"/>
  <c r="Z107" i="7"/>
  <c r="AA107" i="7"/>
  <c r="AB107" i="7"/>
  <c r="AC107" i="7"/>
  <c r="AD107" i="7"/>
  <c r="AE107" i="7"/>
  <c r="AF107" i="7"/>
  <c r="AG107" i="7"/>
  <c r="AH107" i="7"/>
  <c r="AI107" i="7"/>
  <c r="AJ107" i="7"/>
  <c r="F102" i="7"/>
  <c r="A101" i="7"/>
  <c r="A102" i="7" s="1"/>
  <c r="A103" i="7" s="1"/>
  <c r="E14" i="1"/>
  <c r="C11" i="1"/>
  <c r="C48" i="1" s="1"/>
  <c r="F37" i="4"/>
  <c r="A35" i="4"/>
  <c r="H12" i="5"/>
  <c r="G12" i="5" s="1"/>
  <c r="F55" i="2"/>
  <c r="F58" i="2" s="1"/>
  <c r="B54" i="2"/>
  <c r="B55" i="2" s="1"/>
  <c r="B56" i="2" s="1"/>
  <c r="B57" i="2" s="1"/>
  <c r="B58" i="2" s="1"/>
  <c r="B59" i="2" s="1"/>
  <c r="H6" i="5"/>
  <c r="G6" i="5" s="1"/>
  <c r="B8" i="5"/>
  <c r="B7" i="5" s="1"/>
  <c r="H8" i="5"/>
  <c r="G8" i="5" s="1"/>
  <c r="I13" i="13"/>
  <c r="B62" i="2"/>
  <c r="B63" i="2" s="1"/>
  <c r="A61" i="2"/>
  <c r="A62" i="2" s="1"/>
  <c r="A63" i="2" s="1"/>
  <c r="A53" i="2"/>
  <c r="A54" i="2" s="1"/>
  <c r="A55" i="2" s="1"/>
  <c r="A56" i="2" s="1"/>
  <c r="A57" i="2" s="1"/>
  <c r="A58" i="2" s="1"/>
  <c r="A59" i="2" s="1"/>
  <c r="H28" i="5"/>
  <c r="G28" i="5" s="1"/>
  <c r="F85" i="2"/>
  <c r="A21" i="4" l="1"/>
  <c r="A48" i="1"/>
  <c r="B48" i="1"/>
  <c r="A11" i="1"/>
  <c r="P16" i="4"/>
  <c r="P20" i="7"/>
  <c r="P23" i="7"/>
  <c r="P23" i="4"/>
  <c r="M39" i="4"/>
  <c r="L39" i="4"/>
  <c r="N39" i="4"/>
  <c r="O39" i="4"/>
  <c r="P39" i="4"/>
  <c r="P106" i="7"/>
  <c r="M106" i="7"/>
  <c r="L106" i="7"/>
  <c r="N106" i="7"/>
  <c r="O106" i="7"/>
  <c r="Q23" i="20"/>
  <c r="R14" i="20"/>
  <c r="S15" i="20"/>
  <c r="P25" i="20"/>
  <c r="W22" i="7"/>
  <c r="G108" i="18"/>
  <c r="B4" i="5"/>
  <c r="A29" i="10"/>
  <c r="H70" i="18"/>
  <c r="H71" i="18"/>
  <c r="G71" i="18"/>
  <c r="F71" i="18"/>
  <c r="F70" i="18"/>
  <c r="G70" i="18"/>
  <c r="B11" i="1"/>
  <c r="U58" i="2"/>
  <c r="AJ58" i="2"/>
  <c r="AI58" i="2"/>
  <c r="AA58" i="2"/>
  <c r="S58" i="2"/>
  <c r="AG58" i="2"/>
  <c r="Y58" i="2"/>
  <c r="Q58" i="2"/>
  <c r="M58" i="2"/>
  <c r="AH58" i="2"/>
  <c r="Z58" i="2"/>
  <c r="R58" i="2"/>
  <c r="AF58" i="2"/>
  <c r="X58" i="2"/>
  <c r="P58" i="2"/>
  <c r="AC58" i="2"/>
  <c r="AB58" i="2"/>
  <c r="T58" i="2"/>
  <c r="AE58" i="2"/>
  <c r="W58" i="2"/>
  <c r="O58" i="2"/>
  <c r="AD58" i="2"/>
  <c r="V58" i="2"/>
  <c r="N58" i="2"/>
  <c r="K30" i="5"/>
  <c r="A22" i="4" l="1"/>
  <c r="C22" i="19"/>
  <c r="G58" i="2"/>
  <c r="Q16" i="4"/>
  <c r="Q20" i="7"/>
  <c r="Q23" i="7"/>
  <c r="Q23" i="4"/>
  <c r="Q106" i="7"/>
  <c r="Q39" i="4"/>
  <c r="Q25" i="20"/>
  <c r="T15" i="20"/>
  <c r="R23" i="20"/>
  <c r="S14" i="20"/>
  <c r="X22" i="7"/>
  <c r="H108" i="18"/>
  <c r="F108" i="18"/>
  <c r="H107" i="18"/>
  <c r="G107" i="18"/>
  <c r="F107" i="18"/>
  <c r="G106" i="18"/>
  <c r="F106" i="18"/>
  <c r="H106" i="18"/>
  <c r="H58" i="2"/>
  <c r="F44" i="7"/>
  <c r="F75" i="7"/>
  <c r="B91" i="7"/>
  <c r="B92" i="7" s="1"/>
  <c r="A90" i="7"/>
  <c r="A91" i="7" s="1"/>
  <c r="A92" i="7" s="1"/>
  <c r="B17" i="5"/>
  <c r="H17" i="5"/>
  <c r="G17" i="5" s="1"/>
  <c r="B146" i="7"/>
  <c r="B147" i="7" s="1"/>
  <c r="A145" i="7"/>
  <c r="A146" i="7" s="1"/>
  <c r="A147" i="7" s="1"/>
  <c r="A128" i="7"/>
  <c r="A129" i="7" s="1"/>
  <c r="A130" i="7" s="1"/>
  <c r="A131" i="7" s="1"/>
  <c r="A132" i="7" s="1"/>
  <c r="A133" i="7" s="1"/>
  <c r="A134" i="7" s="1"/>
  <c r="A135" i="7" s="1"/>
  <c r="A136" i="7" s="1"/>
  <c r="A137" i="7" s="1"/>
  <c r="A138" i="7" s="1"/>
  <c r="A139" i="7" s="1"/>
  <c r="A140" i="7" s="1"/>
  <c r="A141" i="7" s="1"/>
  <c r="A142" i="7" s="1"/>
  <c r="A143" i="7" s="1"/>
  <c r="H24" i="5"/>
  <c r="G24" i="5" s="1"/>
  <c r="B91" i="2"/>
  <c r="B92" i="2" s="1"/>
  <c r="B93" i="2" s="1"/>
  <c r="B94" i="2" s="1"/>
  <c r="B95" i="2" s="1"/>
  <c r="B96" i="2" s="1"/>
  <c r="B97" i="2" s="1"/>
  <c r="B98" i="2" s="1"/>
  <c r="F93" i="2"/>
  <c r="O96" i="2" s="1"/>
  <c r="J30" i="5"/>
  <c r="L30" i="5"/>
  <c r="A23" i="4" l="1"/>
  <c r="E22" i="19"/>
  <c r="S95" i="2"/>
  <c r="AA95" i="2"/>
  <c r="AI95" i="2"/>
  <c r="U95" i="2"/>
  <c r="L95" i="2"/>
  <c r="Y95" i="2"/>
  <c r="T95" i="2"/>
  <c r="AB95" i="2"/>
  <c r="AJ95" i="2"/>
  <c r="M95" i="2"/>
  <c r="AC95" i="2"/>
  <c r="AF95" i="2"/>
  <c r="AG95" i="2"/>
  <c r="AH95" i="2"/>
  <c r="N95" i="2"/>
  <c r="V95" i="2"/>
  <c r="AD95" i="2"/>
  <c r="O95" i="2"/>
  <c r="W95" i="2"/>
  <c r="AE95" i="2"/>
  <c r="P95" i="2"/>
  <c r="X95" i="2"/>
  <c r="Q95" i="2"/>
  <c r="R95" i="2"/>
  <c r="Z95" i="2"/>
  <c r="R16" i="4"/>
  <c r="R20" i="7"/>
  <c r="R23" i="7"/>
  <c r="R23" i="4"/>
  <c r="R106" i="7"/>
  <c r="R39" i="4"/>
  <c r="R25" i="20"/>
  <c r="U15" i="20"/>
  <c r="S23" i="20"/>
  <c r="T14" i="20"/>
  <c r="Y22" i="7"/>
  <c r="AC96" i="2"/>
  <c r="Z96" i="2"/>
  <c r="V96" i="2"/>
  <c r="U96" i="2"/>
  <c r="L96" i="2"/>
  <c r="N96" i="2"/>
  <c r="R96" i="2"/>
  <c r="AH96" i="2"/>
  <c r="M96" i="2"/>
  <c r="AD96" i="2"/>
  <c r="AB96" i="2"/>
  <c r="T96" i="2"/>
  <c r="AJ96" i="2"/>
  <c r="AI96" i="2"/>
  <c r="AA96" i="2"/>
  <c r="S96" i="2"/>
  <c r="Y96" i="2"/>
  <c r="AF96" i="2"/>
  <c r="X96" i="2"/>
  <c r="P96" i="2"/>
  <c r="AG96" i="2"/>
  <c r="Q96" i="2"/>
  <c r="AE96" i="2"/>
  <c r="W96" i="2"/>
  <c r="S16" i="4" l="1"/>
  <c r="S20" i="7"/>
  <c r="S23" i="7"/>
  <c r="S23" i="4"/>
  <c r="S106" i="7"/>
  <c r="S39" i="4"/>
  <c r="V15" i="20"/>
  <c r="T23" i="20"/>
  <c r="U14" i="20"/>
  <c r="S25" i="20"/>
  <c r="Z22" i="7"/>
  <c r="K70" i="2"/>
  <c r="B67" i="2"/>
  <c r="B68" i="2" s="1"/>
  <c r="B69" i="2" s="1"/>
  <c r="B70" i="2" s="1"/>
  <c r="B71" i="2" s="1"/>
  <c r="B72" i="2" s="1"/>
  <c r="B73" i="2" s="1"/>
  <c r="B74" i="2" s="1"/>
  <c r="B75" i="2" s="1"/>
  <c r="B76" i="2" s="1"/>
  <c r="B77" i="2" s="1"/>
  <c r="B78" i="2" s="1"/>
  <c r="B79" i="2" s="1"/>
  <c r="B80" i="2" s="1"/>
  <c r="B81" i="2" s="1"/>
  <c r="B82" i="2" s="1"/>
  <c r="B42" i="2"/>
  <c r="B43" i="2" s="1"/>
  <c r="B44" i="2" s="1"/>
  <c r="B45" i="2" s="1"/>
  <c r="B46" i="2" s="1"/>
  <c r="B47" i="2" s="1"/>
  <c r="B48" i="2" s="1"/>
  <c r="B49" i="2" s="1"/>
  <c r="B50" i="2" s="1"/>
  <c r="B51" i="2" s="1"/>
  <c r="K33" i="2"/>
  <c r="K34" i="2" s="1"/>
  <c r="B29" i="2"/>
  <c r="B30" i="2" s="1"/>
  <c r="B31" i="2" s="1"/>
  <c r="B32" i="2" s="1"/>
  <c r="B33" i="2" s="1"/>
  <c r="B34" i="2" s="1"/>
  <c r="B35" i="2" s="1"/>
  <c r="B36" i="2" s="1"/>
  <c r="B37" i="2" s="1"/>
  <c r="B38" i="2" s="1"/>
  <c r="K71" i="2" l="1"/>
  <c r="K72" i="2" s="1"/>
  <c r="T20" i="7"/>
  <c r="T16" i="4"/>
  <c r="T23" i="7"/>
  <c r="T23" i="4"/>
  <c r="T39" i="4"/>
  <c r="T106" i="7"/>
  <c r="W15" i="20"/>
  <c r="V14" i="20"/>
  <c r="U23" i="20"/>
  <c r="T25" i="20"/>
  <c r="AA22" i="7"/>
  <c r="K82" i="7"/>
  <c r="K38" i="2"/>
  <c r="H23" i="5"/>
  <c r="G23" i="5" s="1"/>
  <c r="H22" i="5"/>
  <c r="G22" i="5" s="1"/>
  <c r="H21" i="5"/>
  <c r="G21" i="5" s="1"/>
  <c r="H16" i="5"/>
  <c r="G16" i="5" s="1"/>
  <c r="H3" i="5"/>
  <c r="G3" i="5" s="1"/>
  <c r="F24" i="2"/>
  <c r="L87" i="2" s="1"/>
  <c r="B26" i="5"/>
  <c r="B25" i="5" s="1"/>
  <c r="L72" i="2" l="1"/>
  <c r="L82" i="2" s="1"/>
  <c r="K82" i="2"/>
  <c r="X23" i="1"/>
  <c r="U16" i="4"/>
  <c r="U20" i="7"/>
  <c r="U23" i="4"/>
  <c r="U23" i="7"/>
  <c r="U39" i="4"/>
  <c r="U106" i="7"/>
  <c r="X15" i="20"/>
  <c r="U25" i="20"/>
  <c r="W14" i="20"/>
  <c r="V23" i="20"/>
  <c r="AB22" i="7"/>
  <c r="M36" i="2"/>
  <c r="M38" i="2" s="1"/>
  <c r="U36" i="2"/>
  <c r="AC36" i="2"/>
  <c r="L36" i="2"/>
  <c r="AE49" i="2"/>
  <c r="W49" i="2"/>
  <c r="O49" i="2"/>
  <c r="O51" i="2" s="1"/>
  <c r="O63" i="2" s="1"/>
  <c r="O36" i="2"/>
  <c r="O38" i="2" s="1"/>
  <c r="AE36" i="2"/>
  <c r="AC49" i="2"/>
  <c r="U49" i="2"/>
  <c r="P36" i="2"/>
  <c r="P38" i="2" s="1"/>
  <c r="X36" i="2"/>
  <c r="AF36" i="2"/>
  <c r="AJ49" i="2"/>
  <c r="T49" i="2"/>
  <c r="AJ36" i="2"/>
  <c r="P49" i="2"/>
  <c r="P51" i="2" s="1"/>
  <c r="P63" i="2" s="1"/>
  <c r="N36" i="2"/>
  <c r="N38" i="2" s="1"/>
  <c r="V36" i="2"/>
  <c r="AD36" i="2"/>
  <c r="AD49" i="2"/>
  <c r="V49" i="2"/>
  <c r="N49" i="2"/>
  <c r="N51" i="2" s="1"/>
  <c r="N63" i="2" s="1"/>
  <c r="W36" i="2"/>
  <c r="M49" i="2"/>
  <c r="M51" i="2" s="1"/>
  <c r="M63" i="2" s="1"/>
  <c r="AB49" i="2"/>
  <c r="T36" i="2"/>
  <c r="X49" i="2"/>
  <c r="Q36" i="2"/>
  <c r="Y36" i="2"/>
  <c r="AG36" i="2"/>
  <c r="AI49" i="2"/>
  <c r="AA49" i="2"/>
  <c r="S49" i="2"/>
  <c r="R36" i="2"/>
  <c r="Z36" i="2"/>
  <c r="AH36" i="2"/>
  <c r="AH49" i="2"/>
  <c r="R49" i="2"/>
  <c r="AA36" i="2"/>
  <c r="AG49" i="2"/>
  <c r="Q49" i="2"/>
  <c r="Z49" i="2"/>
  <c r="S36" i="2"/>
  <c r="AI36" i="2"/>
  <c r="Y49" i="2"/>
  <c r="AB36" i="2"/>
  <c r="AF49" i="2"/>
  <c r="M82" i="7"/>
  <c r="N82" i="7" s="1"/>
  <c r="O82" i="7" s="1"/>
  <c r="P82" i="7" s="1"/>
  <c r="Q82" i="7" s="1"/>
  <c r="R82" i="7" s="1"/>
  <c r="S82" i="7" s="1"/>
  <c r="T82" i="7" s="1"/>
  <c r="U82" i="7" s="1"/>
  <c r="V82" i="7" s="1"/>
  <c r="W82" i="7" s="1"/>
  <c r="X82" i="7" s="1"/>
  <c r="Y82" i="7" s="1"/>
  <c r="Z82" i="7" s="1"/>
  <c r="AA82" i="7" s="1"/>
  <c r="AB82" i="7" s="1"/>
  <c r="AC82" i="7" s="1"/>
  <c r="AD82" i="7" s="1"/>
  <c r="AE82" i="7" s="1"/>
  <c r="AF82" i="7" s="1"/>
  <c r="AG82" i="7" s="1"/>
  <c r="AH82" i="7" s="1"/>
  <c r="AI82" i="7" s="1"/>
  <c r="AJ82" i="7" s="1"/>
  <c r="X24" i="1" l="1"/>
  <c r="V16" i="4"/>
  <c r="V20" i="7"/>
  <c r="V23" i="4"/>
  <c r="V39" i="4"/>
  <c r="V106" i="7"/>
  <c r="V23" i="7"/>
  <c r="V25" i="20"/>
  <c r="W23" i="20"/>
  <c r="X14" i="20"/>
  <c r="Y15" i="20"/>
  <c r="AC22" i="7"/>
  <c r="L51" i="2"/>
  <c r="L63" i="2" s="1"/>
  <c r="L38" i="2"/>
  <c r="W16" i="4" l="1"/>
  <c r="W20" i="7"/>
  <c r="W23" i="4"/>
  <c r="W106" i="7"/>
  <c r="W39" i="4"/>
  <c r="W23" i="7"/>
  <c r="Z15" i="20"/>
  <c r="W25" i="20"/>
  <c r="X23" i="20"/>
  <c r="Y14" i="20"/>
  <c r="AD22" i="7"/>
  <c r="G51" i="2"/>
  <c r="G38" i="2"/>
  <c r="X16" i="4" l="1"/>
  <c r="X20" i="7"/>
  <c r="X23" i="4"/>
  <c r="X106" i="7"/>
  <c r="X39" i="4"/>
  <c r="X23" i="7"/>
  <c r="AA15" i="20"/>
  <c r="Z14" i="20"/>
  <c r="Y23" i="20"/>
  <c r="X25" i="20"/>
  <c r="AE22" i="7"/>
  <c r="Y16" i="4" l="1"/>
  <c r="Y20" i="7"/>
  <c r="Y23" i="4"/>
  <c r="Y39" i="4"/>
  <c r="Y106" i="7"/>
  <c r="Y23" i="7"/>
  <c r="Y25" i="20"/>
  <c r="Z23" i="20"/>
  <c r="AA14" i="20"/>
  <c r="AB15" i="20"/>
  <c r="AF22" i="7"/>
  <c r="Z16" i="4" l="1"/>
  <c r="Z20" i="7"/>
  <c r="Z23" i="4"/>
  <c r="Z39" i="4"/>
  <c r="Z106" i="7"/>
  <c r="Z23" i="7"/>
  <c r="AB14" i="20"/>
  <c r="AA23" i="20"/>
  <c r="AC15" i="20"/>
  <c r="Z25" i="20"/>
  <c r="AG22" i="7"/>
  <c r="AA20" i="7" l="1"/>
  <c r="AA16" i="4"/>
  <c r="AA23" i="4"/>
  <c r="AA106" i="7"/>
  <c r="AA39" i="4"/>
  <c r="AA23" i="7"/>
  <c r="AA25" i="20"/>
  <c r="AB23" i="20"/>
  <c r="AC14" i="20"/>
  <c r="AD15" i="20"/>
  <c r="AH22" i="7"/>
  <c r="AB20" i="7" l="1"/>
  <c r="AB16" i="4"/>
  <c r="AB23" i="4"/>
  <c r="AB106" i="7"/>
  <c r="AB39" i="4"/>
  <c r="AB23" i="7"/>
  <c r="AB25" i="20"/>
  <c r="AC23" i="20"/>
  <c r="AD14" i="20"/>
  <c r="AE15" i="20"/>
  <c r="AI22" i="7"/>
  <c r="AC16" i="4" l="1"/>
  <c r="AC20" i="7"/>
  <c r="AC23" i="4"/>
  <c r="AC39" i="4"/>
  <c r="AC106" i="7"/>
  <c r="AC23" i="7"/>
  <c r="AD23" i="20"/>
  <c r="AE14" i="20"/>
  <c r="AC25" i="20"/>
  <c r="AF15" i="20"/>
  <c r="AJ22" i="7"/>
  <c r="AD16" i="4" l="1"/>
  <c r="AD20" i="7"/>
  <c r="AD23" i="4"/>
  <c r="AD39" i="4"/>
  <c r="AD106" i="7"/>
  <c r="AD23" i="7"/>
  <c r="AE23" i="20"/>
  <c r="AF14" i="20"/>
  <c r="AD25" i="20"/>
  <c r="AG15" i="20"/>
  <c r="AE16" i="4" l="1"/>
  <c r="AE20" i="7"/>
  <c r="AE23" i="4"/>
  <c r="AE106" i="7"/>
  <c r="AE39" i="4"/>
  <c r="AE23" i="7"/>
  <c r="AE25" i="20"/>
  <c r="AH15" i="20"/>
  <c r="AF23" i="20"/>
  <c r="AG14" i="20"/>
  <c r="AF16" i="4" l="1"/>
  <c r="AF20" i="7"/>
  <c r="AF23" i="4"/>
  <c r="AF106" i="7"/>
  <c r="AF39" i="4"/>
  <c r="AF23" i="7"/>
  <c r="AI15" i="20"/>
  <c r="AF25" i="20"/>
  <c r="AG23" i="20"/>
  <c r="AH14" i="20"/>
  <c r="AG16" i="4" l="1"/>
  <c r="AG20" i="7"/>
  <c r="AG23" i="4"/>
  <c r="AG39" i="4"/>
  <c r="AG106" i="7"/>
  <c r="AG23" i="7"/>
  <c r="AG25" i="20"/>
  <c r="AJ15" i="20"/>
  <c r="AH23" i="20"/>
  <c r="AI14" i="20"/>
  <c r="AH20" i="7" l="1"/>
  <c r="AH16" i="4"/>
  <c r="AH23" i="4"/>
  <c r="AH39" i="4"/>
  <c r="AH106" i="7"/>
  <c r="AH23" i="7"/>
  <c r="AH25" i="20"/>
  <c r="AI23" i="20"/>
  <c r="AJ14" i="20"/>
  <c r="AJ23" i="20" s="1"/>
  <c r="AI16" i="4" l="1"/>
  <c r="AI20" i="7"/>
  <c r="AI23" i="4"/>
  <c r="AI39" i="4"/>
  <c r="AI106" i="7"/>
  <c r="AI23" i="7"/>
  <c r="AJ16" i="4"/>
  <c r="AJ20" i="7"/>
  <c r="AJ23" i="4"/>
  <c r="AJ39" i="4"/>
  <c r="AJ106" i="7"/>
  <c r="AJ23" i="7"/>
  <c r="AJ25" i="20"/>
  <c r="AI25" i="20"/>
  <c r="N138" i="7" l="1"/>
  <c r="O138" i="7" l="1"/>
  <c r="P138" i="7" s="1"/>
  <c r="Q138" i="7" s="1"/>
  <c r="R138" i="7" s="1"/>
  <c r="S138" i="7" s="1"/>
  <c r="T138" i="7" s="1"/>
  <c r="U138" i="7" s="1"/>
  <c r="V138" i="7" s="1"/>
  <c r="A90" i="2"/>
  <c r="A91" i="2" s="1"/>
  <c r="A92" i="2" s="1"/>
  <c r="A93" i="2" s="1"/>
  <c r="A94" i="2" s="1"/>
  <c r="A95" i="2" s="1"/>
  <c r="A96" i="2" s="1"/>
  <c r="A97" i="2" s="1"/>
  <c r="A98" i="2" s="1"/>
  <c r="B86" i="2" l="1"/>
  <c r="B87" i="2" s="1"/>
  <c r="A85" i="2"/>
  <c r="A86" i="2" s="1"/>
  <c r="A87" i="2" s="1"/>
  <c r="E17" i="1"/>
  <c r="C17" i="1"/>
  <c r="C54" i="1" s="1"/>
  <c r="A54" i="1" l="1"/>
  <c r="B54" i="1"/>
  <c r="B17" i="1"/>
  <c r="A17" i="1"/>
  <c r="F74" i="2" l="1"/>
  <c r="C6" i="1"/>
  <c r="C43" i="1" s="1"/>
  <c r="C7" i="1"/>
  <c r="C44" i="1" s="1"/>
  <c r="C8" i="1"/>
  <c r="C45" i="1" s="1"/>
  <c r="C9" i="1"/>
  <c r="C46" i="1" s="1"/>
  <c r="C10" i="1"/>
  <c r="C47" i="1" s="1"/>
  <c r="C12" i="1"/>
  <c r="C49" i="1" s="1"/>
  <c r="C13" i="1"/>
  <c r="C50" i="1" s="1"/>
  <c r="C14" i="1"/>
  <c r="C51" i="1" s="1"/>
  <c r="C15" i="1"/>
  <c r="C52" i="1" s="1"/>
  <c r="C16" i="1"/>
  <c r="C53" i="1" s="1"/>
  <c r="C18" i="1"/>
  <c r="C55" i="1" s="1"/>
  <c r="C19" i="1"/>
  <c r="C56" i="1" s="1"/>
  <c r="A55" i="1" l="1"/>
  <c r="B55" i="1"/>
  <c r="A45" i="1"/>
  <c r="B45" i="1"/>
  <c r="A50" i="1"/>
  <c r="B50" i="1"/>
  <c r="A46" i="1"/>
  <c r="B46" i="1"/>
  <c r="A44" i="1"/>
  <c r="B44" i="1"/>
  <c r="A49" i="1"/>
  <c r="B49" i="1"/>
  <c r="A56" i="1"/>
  <c r="B56" i="1"/>
  <c r="A52" i="1"/>
  <c r="B52" i="1"/>
  <c r="A43" i="1"/>
  <c r="B43" i="1"/>
  <c r="A47" i="1"/>
  <c r="B47" i="1"/>
  <c r="A53" i="1"/>
  <c r="B53" i="1"/>
  <c r="A51" i="1"/>
  <c r="B51" i="1"/>
  <c r="A8" i="1"/>
  <c r="B129" i="7" l="1"/>
  <c r="B130" i="7" s="1"/>
  <c r="B131" i="7" s="1"/>
  <c r="B132" i="7" s="1"/>
  <c r="B133" i="7" s="1"/>
  <c r="B134" i="7" s="1"/>
  <c r="B135" i="7" s="1"/>
  <c r="B136" i="7" s="1"/>
  <c r="B137" i="7" s="1"/>
  <c r="B138" i="7" s="1"/>
  <c r="B139" i="7" s="1"/>
  <c r="B140" i="7" s="1"/>
  <c r="B141" i="7" s="1"/>
  <c r="B142" i="7" s="1"/>
  <c r="B143" i="7" s="1"/>
  <c r="B114" i="7"/>
  <c r="B115" i="7" s="1"/>
  <c r="B116" i="7" s="1"/>
  <c r="B117" i="7" s="1"/>
  <c r="B118" i="7" s="1"/>
  <c r="B119" i="7" s="1"/>
  <c r="A113" i="7"/>
  <c r="F16" i="13"/>
  <c r="T16" i="13" s="1"/>
  <c r="B12" i="13"/>
  <c r="B13" i="13" s="1"/>
  <c r="B14" i="13" s="1"/>
  <c r="B15" i="13" s="1"/>
  <c r="B16" i="13" s="1"/>
  <c r="A11" i="13"/>
  <c r="A12" i="13" s="1"/>
  <c r="A13" i="13" s="1"/>
  <c r="A14" i="13" s="1"/>
  <c r="A15" i="13" s="1"/>
  <c r="A16" i="13" s="1"/>
  <c r="B19" i="1"/>
  <c r="B6" i="1"/>
  <c r="B12" i="1"/>
  <c r="B14" i="1"/>
  <c r="C4" i="1"/>
  <c r="C41" i="1" s="1"/>
  <c r="E10" i="1"/>
  <c r="D7" i="5"/>
  <c r="F7" i="5" s="1"/>
  <c r="D18" i="5"/>
  <c r="F18" i="5" s="1"/>
  <c r="B12" i="10"/>
  <c r="B13" i="10" s="1"/>
  <c r="B14" i="10" s="1"/>
  <c r="B15" i="10" s="1"/>
  <c r="B16" i="10" s="1"/>
  <c r="B17" i="10" s="1"/>
  <c r="B18" i="10" s="1"/>
  <c r="A11" i="10"/>
  <c r="A66" i="2"/>
  <c r="A41" i="2"/>
  <c r="A28" i="2"/>
  <c r="A29" i="2" s="1"/>
  <c r="A30" i="2" s="1"/>
  <c r="A74" i="7"/>
  <c r="B75" i="7"/>
  <c r="B76" i="7" s="1"/>
  <c r="B77" i="7" s="1"/>
  <c r="B78" i="7" s="1"/>
  <c r="B79" i="7" s="1"/>
  <c r="B80" i="7" s="1"/>
  <c r="B81" i="7" s="1"/>
  <c r="B82" i="7" s="1"/>
  <c r="B83" i="7" s="1"/>
  <c r="B84" i="7" s="1"/>
  <c r="B85" i="7" s="1"/>
  <c r="B86" i="7" s="1"/>
  <c r="A60" i="7"/>
  <c r="A61" i="7" s="1"/>
  <c r="A62" i="7" s="1"/>
  <c r="A63" i="7" s="1"/>
  <c r="A64" i="7" s="1"/>
  <c r="A65" i="7" s="1"/>
  <c r="A66" i="7" s="1"/>
  <c r="A67" i="7" s="1"/>
  <c r="A68" i="7" s="1"/>
  <c r="A69" i="7" s="1"/>
  <c r="A70" i="7" s="1"/>
  <c r="B61" i="7"/>
  <c r="B62" i="7" s="1"/>
  <c r="B63" i="7" s="1"/>
  <c r="B64" i="7" s="1"/>
  <c r="B65" i="7" s="1"/>
  <c r="B66" i="7" s="1"/>
  <c r="B67" i="7" s="1"/>
  <c r="B68" i="7" s="1"/>
  <c r="B69" i="7" s="1"/>
  <c r="B70" i="7" s="1"/>
  <c r="A43" i="7"/>
  <c r="A44" i="7" s="1"/>
  <c r="A45" i="7" s="1"/>
  <c r="A46" i="7" s="1"/>
  <c r="A47" i="7" s="1"/>
  <c r="A48" i="7" s="1"/>
  <c r="A49" i="7" s="1"/>
  <c r="A50" i="7" s="1"/>
  <c r="A51" i="7" s="1"/>
  <c r="A52" i="7" s="1"/>
  <c r="A53" i="7" s="1"/>
  <c r="A54" i="7" s="1"/>
  <c r="A55" i="7" s="1"/>
  <c r="B44" i="7"/>
  <c r="B45" i="7" s="1"/>
  <c r="B46" i="7" s="1"/>
  <c r="B47" i="7" s="1"/>
  <c r="B48" i="7" s="1"/>
  <c r="B49" i="7" s="1"/>
  <c r="B50" i="7" s="1"/>
  <c r="B51" i="7" s="1"/>
  <c r="B52" i="7" s="1"/>
  <c r="B53" i="7" s="1"/>
  <c r="B54" i="7" s="1"/>
  <c r="B55" i="7" s="1"/>
  <c r="B30" i="7"/>
  <c r="B31" i="7" s="1"/>
  <c r="B32" i="7" s="1"/>
  <c r="B33" i="7" s="1"/>
  <c r="B34" i="7" s="1"/>
  <c r="B35" i="7" s="1"/>
  <c r="B36" i="7" s="1"/>
  <c r="B37" i="7" s="1"/>
  <c r="B38" i="7" s="1"/>
  <c r="B39" i="7" s="1"/>
  <c r="B40" i="7" s="1"/>
  <c r="A26" i="4"/>
  <c r="B27" i="4"/>
  <c r="B28" i="4" s="1"/>
  <c r="B29" i="4" s="1"/>
  <c r="B30" i="4" s="1"/>
  <c r="B31" i="4" s="1"/>
  <c r="B32" i="4" s="1"/>
  <c r="H5" i="5"/>
  <c r="G5" i="5" s="1"/>
  <c r="H7" i="5"/>
  <c r="G7" i="5" s="1"/>
  <c r="H9" i="5"/>
  <c r="G9" i="5" s="1"/>
  <c r="H10" i="5"/>
  <c r="G10" i="5" s="1"/>
  <c r="H13" i="5"/>
  <c r="G13" i="5" s="1"/>
  <c r="H18" i="5"/>
  <c r="G18" i="5" s="1"/>
  <c r="H19" i="5"/>
  <c r="G19" i="5" s="1"/>
  <c r="H20" i="5"/>
  <c r="G20" i="5" s="1"/>
  <c r="H25" i="5"/>
  <c r="G25" i="5" s="1"/>
  <c r="H26" i="5"/>
  <c r="G26" i="5" s="1"/>
  <c r="H27" i="5"/>
  <c r="G27" i="5" s="1"/>
  <c r="H30" i="5"/>
  <c r="G30" i="5" s="1"/>
  <c r="J9" i="5"/>
  <c r="S16" i="13" l="1"/>
  <c r="R16" i="13"/>
  <c r="A27" i="4"/>
  <c r="A41" i="1"/>
  <c r="B41" i="1"/>
  <c r="D25" i="5"/>
  <c r="F25" i="5" s="1"/>
  <c r="L9" i="1" s="1"/>
  <c r="D26" i="5"/>
  <c r="F26" i="5" s="1"/>
  <c r="D20" i="5"/>
  <c r="D19" i="5"/>
  <c r="F19" i="5" s="1"/>
  <c r="D15" i="5"/>
  <c r="F15" i="5" s="1"/>
  <c r="D14" i="5"/>
  <c r="F14" i="5" s="1"/>
  <c r="D12" i="5"/>
  <c r="F12" i="5" s="1"/>
  <c r="B9" i="19" s="1"/>
  <c r="D28" i="5"/>
  <c r="F28" i="5" s="1"/>
  <c r="B13" i="19" s="1"/>
  <c r="D6" i="5"/>
  <c r="F6" i="5" s="1"/>
  <c r="B19" i="19" s="1"/>
  <c r="D8" i="5"/>
  <c r="F8" i="5" s="1"/>
  <c r="D4" i="5"/>
  <c r="F4" i="5" s="1"/>
  <c r="B23" i="5"/>
  <c r="D23" i="5" s="1"/>
  <c r="F23" i="5" s="1"/>
  <c r="D17" i="5"/>
  <c r="F17" i="5" s="1"/>
  <c r="B14" i="19" s="1"/>
  <c r="D16" i="5"/>
  <c r="F16" i="5" s="1"/>
  <c r="B10" i="19" s="1"/>
  <c r="D22" i="5"/>
  <c r="F22" i="5" s="1"/>
  <c r="D3" i="5"/>
  <c r="F3" i="5" s="1"/>
  <c r="D24" i="5"/>
  <c r="F24" i="5" s="1"/>
  <c r="B11" i="19" s="1"/>
  <c r="D13" i="5"/>
  <c r="F13" i="5" s="1"/>
  <c r="D30" i="5"/>
  <c r="F30" i="5" s="1"/>
  <c r="B22" i="19" s="1"/>
  <c r="D10" i="5"/>
  <c r="F10" i="5" s="1"/>
  <c r="D27" i="5"/>
  <c r="F27" i="5" s="1"/>
  <c r="D9" i="5"/>
  <c r="F9" i="5" s="1"/>
  <c r="B20" i="19" s="1"/>
  <c r="D5" i="5"/>
  <c r="F5" i="5" s="1"/>
  <c r="A12" i="10"/>
  <c r="B4" i="1"/>
  <c r="Q16" i="13"/>
  <c r="P16" i="13"/>
  <c r="AE16" i="13"/>
  <c r="AG16" i="13"/>
  <c r="AD16" i="13"/>
  <c r="AC16" i="13"/>
  <c r="A75" i="7"/>
  <c r="A114" i="7"/>
  <c r="A30" i="7"/>
  <c r="A31" i="7" s="1"/>
  <c r="A32" i="7" s="1"/>
  <c r="A33" i="7" s="1"/>
  <c r="A34" i="7" s="1"/>
  <c r="A35" i="7" s="1"/>
  <c r="A36" i="7" s="1"/>
  <c r="A37" i="7" s="1"/>
  <c r="A38" i="7" s="1"/>
  <c r="A39" i="7" s="1"/>
  <c r="A40" i="7" s="1"/>
  <c r="L134" i="7"/>
  <c r="T134" i="7"/>
  <c r="T139" i="7" s="1"/>
  <c r="T140" i="7" s="1"/>
  <c r="AB134" i="7"/>
  <c r="AB139" i="7" s="1"/>
  <c r="AB140" i="7" s="1"/>
  <c r="AJ134" i="7"/>
  <c r="AJ139" i="7" s="1"/>
  <c r="AJ140" i="7" s="1"/>
  <c r="F134" i="7"/>
  <c r="F135" i="7" s="1"/>
  <c r="M134" i="7"/>
  <c r="U134" i="7"/>
  <c r="U139" i="7" s="1"/>
  <c r="U140" i="7" s="1"/>
  <c r="AC134" i="7"/>
  <c r="N134" i="7"/>
  <c r="N139" i="7" s="1"/>
  <c r="N140" i="7" s="1"/>
  <c r="V134" i="7"/>
  <c r="AD134" i="7"/>
  <c r="G134" i="7"/>
  <c r="O134" i="7"/>
  <c r="O139" i="7" s="1"/>
  <c r="O140" i="7" s="1"/>
  <c r="W134" i="7"/>
  <c r="W139" i="7" s="1"/>
  <c r="W140" i="7" s="1"/>
  <c r="AE134" i="7"/>
  <c r="AE139" i="7" s="1"/>
  <c r="AE140" i="7" s="1"/>
  <c r="H134" i="7"/>
  <c r="H136" i="7" s="1"/>
  <c r="P134" i="7"/>
  <c r="P139" i="7" s="1"/>
  <c r="P140" i="7" s="1"/>
  <c r="X134" i="7"/>
  <c r="X139" i="7" s="1"/>
  <c r="X140" i="7" s="1"/>
  <c r="AF134" i="7"/>
  <c r="AF139" i="7" s="1"/>
  <c r="AF140" i="7" s="1"/>
  <c r="I134" i="7"/>
  <c r="Q134" i="7"/>
  <c r="Q139" i="7" s="1"/>
  <c r="Q140" i="7" s="1"/>
  <c r="Y134" i="7"/>
  <c r="Y139" i="7" s="1"/>
  <c r="Y140" i="7" s="1"/>
  <c r="AG134" i="7"/>
  <c r="AG139" i="7" s="1"/>
  <c r="AG140" i="7" s="1"/>
  <c r="J134" i="7"/>
  <c r="R134" i="7"/>
  <c r="R139" i="7" s="1"/>
  <c r="R140" i="7" s="1"/>
  <c r="Z134" i="7"/>
  <c r="Z139" i="7" s="1"/>
  <c r="Z140" i="7" s="1"/>
  <c r="AH134" i="7"/>
  <c r="AH139" i="7" s="1"/>
  <c r="AH140" i="7" s="1"/>
  <c r="K134" i="7"/>
  <c r="S134" i="7"/>
  <c r="S139" i="7" s="1"/>
  <c r="S140" i="7" s="1"/>
  <c r="AA134" i="7"/>
  <c r="AA139" i="7" s="1"/>
  <c r="AA140" i="7" s="1"/>
  <c r="AI134" i="7"/>
  <c r="AI139" i="7" s="1"/>
  <c r="AI140" i="7" s="1"/>
  <c r="A67" i="2"/>
  <c r="A68" i="2" s="1"/>
  <c r="A69" i="2" s="1"/>
  <c r="A70" i="2" s="1"/>
  <c r="A71" i="2" s="1"/>
  <c r="A72" i="2" s="1"/>
  <c r="A73" i="2" s="1"/>
  <c r="A74" i="2" s="1"/>
  <c r="A75" i="2" s="1"/>
  <c r="A76" i="2" s="1"/>
  <c r="A77" i="2" s="1"/>
  <c r="A78" i="2" s="1"/>
  <c r="A79" i="2" s="1"/>
  <c r="A80" i="2" s="1"/>
  <c r="A81" i="2" s="1"/>
  <c r="A82" i="2" s="1"/>
  <c r="A42" i="2"/>
  <c r="A43" i="2" s="1"/>
  <c r="A44" i="2" s="1"/>
  <c r="A45" i="2" s="1"/>
  <c r="A46" i="2" s="1"/>
  <c r="A47" i="2" s="1"/>
  <c r="A48" i="2" s="1"/>
  <c r="A49" i="2" s="1"/>
  <c r="A50" i="2" s="1"/>
  <c r="A51" i="2" s="1"/>
  <c r="A31" i="2"/>
  <c r="A32" i="2" s="1"/>
  <c r="A33" i="2" s="1"/>
  <c r="A34" i="2" s="1"/>
  <c r="A35" i="2" s="1"/>
  <c r="A36" i="2" s="1"/>
  <c r="A37" i="2" s="1"/>
  <c r="A38" i="2" s="1"/>
  <c r="F20" i="5"/>
  <c r="K14" i="1" s="1"/>
  <c r="D35" i="1"/>
  <c r="D17" i="1" s="1"/>
  <c r="B120" i="7"/>
  <c r="B121" i="7" s="1"/>
  <c r="B122" i="7" s="1"/>
  <c r="B123" i="7" s="1"/>
  <c r="B124" i="7" s="1"/>
  <c r="B125" i="7" s="1"/>
  <c r="B126" i="7" s="1"/>
  <c r="AI16" i="13"/>
  <c r="V16" i="13"/>
  <c r="AH16" i="13"/>
  <c r="U16" i="13"/>
  <c r="AB16" i="13"/>
  <c r="O16" i="13"/>
  <c r="AA16" i="13"/>
  <c r="N16" i="13"/>
  <c r="Z16" i="13"/>
  <c r="M16" i="13"/>
  <c r="Y16" i="13"/>
  <c r="L16" i="13"/>
  <c r="X16" i="13"/>
  <c r="AJ16" i="13"/>
  <c r="W16" i="13"/>
  <c r="AF16" i="13"/>
  <c r="A14" i="1"/>
  <c r="A7" i="1"/>
  <c r="A4" i="1"/>
  <c r="A13" i="1"/>
  <c r="A16" i="1"/>
  <c r="A10" i="1"/>
  <c r="A12" i="1"/>
  <c r="A9" i="1"/>
  <c r="B13" i="1"/>
  <c r="A6" i="1"/>
  <c r="A15" i="1"/>
  <c r="A18" i="1"/>
  <c r="A19" i="1"/>
  <c r="B10" i="1"/>
  <c r="D10" i="1" s="1"/>
  <c r="F10" i="1" s="1"/>
  <c r="B9" i="1"/>
  <c r="B16" i="1"/>
  <c r="B18" i="1"/>
  <c r="B15" i="1"/>
  <c r="D34" i="1"/>
  <c r="D33" i="1"/>
  <c r="D37" i="1"/>
  <c r="D19" i="1" s="1"/>
  <c r="F19" i="1" s="1"/>
  <c r="D36" i="1"/>
  <c r="D22" i="19" l="1"/>
  <c r="F22" i="19"/>
  <c r="K12" i="1"/>
  <c r="B15" i="19"/>
  <c r="K4" i="1"/>
  <c r="B17" i="19"/>
  <c r="L6" i="1"/>
  <c r="B18" i="19"/>
  <c r="K18" i="1"/>
  <c r="B12" i="19"/>
  <c r="L7" i="1"/>
  <c r="B21" i="19"/>
  <c r="M139" i="7"/>
  <c r="M140" i="7" s="1"/>
  <c r="A28" i="4"/>
  <c r="K17" i="1"/>
  <c r="L17" i="1"/>
  <c r="K11" i="1"/>
  <c r="L11" i="1"/>
  <c r="L15" i="1"/>
  <c r="K15" i="1"/>
  <c r="L5" i="1"/>
  <c r="K5" i="1"/>
  <c r="Q17" i="1"/>
  <c r="F17" i="1"/>
  <c r="L139" i="7"/>
  <c r="L140" i="7" s="1"/>
  <c r="L136" i="7"/>
  <c r="A13" i="10"/>
  <c r="D16" i="1"/>
  <c r="D11" i="1"/>
  <c r="F11" i="1" s="1"/>
  <c r="D12" i="1"/>
  <c r="F12" i="1" s="1"/>
  <c r="K139" i="7"/>
  <c r="K140" i="7" s="1"/>
  <c r="A76" i="7"/>
  <c r="A115" i="7"/>
  <c r="L14" i="1"/>
  <c r="AA135" i="7"/>
  <c r="AA136" i="7"/>
  <c r="AA143" i="7" s="1"/>
  <c r="Y136" i="7"/>
  <c r="Y143" i="7" s="1"/>
  <c r="Y135" i="7"/>
  <c r="W136" i="7"/>
  <c r="W143" i="7" s="1"/>
  <c r="W135" i="7"/>
  <c r="M135" i="7"/>
  <c r="M136" i="7"/>
  <c r="S135" i="7"/>
  <c r="S136" i="7"/>
  <c r="S143" i="7" s="1"/>
  <c r="Q136" i="7"/>
  <c r="Q143" i="7" s="1"/>
  <c r="Q135" i="7"/>
  <c r="O136" i="7"/>
  <c r="O143" i="7" s="1"/>
  <c r="O135" i="7"/>
  <c r="K135" i="7"/>
  <c r="K136" i="7"/>
  <c r="I136" i="7"/>
  <c r="I135" i="7"/>
  <c r="G135" i="7"/>
  <c r="G136" i="7"/>
  <c r="AJ135" i="7"/>
  <c r="AJ136" i="7"/>
  <c r="AJ143" i="7" s="1"/>
  <c r="AH136" i="7"/>
  <c r="AH143" i="7" s="1"/>
  <c r="AH135" i="7"/>
  <c r="AF136" i="7"/>
  <c r="AF143" i="7" s="1"/>
  <c r="AF135" i="7"/>
  <c r="AD136" i="7"/>
  <c r="AD135" i="7"/>
  <c r="AB135" i="7"/>
  <c r="AB136" i="7"/>
  <c r="AB143" i="7" s="1"/>
  <c r="Z135" i="7"/>
  <c r="Z136" i="7"/>
  <c r="Z143" i="7" s="1"/>
  <c r="X136" i="7"/>
  <c r="X143" i="7" s="1"/>
  <c r="X135" i="7"/>
  <c r="V136" i="7"/>
  <c r="V135" i="7"/>
  <c r="T135" i="7"/>
  <c r="T136" i="7"/>
  <c r="T143" i="7" s="1"/>
  <c r="R136" i="7"/>
  <c r="R143" i="7" s="1"/>
  <c r="R135" i="7"/>
  <c r="P135" i="7"/>
  <c r="P136" i="7"/>
  <c r="P143" i="7" s="1"/>
  <c r="N136" i="7"/>
  <c r="N143" i="7" s="1"/>
  <c r="N135" i="7"/>
  <c r="L135" i="7"/>
  <c r="J136" i="7"/>
  <c r="J135" i="7"/>
  <c r="H135" i="7"/>
  <c r="AC135" i="7"/>
  <c r="AC136" i="7"/>
  <c r="AI135" i="7"/>
  <c r="AI136" i="7"/>
  <c r="AI143" i="7" s="1"/>
  <c r="AG136" i="7"/>
  <c r="AG143" i="7" s="1"/>
  <c r="AG135" i="7"/>
  <c r="AE136" i="7"/>
  <c r="AE143" i="7" s="1"/>
  <c r="AE135" i="7"/>
  <c r="U135" i="7"/>
  <c r="U136" i="7"/>
  <c r="U143" i="7" s="1"/>
  <c r="K6" i="1"/>
  <c r="L18" i="1"/>
  <c r="L12" i="1"/>
  <c r="L4" i="1"/>
  <c r="K7" i="1"/>
  <c r="K9" i="1"/>
  <c r="V139" i="7"/>
  <c r="V140" i="7" s="1"/>
  <c r="AD139" i="7"/>
  <c r="AD140" i="7" s="1"/>
  <c r="AC139" i="7"/>
  <c r="AC140" i="7" s="1"/>
  <c r="K10" i="1"/>
  <c r="Q10" i="1" s="1"/>
  <c r="L10" i="1"/>
  <c r="K13" i="1"/>
  <c r="L13" i="1"/>
  <c r="L8" i="1"/>
  <c r="K8" i="1"/>
  <c r="G16" i="13"/>
  <c r="H16" i="13"/>
  <c r="D9" i="1"/>
  <c r="F9" i="1" s="1"/>
  <c r="D14" i="1"/>
  <c r="D13" i="1"/>
  <c r="F13" i="1" s="1"/>
  <c r="D15" i="1"/>
  <c r="F15" i="1" s="1"/>
  <c r="D18" i="1"/>
  <c r="E31" i="1"/>
  <c r="K9" i="5"/>
  <c r="L9" i="5"/>
  <c r="M143" i="7" l="1"/>
  <c r="A29" i="4"/>
  <c r="S17" i="1"/>
  <c r="R17" i="1"/>
  <c r="Q18" i="1"/>
  <c r="S18" i="1" s="1"/>
  <c r="D55" i="1" s="1"/>
  <c r="F18" i="1"/>
  <c r="Q14" i="1"/>
  <c r="R14" i="1" s="1"/>
  <c r="F14" i="1"/>
  <c r="B21" i="5"/>
  <c r="D21" i="5" s="1"/>
  <c r="F21" i="5" s="1"/>
  <c r="F16" i="1"/>
  <c r="L143" i="7"/>
  <c r="A14" i="10"/>
  <c r="E20" i="19"/>
  <c r="F20" i="19" s="1"/>
  <c r="C20" i="19"/>
  <c r="D20" i="19" s="1"/>
  <c r="F75" i="2"/>
  <c r="F79" i="2" s="1"/>
  <c r="F66" i="2" s="1"/>
  <c r="Q11" i="1"/>
  <c r="S11" i="1" s="1"/>
  <c r="D48" i="1" s="1"/>
  <c r="K143" i="7"/>
  <c r="A77" i="7"/>
  <c r="V143" i="7"/>
  <c r="A116" i="7"/>
  <c r="AC143" i="7"/>
  <c r="AD143" i="7"/>
  <c r="Q9" i="1"/>
  <c r="R9" i="1" s="1"/>
  <c r="S10" i="1"/>
  <c r="D47" i="1" s="1"/>
  <c r="R10" i="1"/>
  <c r="Q13" i="1"/>
  <c r="R13" i="1" s="1"/>
  <c r="Q15" i="1"/>
  <c r="S15" i="1" s="1"/>
  <c r="D52" i="1" s="1"/>
  <c r="Q12" i="1"/>
  <c r="S12" i="1" s="1"/>
  <c r="A30" i="4" l="1"/>
  <c r="G143" i="7"/>
  <c r="S14" i="1"/>
  <c r="D51" i="1" s="1"/>
  <c r="R18" i="1"/>
  <c r="A15" i="10"/>
  <c r="R11" i="1"/>
  <c r="F143" i="7"/>
  <c r="H143" i="7"/>
  <c r="A78" i="7"/>
  <c r="A117" i="7"/>
  <c r="R80" i="2"/>
  <c r="Z80" i="2"/>
  <c r="AH80" i="2"/>
  <c r="T80" i="2"/>
  <c r="AJ80" i="2"/>
  <c r="AD80" i="2"/>
  <c r="O80" i="2"/>
  <c r="Y80" i="2"/>
  <c r="S80" i="2"/>
  <c r="AA80" i="2"/>
  <c r="AI80" i="2"/>
  <c r="AB80" i="2"/>
  <c r="V80" i="2"/>
  <c r="AE80" i="2"/>
  <c r="X80" i="2"/>
  <c r="U80" i="2"/>
  <c r="AC80" i="2"/>
  <c r="M80" i="2"/>
  <c r="N80" i="2"/>
  <c r="W80" i="2"/>
  <c r="P80" i="2"/>
  <c r="AF80" i="2"/>
  <c r="Q80" i="2"/>
  <c r="AG80" i="2"/>
  <c r="S9" i="1"/>
  <c r="S13" i="1"/>
  <c r="D50" i="1" s="1"/>
  <c r="L16" i="1"/>
  <c r="K16" i="1"/>
  <c r="Q16" i="1" s="1"/>
  <c r="R12" i="1"/>
  <c r="R15" i="1"/>
  <c r="S16" i="1" l="1"/>
  <c r="A31" i="4"/>
  <c r="A16" i="10"/>
  <c r="A79" i="7"/>
  <c r="A118" i="7"/>
  <c r="O78" i="2"/>
  <c r="W78" i="2"/>
  <c r="AE78" i="2"/>
  <c r="Y78" i="2"/>
  <c r="AJ78" i="2"/>
  <c r="AC78" i="2"/>
  <c r="M78" i="2"/>
  <c r="AD78" i="2"/>
  <c r="P78" i="2"/>
  <c r="X78" i="2"/>
  <c r="AF78" i="2"/>
  <c r="Q78" i="2"/>
  <c r="AG78" i="2"/>
  <c r="T78" i="2"/>
  <c r="U78" i="2"/>
  <c r="V78" i="2"/>
  <c r="R78" i="2"/>
  <c r="Z78" i="2"/>
  <c r="AH78" i="2"/>
  <c r="S78" i="2"/>
  <c r="AA78" i="2"/>
  <c r="AI78" i="2"/>
  <c r="AB78" i="2"/>
  <c r="N78" i="2"/>
  <c r="R16" i="1"/>
  <c r="A32" i="4" l="1"/>
  <c r="A17" i="10"/>
  <c r="A80" i="7"/>
  <c r="A119" i="7"/>
  <c r="A18" i="10" l="1"/>
  <c r="A81" i="7"/>
  <c r="A120" i="7"/>
  <c r="K4" i="5"/>
  <c r="L4" i="5"/>
  <c r="J4" i="5"/>
  <c r="O5" i="1" l="1"/>
  <c r="M5" i="1"/>
  <c r="G5" i="1"/>
  <c r="P5" i="1"/>
  <c r="N5" i="1"/>
  <c r="A82" i="7"/>
  <c r="A121" i="7"/>
  <c r="A83" i="7" l="1"/>
  <c r="A122" i="7"/>
  <c r="A84" i="7" l="1"/>
  <c r="A85" i="7" s="1"/>
  <c r="A86" i="7" s="1"/>
  <c r="A123" i="7"/>
  <c r="A124" i="7" s="1"/>
  <c r="A125" i="7" s="1"/>
  <c r="A126" i="7" s="1"/>
  <c r="F114" i="7"/>
  <c r="R118" i="7" l="1"/>
  <c r="D24" i="1"/>
  <c r="D26" i="1"/>
  <c r="D7" i="1" s="1"/>
  <c r="F7" i="1" s="1"/>
  <c r="D27" i="1"/>
  <c r="D25" i="1"/>
  <c r="D6" i="1" s="1"/>
  <c r="F6" i="1" s="1"/>
  <c r="AI118" i="7"/>
  <c r="AI119" i="7" s="1"/>
  <c r="T118" i="7"/>
  <c r="T119" i="7" s="1"/>
  <c r="AG118" i="7"/>
  <c r="AG119" i="7" s="1"/>
  <c r="AF118" i="7"/>
  <c r="AF119" i="7" s="1"/>
  <c r="P118" i="7"/>
  <c r="P119" i="7" s="1"/>
  <c r="AC118" i="7"/>
  <c r="AC119" i="7" s="1"/>
  <c r="O118" i="7"/>
  <c r="O119" i="7" s="1"/>
  <c r="U118" i="7"/>
  <c r="U119" i="7" s="1"/>
  <c r="AH118" i="7"/>
  <c r="AH119" i="7" s="1"/>
  <c r="Q118" i="7"/>
  <c r="Q119" i="7" s="1"/>
  <c r="AB118" i="7"/>
  <c r="AB119" i="7" s="1"/>
  <c r="N118" i="7"/>
  <c r="N119" i="7" s="1"/>
  <c r="AA118" i="7"/>
  <c r="AA119" i="7" s="1"/>
  <c r="L118" i="7"/>
  <c r="L119" i="7" s="1"/>
  <c r="Y118" i="7"/>
  <c r="Y119" i="7" s="1"/>
  <c r="K118" i="7"/>
  <c r="K119" i="7" s="1"/>
  <c r="M118" i="7"/>
  <c r="M119" i="7" s="1"/>
  <c r="J118" i="7"/>
  <c r="J119" i="7" s="1"/>
  <c r="F118" i="7"/>
  <c r="W118" i="7"/>
  <c r="W119" i="7" s="1"/>
  <c r="I118" i="7"/>
  <c r="I119" i="7" s="1"/>
  <c r="Z118" i="7"/>
  <c r="Z119" i="7" s="1"/>
  <c r="X118" i="7"/>
  <c r="X119" i="7" s="1"/>
  <c r="AJ118" i="7"/>
  <c r="AJ119" i="7" s="1"/>
  <c r="V118" i="7"/>
  <c r="V119" i="7" s="1"/>
  <c r="H118" i="7"/>
  <c r="H119" i="7" s="1"/>
  <c r="AE118" i="7"/>
  <c r="AE119" i="7" s="1"/>
  <c r="S118" i="7"/>
  <c r="S119" i="7" s="1"/>
  <c r="G118" i="7"/>
  <c r="AD118" i="7"/>
  <c r="AD119" i="7" s="1"/>
  <c r="F14" i="10"/>
  <c r="I15" i="10"/>
  <c r="F15" i="10" s="1"/>
  <c r="I13" i="10"/>
  <c r="F13" i="10" s="1"/>
  <c r="F11" i="7"/>
  <c r="M51" i="7"/>
  <c r="N51" i="7" s="1"/>
  <c r="F51" i="7"/>
  <c r="G47" i="7"/>
  <c r="H47" i="7" s="1"/>
  <c r="I47" i="7" s="1"/>
  <c r="D5" i="1" l="1"/>
  <c r="D4" i="1"/>
  <c r="R122" i="7"/>
  <c r="R119" i="7"/>
  <c r="L18" i="10"/>
  <c r="E23" i="1"/>
  <c r="D8" i="1"/>
  <c r="F8" i="1" s="1"/>
  <c r="Q7" i="1"/>
  <c r="Q6" i="1"/>
  <c r="M18" i="10"/>
  <c r="Z18" i="10"/>
  <c r="X18" i="10"/>
  <c r="W18" i="10"/>
  <c r="O18" i="10"/>
  <c r="V18" i="10"/>
  <c r="U18" i="10"/>
  <c r="Y18" i="10"/>
  <c r="AF18" i="10"/>
  <c r="T18" i="10"/>
  <c r="AI18" i="10"/>
  <c r="AE18" i="10"/>
  <c r="S18" i="10"/>
  <c r="AG18" i="10"/>
  <c r="AD18" i="10"/>
  <c r="R18" i="10"/>
  <c r="AA18" i="10"/>
  <c r="N18" i="10"/>
  <c r="AH18" i="10"/>
  <c r="AC18" i="10"/>
  <c r="Q18" i="10"/>
  <c r="AJ18" i="10"/>
  <c r="AB18" i="10"/>
  <c r="P18" i="10"/>
  <c r="F122" i="7"/>
  <c r="F123" i="7" s="1"/>
  <c r="G122" i="7"/>
  <c r="G123" i="7" s="1"/>
  <c r="P122" i="7"/>
  <c r="P124" i="7" s="1"/>
  <c r="K122" i="7"/>
  <c r="K124" i="7" s="1"/>
  <c r="AE122" i="7"/>
  <c r="AE124" i="7" s="1"/>
  <c r="Y122" i="7"/>
  <c r="Y124" i="7" s="1"/>
  <c r="N122" i="7"/>
  <c r="N124" i="7" s="1"/>
  <c r="X122" i="7"/>
  <c r="X124" i="7" s="1"/>
  <c r="Z122" i="7"/>
  <c r="Z124" i="7" s="1"/>
  <c r="Q122" i="7"/>
  <c r="I122" i="7"/>
  <c r="I124" i="7" s="1"/>
  <c r="AH122" i="7"/>
  <c r="AH124" i="7" s="1"/>
  <c r="W122" i="7"/>
  <c r="W124" i="7" s="1"/>
  <c r="U122" i="7"/>
  <c r="O122" i="7"/>
  <c r="O124" i="7" s="1"/>
  <c r="S122" i="7"/>
  <c r="AJ122" i="7"/>
  <c r="AJ124" i="7" s="1"/>
  <c r="AB122" i="7"/>
  <c r="AB124" i="7" s="1"/>
  <c r="AD122" i="7"/>
  <c r="AD124" i="7" s="1"/>
  <c r="J122" i="7"/>
  <c r="J124" i="7" s="1"/>
  <c r="AC122" i="7"/>
  <c r="AC124" i="7" s="1"/>
  <c r="M122" i="7"/>
  <c r="M124" i="7" s="1"/>
  <c r="AF122" i="7"/>
  <c r="AF124" i="7" s="1"/>
  <c r="AG122" i="7"/>
  <c r="AG124" i="7" s="1"/>
  <c r="H122" i="7"/>
  <c r="H124" i="7" s="1"/>
  <c r="L122" i="7"/>
  <c r="L124" i="7" s="1"/>
  <c r="T122" i="7"/>
  <c r="T124" i="7" s="1"/>
  <c r="V122" i="7"/>
  <c r="V124" i="7" s="1"/>
  <c r="AA122" i="7"/>
  <c r="AA124" i="7" s="1"/>
  <c r="AI122" i="7"/>
  <c r="AI124" i="7" s="1"/>
  <c r="J47" i="7"/>
  <c r="O51" i="7"/>
  <c r="P51" i="7" s="1"/>
  <c r="Q51" i="7" s="1"/>
  <c r="G51" i="7"/>
  <c r="D31" i="8"/>
  <c r="E31" i="8"/>
  <c r="F31" i="8"/>
  <c r="G31" i="8"/>
  <c r="H31" i="8"/>
  <c r="I31" i="8"/>
  <c r="J31" i="8"/>
  <c r="K31" i="8"/>
  <c r="L31" i="8"/>
  <c r="M31" i="8"/>
  <c r="N31" i="8"/>
  <c r="O31" i="8"/>
  <c r="P31" i="8"/>
  <c r="Q31" i="8"/>
  <c r="R31" i="8"/>
  <c r="S31" i="8"/>
  <c r="T31" i="8"/>
  <c r="U31" i="8"/>
  <c r="V31" i="8"/>
  <c r="W31" i="8"/>
  <c r="X31" i="8"/>
  <c r="Y31" i="8"/>
  <c r="Z31" i="8"/>
  <c r="AA31" i="8"/>
  <c r="AB31" i="8"/>
  <c r="AC31" i="8"/>
  <c r="AD31" i="8"/>
  <c r="AE31" i="8"/>
  <c r="AF31" i="8"/>
  <c r="AG31" i="8"/>
  <c r="C31" i="8"/>
  <c r="G33" i="7"/>
  <c r="H33" i="7" s="1"/>
  <c r="F37" i="7"/>
  <c r="G37" i="7" s="1"/>
  <c r="H37" i="7" s="1"/>
  <c r="M37" i="7"/>
  <c r="N37" i="7" s="1"/>
  <c r="D23" i="8"/>
  <c r="C23" i="8"/>
  <c r="E23" i="8"/>
  <c r="F23" i="8"/>
  <c r="G23" i="8"/>
  <c r="H23" i="8"/>
  <c r="I23" i="8"/>
  <c r="J23" i="8"/>
  <c r="K23" i="8"/>
  <c r="L23" i="8"/>
  <c r="M23" i="8"/>
  <c r="N23" i="8"/>
  <c r="O23" i="8"/>
  <c r="P23" i="8"/>
  <c r="Q23" i="8"/>
  <c r="R23" i="8"/>
  <c r="S23" i="8"/>
  <c r="T23" i="8"/>
  <c r="U23" i="8"/>
  <c r="V23" i="8"/>
  <c r="W23" i="8"/>
  <c r="X23" i="8"/>
  <c r="Y23" i="8"/>
  <c r="Z23" i="8"/>
  <c r="AA23" i="8"/>
  <c r="AB23" i="8"/>
  <c r="AC23" i="8"/>
  <c r="AD23" i="8"/>
  <c r="AE23" i="8"/>
  <c r="AF23" i="8"/>
  <c r="AG23" i="8"/>
  <c r="D24" i="8"/>
  <c r="E24" i="8"/>
  <c r="F24" i="8"/>
  <c r="G24" i="8"/>
  <c r="H24" i="8"/>
  <c r="I24" i="8"/>
  <c r="J24" i="8"/>
  <c r="K24" i="8"/>
  <c r="L24" i="8"/>
  <c r="M24" i="8"/>
  <c r="N24" i="8"/>
  <c r="O24" i="8"/>
  <c r="P24" i="8"/>
  <c r="Q24" i="8"/>
  <c r="R24" i="8"/>
  <c r="S24" i="8"/>
  <c r="T24" i="8"/>
  <c r="U24" i="8"/>
  <c r="V24" i="8"/>
  <c r="W24" i="8"/>
  <c r="X24" i="8"/>
  <c r="Y24" i="8"/>
  <c r="Z24" i="8"/>
  <c r="AA24" i="8"/>
  <c r="AB24" i="8"/>
  <c r="AC24" i="8"/>
  <c r="AD24" i="8"/>
  <c r="AE24" i="8"/>
  <c r="AF24" i="8"/>
  <c r="AG24" i="8"/>
  <c r="D25" i="8"/>
  <c r="E25" i="8"/>
  <c r="F25" i="8"/>
  <c r="G25" i="8"/>
  <c r="H25" i="8"/>
  <c r="I25" i="8"/>
  <c r="J25" i="8"/>
  <c r="K25" i="8"/>
  <c r="L25" i="8"/>
  <c r="M25" i="8"/>
  <c r="N25" i="8"/>
  <c r="O25" i="8"/>
  <c r="P25" i="8"/>
  <c r="Q25" i="8"/>
  <c r="R25" i="8"/>
  <c r="S25" i="8"/>
  <c r="T25" i="8"/>
  <c r="U25" i="8"/>
  <c r="V25" i="8"/>
  <c r="W25" i="8"/>
  <c r="X25" i="8"/>
  <c r="Y25" i="8"/>
  <c r="Z25" i="8"/>
  <c r="AA25" i="8"/>
  <c r="AB25" i="8"/>
  <c r="AC25" i="8"/>
  <c r="AD25" i="8"/>
  <c r="AE25" i="8"/>
  <c r="AF25" i="8"/>
  <c r="AG25" i="8"/>
  <c r="C25" i="8"/>
  <c r="C49" i="8" s="1"/>
  <c r="C24" i="8"/>
  <c r="D13" i="2"/>
  <c r="Q13" i="2" s="1"/>
  <c r="R13" i="2" s="1"/>
  <c r="S13" i="2" s="1"/>
  <c r="T13" i="2" s="1"/>
  <c r="U13" i="2" s="1"/>
  <c r="V13" i="2" s="1"/>
  <c r="W13" i="2" s="1"/>
  <c r="X13" i="2" s="1"/>
  <c r="Y13" i="2" s="1"/>
  <c r="Z13" i="2" s="1"/>
  <c r="AA13" i="2" s="1"/>
  <c r="AB13" i="2" s="1"/>
  <c r="AC13" i="2" s="1"/>
  <c r="AD13" i="2" s="1"/>
  <c r="AE13" i="2" s="1"/>
  <c r="AF13" i="2" s="1"/>
  <c r="AG13" i="2" s="1"/>
  <c r="AH13" i="2" s="1"/>
  <c r="AI13" i="2" s="1"/>
  <c r="AJ13" i="2" s="1"/>
  <c r="Q4" i="1" l="1"/>
  <c r="S4" i="1" s="1"/>
  <c r="D41" i="1" s="1"/>
  <c r="F4" i="1"/>
  <c r="Q5" i="1"/>
  <c r="S5" i="1" s="1"/>
  <c r="D42" i="1" s="1"/>
  <c r="F5" i="1"/>
  <c r="Q123" i="7"/>
  <c r="Q126" i="7" s="1"/>
  <c r="Q124" i="7"/>
  <c r="S123" i="7"/>
  <c r="S126" i="7" s="1"/>
  <c r="S124" i="7"/>
  <c r="U123" i="7"/>
  <c r="U126" i="7" s="1"/>
  <c r="U124" i="7"/>
  <c r="R123" i="7"/>
  <c r="R126" i="7" s="1"/>
  <c r="R124" i="7"/>
  <c r="F18" i="10"/>
  <c r="J62" i="8"/>
  <c r="R62" i="8"/>
  <c r="Z62" i="8"/>
  <c r="C62" i="8"/>
  <c r="U62" i="8"/>
  <c r="AC62" i="8"/>
  <c r="P62" i="8"/>
  <c r="Y62" i="8"/>
  <c r="Y64" i="8" s="1"/>
  <c r="K62" i="8"/>
  <c r="S62" i="8"/>
  <c r="AA62" i="8"/>
  <c r="M62" i="8"/>
  <c r="H62" i="8"/>
  <c r="AF62" i="8"/>
  <c r="Q62" i="8"/>
  <c r="L62" i="8"/>
  <c r="L64" i="8" s="1"/>
  <c r="T62" i="8"/>
  <c r="AB62" i="8"/>
  <c r="E62" i="8"/>
  <c r="D62" i="8"/>
  <c r="AG62" i="8"/>
  <c r="F62" i="8"/>
  <c r="N62" i="8"/>
  <c r="V62" i="8"/>
  <c r="AD62" i="8"/>
  <c r="G62" i="8"/>
  <c r="O62" i="8"/>
  <c r="W62" i="8"/>
  <c r="AE62" i="8"/>
  <c r="X62" i="8"/>
  <c r="I62" i="8"/>
  <c r="E63" i="8"/>
  <c r="M63" i="8"/>
  <c r="U63" i="8"/>
  <c r="AC63" i="8"/>
  <c r="P63" i="8"/>
  <c r="Z63" i="8"/>
  <c r="S63" i="8"/>
  <c r="L63" i="8"/>
  <c r="F63" i="8"/>
  <c r="F64" i="8" s="1"/>
  <c r="N63" i="8"/>
  <c r="V63" i="8"/>
  <c r="AD63" i="8"/>
  <c r="AD64" i="8" s="1"/>
  <c r="X63" i="8"/>
  <c r="AB63" i="8"/>
  <c r="G63" i="8"/>
  <c r="O63" i="8"/>
  <c r="W63" i="8"/>
  <c r="AE63" i="8"/>
  <c r="H63" i="8"/>
  <c r="AF63" i="8"/>
  <c r="K63" i="8"/>
  <c r="AA63" i="8"/>
  <c r="D63" i="8"/>
  <c r="C63" i="8"/>
  <c r="I63" i="8"/>
  <c r="Q63" i="8"/>
  <c r="Y63" i="8"/>
  <c r="AG63" i="8"/>
  <c r="J63" i="8"/>
  <c r="R63" i="8"/>
  <c r="R64" i="8" s="1"/>
  <c r="T63" i="8"/>
  <c r="C47" i="8"/>
  <c r="G57" i="8"/>
  <c r="O57" i="8"/>
  <c r="W57" i="8"/>
  <c r="AE57" i="8"/>
  <c r="E57" i="8"/>
  <c r="AD57" i="8"/>
  <c r="AG57" i="8"/>
  <c r="H57" i="8"/>
  <c r="P57" i="8"/>
  <c r="X57" i="8"/>
  <c r="AF57" i="8"/>
  <c r="T57" i="8"/>
  <c r="AC57" i="8"/>
  <c r="I57" i="8"/>
  <c r="Q57" i="8"/>
  <c r="Y57" i="8"/>
  <c r="AB57" i="8"/>
  <c r="F57" i="8"/>
  <c r="J57" i="8"/>
  <c r="R57" i="8"/>
  <c r="Z57" i="8"/>
  <c r="D57" i="8"/>
  <c r="U57" i="8"/>
  <c r="V57" i="8"/>
  <c r="C57" i="8"/>
  <c r="K57" i="8"/>
  <c r="S57" i="8"/>
  <c r="AA57" i="8"/>
  <c r="L57" i="8"/>
  <c r="M57" i="8"/>
  <c r="N57" i="8"/>
  <c r="C48" i="8"/>
  <c r="C58" i="8"/>
  <c r="C59" i="8" s="1"/>
  <c r="D59" i="8" s="1"/>
  <c r="E59" i="8" s="1"/>
  <c r="F59" i="8" s="1"/>
  <c r="G59" i="8" s="1"/>
  <c r="H59" i="8" s="1"/>
  <c r="I59" i="8" s="1"/>
  <c r="J59" i="8" s="1"/>
  <c r="K59" i="8" s="1"/>
  <c r="L59" i="8" s="1"/>
  <c r="M59" i="8" s="1"/>
  <c r="N59" i="8" s="1"/>
  <c r="O59" i="8" s="1"/>
  <c r="P59" i="8" s="1"/>
  <c r="Q59" i="8" s="1"/>
  <c r="R59" i="8" s="1"/>
  <c r="S59" i="8" s="1"/>
  <c r="T59" i="8" s="1"/>
  <c r="U59" i="8" s="1"/>
  <c r="V59" i="8" s="1"/>
  <c r="W59" i="8" s="1"/>
  <c r="X59" i="8" s="1"/>
  <c r="Y59" i="8" s="1"/>
  <c r="Z59" i="8" s="1"/>
  <c r="AA59" i="8" s="1"/>
  <c r="AB59" i="8" s="1"/>
  <c r="AC59" i="8" s="1"/>
  <c r="AD59" i="8" s="1"/>
  <c r="AE59" i="8" s="1"/>
  <c r="AF59" i="8" s="1"/>
  <c r="AG59" i="8" s="1"/>
  <c r="J58" i="8"/>
  <c r="R58" i="8"/>
  <c r="Z58" i="8"/>
  <c r="AG58" i="8"/>
  <c r="K58" i="8"/>
  <c r="S58" i="8"/>
  <c r="AA58" i="8"/>
  <c r="W58" i="8"/>
  <c r="X58" i="8"/>
  <c r="I58" i="8"/>
  <c r="Q58" i="8"/>
  <c r="D58" i="8"/>
  <c r="L58" i="8"/>
  <c r="T58" i="8"/>
  <c r="AB58" i="8"/>
  <c r="AD58" i="8"/>
  <c r="AE58" i="8"/>
  <c r="AF58" i="8"/>
  <c r="E58" i="8"/>
  <c r="M58" i="8"/>
  <c r="U58" i="8"/>
  <c r="AC58" i="8"/>
  <c r="O58" i="8"/>
  <c r="P58" i="8"/>
  <c r="F58" i="8"/>
  <c r="N58" i="8"/>
  <c r="V58" i="8"/>
  <c r="G58" i="8"/>
  <c r="H58" i="8"/>
  <c r="Y58" i="8"/>
  <c r="D53" i="8"/>
  <c r="L43" i="8"/>
  <c r="Q8" i="1"/>
  <c r="S8" i="1" s="1"/>
  <c r="D45" i="1" s="1"/>
  <c r="R6" i="1"/>
  <c r="S6" i="1"/>
  <c r="R7" i="1"/>
  <c r="S7" i="1"/>
  <c r="D44" i="1" s="1"/>
  <c r="G18" i="10"/>
  <c r="H18" i="10"/>
  <c r="N123" i="7"/>
  <c r="N126" i="7" s="1"/>
  <c r="J123" i="7"/>
  <c r="T123" i="7"/>
  <c r="T126" i="7" s="1"/>
  <c r="K123" i="7"/>
  <c r="K126" i="7" s="1"/>
  <c r="L123" i="7"/>
  <c r="O123" i="7"/>
  <c r="O126" i="7" s="1"/>
  <c r="P123" i="7"/>
  <c r="P126" i="7" s="1"/>
  <c r="H123" i="7"/>
  <c r="M123" i="7"/>
  <c r="M126" i="7" s="1"/>
  <c r="I123" i="7"/>
  <c r="AF123" i="7"/>
  <c r="AF126" i="7" s="1"/>
  <c r="AH123" i="7"/>
  <c r="AH126" i="7" s="1"/>
  <c r="AC123" i="7"/>
  <c r="AC126" i="7" s="1"/>
  <c r="AI123" i="7"/>
  <c r="AI126" i="7" s="1"/>
  <c r="AD123" i="7"/>
  <c r="AD126" i="7" s="1"/>
  <c r="X123" i="7"/>
  <c r="X126" i="7" s="1"/>
  <c r="AA123" i="7"/>
  <c r="AA126" i="7" s="1"/>
  <c r="AB123" i="7"/>
  <c r="AB126" i="7" s="1"/>
  <c r="AG123" i="7"/>
  <c r="AG126" i="7" s="1"/>
  <c r="Z123" i="7"/>
  <c r="Z126" i="7" s="1"/>
  <c r="Y123" i="7"/>
  <c r="Y126" i="7" s="1"/>
  <c r="V123" i="7"/>
  <c r="V126" i="7" s="1"/>
  <c r="AE123" i="7"/>
  <c r="AE126" i="7" s="1"/>
  <c r="AJ123" i="7"/>
  <c r="AJ126" i="7" s="1"/>
  <c r="W123" i="7"/>
  <c r="W126" i="7" s="1"/>
  <c r="K47" i="7"/>
  <c r="H51" i="7"/>
  <c r="R51" i="7"/>
  <c r="AF48" i="8"/>
  <c r="D52" i="8"/>
  <c r="W53" i="8"/>
  <c r="I53" i="8"/>
  <c r="F53" i="8"/>
  <c r="S52" i="8"/>
  <c r="Y52" i="8"/>
  <c r="H52" i="8"/>
  <c r="Y53" i="8"/>
  <c r="T52" i="8"/>
  <c r="E52" i="8"/>
  <c r="G53" i="8"/>
  <c r="AB52" i="8"/>
  <c r="Z53" i="8"/>
  <c r="Q52" i="8"/>
  <c r="V53" i="8"/>
  <c r="AG52" i="8"/>
  <c r="P52" i="8"/>
  <c r="U53" i="8"/>
  <c r="AF52" i="8"/>
  <c r="O52" i="8"/>
  <c r="S53" i="8"/>
  <c r="AE52" i="8"/>
  <c r="M52" i="8"/>
  <c r="R53" i="8"/>
  <c r="AC52" i="8"/>
  <c r="L52" i="8"/>
  <c r="O53" i="8"/>
  <c r="AG53" i="8"/>
  <c r="N53" i="8"/>
  <c r="AA52" i="8"/>
  <c r="G52" i="8"/>
  <c r="M53" i="8"/>
  <c r="C52" i="8"/>
  <c r="AD53" i="8"/>
  <c r="K53" i="8"/>
  <c r="X52" i="8"/>
  <c r="AE53" i="8"/>
  <c r="AA53" i="8"/>
  <c r="J53" i="8"/>
  <c r="U52" i="8"/>
  <c r="F52" i="8"/>
  <c r="AF53" i="8"/>
  <c r="T53" i="8"/>
  <c r="H53" i="8"/>
  <c r="Z52" i="8"/>
  <c r="N52" i="8"/>
  <c r="C53" i="8"/>
  <c r="AC53" i="8"/>
  <c r="Q53" i="8"/>
  <c r="E53" i="8"/>
  <c r="W52" i="8"/>
  <c r="K52" i="8"/>
  <c r="AB53" i="8"/>
  <c r="P53" i="8"/>
  <c r="V52" i="8"/>
  <c r="J52" i="8"/>
  <c r="I52" i="8"/>
  <c r="X53" i="8"/>
  <c r="L53" i="8"/>
  <c r="AD52" i="8"/>
  <c r="R52" i="8"/>
  <c r="J43" i="8"/>
  <c r="I43" i="8"/>
  <c r="AD39" i="8"/>
  <c r="F39" i="8"/>
  <c r="X49" i="8"/>
  <c r="AB44" i="8"/>
  <c r="AA44" i="8"/>
  <c r="X44" i="8"/>
  <c r="I37" i="7"/>
  <c r="O37" i="7"/>
  <c r="P37" i="7" s="1"/>
  <c r="I33" i="7"/>
  <c r="J47" i="8"/>
  <c r="F44" i="8"/>
  <c r="AE48" i="8"/>
  <c r="AF38" i="8"/>
  <c r="AB48" i="8"/>
  <c r="R38" i="8"/>
  <c r="G48" i="8"/>
  <c r="V49" i="8"/>
  <c r="V47" i="8"/>
  <c r="D44" i="8"/>
  <c r="Z39" i="8"/>
  <c r="R49" i="8"/>
  <c r="U47" i="8"/>
  <c r="AG43" i="8"/>
  <c r="L39" i="8"/>
  <c r="F49" i="8"/>
  <c r="R47" i="8"/>
  <c r="AA43" i="8"/>
  <c r="J39" i="8"/>
  <c r="AG48" i="8"/>
  <c r="O47" i="8"/>
  <c r="N43" i="8"/>
  <c r="I39" i="8"/>
  <c r="P48" i="8"/>
  <c r="AG42" i="8"/>
  <c r="P38" i="8"/>
  <c r="O48" i="8"/>
  <c r="U44" i="8"/>
  <c r="H42" i="8"/>
  <c r="O38" i="8"/>
  <c r="Z49" i="8"/>
  <c r="L48" i="8"/>
  <c r="S44" i="8"/>
  <c r="D42" i="8"/>
  <c r="L38" i="8"/>
  <c r="Y49" i="8"/>
  <c r="I48" i="8"/>
  <c r="G44" i="8"/>
  <c r="AG39" i="8"/>
  <c r="H38" i="8"/>
  <c r="U49" i="8"/>
  <c r="AD48" i="8"/>
  <c r="H48" i="8"/>
  <c r="N47" i="8"/>
  <c r="T44" i="8"/>
  <c r="AD43" i="8"/>
  <c r="F43" i="8"/>
  <c r="AA39" i="8"/>
  <c r="AG38" i="8"/>
  <c r="I38" i="8"/>
  <c r="O49" i="8"/>
  <c r="AA48" i="8"/>
  <c r="F48" i="8"/>
  <c r="I47" i="8"/>
  <c r="R44" i="8"/>
  <c r="Z43" i="8"/>
  <c r="AF42" i="8"/>
  <c r="X39" i="8"/>
  <c r="AD38" i="8"/>
  <c r="F38" i="8"/>
  <c r="N49" i="8"/>
  <c r="X48" i="8"/>
  <c r="D48" i="8"/>
  <c r="F47" i="8"/>
  <c r="P44" i="8"/>
  <c r="X43" i="8"/>
  <c r="AB42" i="8"/>
  <c r="V39" i="8"/>
  <c r="AB38" i="8"/>
  <c r="D38" i="8"/>
  <c r="C38" i="8"/>
  <c r="M49" i="8"/>
  <c r="U48" i="8"/>
  <c r="AG47" i="8"/>
  <c r="AG44" i="8"/>
  <c r="O44" i="8"/>
  <c r="V43" i="8"/>
  <c r="U42" i="8"/>
  <c r="U39" i="8"/>
  <c r="AA38" i="8"/>
  <c r="AA37" i="8"/>
  <c r="AG49" i="8"/>
  <c r="L49" i="8"/>
  <c r="T48" i="8"/>
  <c r="AD47" i="8"/>
  <c r="AF44" i="8"/>
  <c r="L44" i="8"/>
  <c r="U43" i="8"/>
  <c r="T42" i="8"/>
  <c r="R39" i="8"/>
  <c r="X38" i="8"/>
  <c r="Z37" i="8"/>
  <c r="AD49" i="8"/>
  <c r="J49" i="8"/>
  <c r="S48" i="8"/>
  <c r="AA47" i="8"/>
  <c r="AE44" i="8"/>
  <c r="I44" i="8"/>
  <c r="R43" i="8"/>
  <c r="P42" i="8"/>
  <c r="O39" i="8"/>
  <c r="U38" i="8"/>
  <c r="O37" i="8"/>
  <c r="AA49" i="8"/>
  <c r="I49" i="8"/>
  <c r="R48" i="8"/>
  <c r="Z47" i="8"/>
  <c r="AD44" i="8"/>
  <c r="H44" i="8"/>
  <c r="O43" i="8"/>
  <c r="I42" i="8"/>
  <c r="N39" i="8"/>
  <c r="T38" i="8"/>
  <c r="N37" i="8"/>
  <c r="Y47" i="8"/>
  <c r="M47" i="8"/>
  <c r="Y43" i="8"/>
  <c r="M43" i="8"/>
  <c r="AE42" i="8"/>
  <c r="S42" i="8"/>
  <c r="G42" i="8"/>
  <c r="Y39" i="8"/>
  <c r="M39" i="8"/>
  <c r="AE38" i="8"/>
  <c r="S38" i="8"/>
  <c r="G38" i="8"/>
  <c r="Y37" i="8"/>
  <c r="M37" i="8"/>
  <c r="X47" i="8"/>
  <c r="L47" i="8"/>
  <c r="AD42" i="8"/>
  <c r="R42" i="8"/>
  <c r="F42" i="8"/>
  <c r="X37" i="8"/>
  <c r="L37" i="8"/>
  <c r="W49" i="8"/>
  <c r="K49" i="8"/>
  <c r="AC48" i="8"/>
  <c r="Q48" i="8"/>
  <c r="E48" i="8"/>
  <c r="W47" i="8"/>
  <c r="K47" i="8"/>
  <c r="AC44" i="8"/>
  <c r="Q44" i="8"/>
  <c r="E44" i="8"/>
  <c r="W43" i="8"/>
  <c r="K43" i="8"/>
  <c r="AC42" i="8"/>
  <c r="Q42" i="8"/>
  <c r="E42" i="8"/>
  <c r="W39" i="8"/>
  <c r="K39" i="8"/>
  <c r="AC38" i="8"/>
  <c r="Q38" i="8"/>
  <c r="E38" i="8"/>
  <c r="W37" i="8"/>
  <c r="K37" i="8"/>
  <c r="V37" i="8"/>
  <c r="J37" i="8"/>
  <c r="AG37" i="8"/>
  <c r="O42" i="8"/>
  <c r="I37" i="8"/>
  <c r="AF49" i="8"/>
  <c r="T49" i="8"/>
  <c r="H49" i="8"/>
  <c r="Z48" i="8"/>
  <c r="N48" i="8"/>
  <c r="AF47" i="8"/>
  <c r="T47" i="8"/>
  <c r="H47" i="8"/>
  <c r="Z44" i="8"/>
  <c r="N44" i="8"/>
  <c r="AF43" i="8"/>
  <c r="T43" i="8"/>
  <c r="H43" i="8"/>
  <c r="Z42" i="8"/>
  <c r="N42" i="8"/>
  <c r="AF39" i="8"/>
  <c r="T39" i="8"/>
  <c r="H39" i="8"/>
  <c r="Z38" i="8"/>
  <c r="N38" i="8"/>
  <c r="AF37" i="8"/>
  <c r="T37" i="8"/>
  <c r="H37" i="8"/>
  <c r="AA42" i="8"/>
  <c r="U37" i="8"/>
  <c r="AE49" i="8"/>
  <c r="S49" i="8"/>
  <c r="G49" i="8"/>
  <c r="Y48" i="8"/>
  <c r="M48" i="8"/>
  <c r="AE47" i="8"/>
  <c r="S47" i="8"/>
  <c r="G47" i="8"/>
  <c r="Y44" i="8"/>
  <c r="M44" i="8"/>
  <c r="AE43" i="8"/>
  <c r="S43" i="8"/>
  <c r="G43" i="8"/>
  <c r="Y42" i="8"/>
  <c r="M42" i="8"/>
  <c r="AE39" i="8"/>
  <c r="S39" i="8"/>
  <c r="G39" i="8"/>
  <c r="Y38" i="8"/>
  <c r="M38" i="8"/>
  <c r="AE37" i="8"/>
  <c r="S37" i="8"/>
  <c r="G37" i="8"/>
  <c r="F37" i="8"/>
  <c r="L42" i="8"/>
  <c r="R37" i="8"/>
  <c r="AC49" i="8"/>
  <c r="Q49" i="8"/>
  <c r="E49" i="8"/>
  <c r="W48" i="8"/>
  <c r="K48" i="8"/>
  <c r="AC47" i="8"/>
  <c r="Q47" i="8"/>
  <c r="E47" i="8"/>
  <c r="W44" i="8"/>
  <c r="K44" i="8"/>
  <c r="AC43" i="8"/>
  <c r="Q43" i="8"/>
  <c r="E43" i="8"/>
  <c r="W42" i="8"/>
  <c r="K42" i="8"/>
  <c r="AC39" i="8"/>
  <c r="Q39" i="8"/>
  <c r="E39" i="8"/>
  <c r="W38" i="8"/>
  <c r="K38" i="8"/>
  <c r="AC37" i="8"/>
  <c r="Q37" i="8"/>
  <c r="E37" i="8"/>
  <c r="X42" i="8"/>
  <c r="AD37" i="8"/>
  <c r="AB49" i="8"/>
  <c r="P49" i="8"/>
  <c r="D49" i="8"/>
  <c r="V48" i="8"/>
  <c r="J48" i="8"/>
  <c r="AB47" i="8"/>
  <c r="P47" i="8"/>
  <c r="D47" i="8"/>
  <c r="V44" i="8"/>
  <c r="J44" i="8"/>
  <c r="AB43" i="8"/>
  <c r="P43" i="8"/>
  <c r="D43" i="8"/>
  <c r="V42" i="8"/>
  <c r="J42" i="8"/>
  <c r="AB39" i="8"/>
  <c r="P39" i="8"/>
  <c r="D39" i="8"/>
  <c r="V38" i="8"/>
  <c r="J38" i="8"/>
  <c r="AB37" i="8"/>
  <c r="P37" i="8"/>
  <c r="D37" i="8"/>
  <c r="C37" i="8"/>
  <c r="C39" i="8"/>
  <c r="C42" i="8"/>
  <c r="C43" i="8"/>
  <c r="C44" i="8"/>
  <c r="F30" i="4"/>
  <c r="K10" i="5"/>
  <c r="L10" i="5"/>
  <c r="J10" i="5"/>
  <c r="L126" i="7" l="1"/>
  <c r="D46" i="1"/>
  <c r="R4" i="1"/>
  <c r="AF5" i="1"/>
  <c r="AH5" i="1"/>
  <c r="AN5" i="1"/>
  <c r="AW5" i="1"/>
  <c r="AR5" i="1"/>
  <c r="AC5" i="1"/>
  <c r="AU5" i="1"/>
  <c r="AV5" i="1"/>
  <c r="AQ5" i="1"/>
  <c r="AG5" i="1"/>
  <c r="AB5" i="1"/>
  <c r="AD5" i="1"/>
  <c r="AM5" i="1"/>
  <c r="AS5" i="1"/>
  <c r="AI5" i="1"/>
  <c r="AT5" i="1"/>
  <c r="AL5" i="1"/>
  <c r="AO5" i="1"/>
  <c r="AE5" i="1"/>
  <c r="AK5" i="1"/>
  <c r="AP5" i="1"/>
  <c r="Z5" i="1"/>
  <c r="AJ5" i="1"/>
  <c r="AA5" i="1"/>
  <c r="R5" i="1"/>
  <c r="E21" i="19"/>
  <c r="F21" i="19" s="1"/>
  <c r="C21" i="19"/>
  <c r="D21" i="19" s="1"/>
  <c r="F29" i="4"/>
  <c r="G7" i="1"/>
  <c r="P7" i="1"/>
  <c r="O7" i="1"/>
  <c r="M7" i="1"/>
  <c r="N7" i="1"/>
  <c r="I64" i="8"/>
  <c r="Q64" i="8"/>
  <c r="P64" i="8"/>
  <c r="X64" i="8"/>
  <c r="AF64" i="8"/>
  <c r="AC64" i="8"/>
  <c r="AE64" i="8"/>
  <c r="AG64" i="8"/>
  <c r="H64" i="8"/>
  <c r="U64" i="8"/>
  <c r="W64" i="8"/>
  <c r="D64" i="8"/>
  <c r="M64" i="8"/>
  <c r="C64" i="8"/>
  <c r="O64" i="8"/>
  <c r="E64" i="8"/>
  <c r="AA64" i="8"/>
  <c r="Z64" i="8"/>
  <c r="V64" i="8"/>
  <c r="G64" i="8"/>
  <c r="AB64" i="8"/>
  <c r="S64" i="8"/>
  <c r="N64" i="8"/>
  <c r="T64" i="8"/>
  <c r="K64" i="8"/>
  <c r="J64" i="8"/>
  <c r="C54" i="8"/>
  <c r="R8" i="1"/>
  <c r="L47" i="7"/>
  <c r="S51" i="7"/>
  <c r="I51" i="7"/>
  <c r="F30" i="7"/>
  <c r="J33" i="7"/>
  <c r="Q37" i="7"/>
  <c r="J37" i="7"/>
  <c r="J26" i="5"/>
  <c r="L26" i="5"/>
  <c r="K26" i="5"/>
  <c r="AG7" i="1" l="1"/>
  <c r="AV7" i="1"/>
  <c r="AU7" i="1"/>
  <c r="AM7" i="1"/>
  <c r="AE7" i="1"/>
  <c r="AP7" i="1"/>
  <c r="AO7" i="1"/>
  <c r="AT7" i="1"/>
  <c r="AL7" i="1"/>
  <c r="AD7" i="1"/>
  <c r="AS7" i="1"/>
  <c r="AK7" i="1"/>
  <c r="AW7" i="1"/>
  <c r="AF7" i="1"/>
  <c r="AR7" i="1"/>
  <c r="AJ7" i="1"/>
  <c r="AH7" i="1"/>
  <c r="AQ7" i="1"/>
  <c r="AI7" i="1"/>
  <c r="AN7" i="1"/>
  <c r="Z7" i="1"/>
  <c r="AC7" i="1"/>
  <c r="AB7" i="1"/>
  <c r="AA7" i="1"/>
  <c r="U5" i="1"/>
  <c r="I5" i="1" s="1"/>
  <c r="T5" i="1"/>
  <c r="H5" i="1" s="1"/>
  <c r="F28" i="4"/>
  <c r="Q32" i="4"/>
  <c r="Y32" i="4"/>
  <c r="AG32" i="4"/>
  <c r="V32" i="4"/>
  <c r="R32" i="4"/>
  <c r="Z32" i="4"/>
  <c r="AH32" i="4"/>
  <c r="S32" i="4"/>
  <c r="AA32" i="4"/>
  <c r="AI32" i="4"/>
  <c r="N32" i="4"/>
  <c r="AD32" i="4"/>
  <c r="T32" i="4"/>
  <c r="AB32" i="4"/>
  <c r="AJ32" i="4"/>
  <c r="W32" i="4"/>
  <c r="AF32" i="4"/>
  <c r="M32" i="4"/>
  <c r="U32" i="4"/>
  <c r="AC32" i="4"/>
  <c r="O32" i="4"/>
  <c r="AE32" i="4"/>
  <c r="P32" i="4"/>
  <c r="X32" i="4"/>
  <c r="G10" i="1"/>
  <c r="Z10" i="1" s="1"/>
  <c r="P10" i="1"/>
  <c r="O10" i="1"/>
  <c r="M10" i="1"/>
  <c r="K48" i="7"/>
  <c r="K49" i="7" s="1"/>
  <c r="G48" i="7"/>
  <c r="G49" i="7" s="1"/>
  <c r="P38" i="7"/>
  <c r="P39" i="7" s="1"/>
  <c r="I34" i="7"/>
  <c r="I35" i="7" s="1"/>
  <c r="N10" i="1"/>
  <c r="H52" i="7"/>
  <c r="H53" i="7" s="1"/>
  <c r="R52" i="7"/>
  <c r="L52" i="7"/>
  <c r="L67" i="7" s="1"/>
  <c r="L68" i="7" s="1"/>
  <c r="H48" i="7"/>
  <c r="H49" i="7" s="1"/>
  <c r="F52" i="7"/>
  <c r="F53" i="7" s="1"/>
  <c r="I48" i="7"/>
  <c r="I49" i="7" s="1"/>
  <c r="M52" i="7"/>
  <c r="F48" i="7"/>
  <c r="F49" i="7" s="1"/>
  <c r="N52" i="7"/>
  <c r="Q52" i="7"/>
  <c r="O52" i="7"/>
  <c r="P52" i="7"/>
  <c r="J48" i="7"/>
  <c r="J49" i="7" s="1"/>
  <c r="G52" i="7"/>
  <c r="G53" i="7" s="1"/>
  <c r="D54" i="8"/>
  <c r="E54" i="8" s="1"/>
  <c r="F54" i="8" s="1"/>
  <c r="G54" i="8" s="1"/>
  <c r="H54" i="8" s="1"/>
  <c r="I54" i="8" s="1"/>
  <c r="J54" i="8" s="1"/>
  <c r="K54" i="8" s="1"/>
  <c r="L54" i="8" s="1"/>
  <c r="M54" i="8" s="1"/>
  <c r="N54" i="8" s="1"/>
  <c r="O54" i="8" s="1"/>
  <c r="P54" i="8" s="1"/>
  <c r="Q54" i="8" s="1"/>
  <c r="R54" i="8" s="1"/>
  <c r="S54" i="8" s="1"/>
  <c r="T54" i="8" s="1"/>
  <c r="U54" i="8" s="1"/>
  <c r="V54" i="8" s="1"/>
  <c r="W54" i="8" s="1"/>
  <c r="X54" i="8" s="1"/>
  <c r="Y54" i="8" s="1"/>
  <c r="Z54" i="8" s="1"/>
  <c r="AA54" i="8" s="1"/>
  <c r="AB54" i="8" s="1"/>
  <c r="AC54" i="8" s="1"/>
  <c r="AD54" i="8" s="1"/>
  <c r="AE54" i="8" s="1"/>
  <c r="AF54" i="8" s="1"/>
  <c r="AG54" i="8" s="1"/>
  <c r="F76" i="7"/>
  <c r="J51" i="7"/>
  <c r="I52" i="7"/>
  <c r="I53" i="7" s="1"/>
  <c r="S52" i="7"/>
  <c r="T51" i="7"/>
  <c r="M47" i="7"/>
  <c r="L48" i="7"/>
  <c r="F34" i="7"/>
  <c r="F35" i="7" s="1"/>
  <c r="G34" i="7"/>
  <c r="G35" i="7" s="1"/>
  <c r="L38" i="7"/>
  <c r="L39" i="7" s="1"/>
  <c r="M38" i="7"/>
  <c r="M39" i="7" s="1"/>
  <c r="F38" i="7"/>
  <c r="F39" i="7" s="1"/>
  <c r="O38" i="7"/>
  <c r="O39" i="7" s="1"/>
  <c r="H34" i="7"/>
  <c r="H35" i="7" s="1"/>
  <c r="H38" i="7"/>
  <c r="H39" i="7" s="1"/>
  <c r="N38" i="7"/>
  <c r="N39" i="7" s="1"/>
  <c r="G38" i="7"/>
  <c r="G39" i="7" s="1"/>
  <c r="I38" i="7"/>
  <c r="I39" i="7" s="1"/>
  <c r="J34" i="7"/>
  <c r="J35" i="7" s="1"/>
  <c r="K33" i="7"/>
  <c r="K37" i="7"/>
  <c r="K38" i="7" s="1"/>
  <c r="K39" i="7" s="1"/>
  <c r="J38" i="7"/>
  <c r="J39" i="7" s="1"/>
  <c r="R37" i="7"/>
  <c r="Q38" i="7"/>
  <c r="Q39" i="7" s="1"/>
  <c r="D10" i="2"/>
  <c r="Q10" i="2" s="1"/>
  <c r="J8" i="5"/>
  <c r="K8" i="5"/>
  <c r="L8" i="5"/>
  <c r="F45" i="7" l="1"/>
  <c r="L49" i="7"/>
  <c r="AR10" i="1"/>
  <c r="AJ10" i="1"/>
  <c r="AQ10" i="1"/>
  <c r="AI10" i="1"/>
  <c r="AD10" i="1"/>
  <c r="AS10" i="1"/>
  <c r="AP10" i="1"/>
  <c r="AH10" i="1"/>
  <c r="AW10" i="1"/>
  <c r="AO10" i="1"/>
  <c r="AG10" i="1"/>
  <c r="AL10" i="1"/>
  <c r="AV10" i="1"/>
  <c r="AN10" i="1"/>
  <c r="AF10" i="1"/>
  <c r="AK10" i="1"/>
  <c r="AU10" i="1"/>
  <c r="AM10" i="1"/>
  <c r="AE10" i="1"/>
  <c r="AT10" i="1"/>
  <c r="AC10" i="1"/>
  <c r="AA10" i="1"/>
  <c r="AB10" i="1"/>
  <c r="G63" i="2"/>
  <c r="Y23" i="1"/>
  <c r="U7" i="1"/>
  <c r="I7" i="1" s="1"/>
  <c r="T7" i="1"/>
  <c r="H7" i="1" s="1"/>
  <c r="P8" i="1"/>
  <c r="M8" i="1"/>
  <c r="O8" i="1"/>
  <c r="G8" i="1"/>
  <c r="L19" i="1"/>
  <c r="S67" i="7"/>
  <c r="S68" i="7" s="1"/>
  <c r="S64" i="7"/>
  <c r="S65" i="7" s="1"/>
  <c r="O67" i="7"/>
  <c r="O68" i="7" s="1"/>
  <c r="O64" i="7"/>
  <c r="O65" i="7" s="1"/>
  <c r="Q67" i="7"/>
  <c r="Q68" i="7" s="1"/>
  <c r="Q64" i="7"/>
  <c r="Q65" i="7" s="1"/>
  <c r="L64" i="7"/>
  <c r="L65" i="7" s="1"/>
  <c r="N67" i="7"/>
  <c r="N68" i="7" s="1"/>
  <c r="N64" i="7"/>
  <c r="N65" i="7" s="1"/>
  <c r="R53" i="7"/>
  <c r="R64" i="7"/>
  <c r="R65" i="7" s="1"/>
  <c r="R67" i="7"/>
  <c r="R68" i="7" s="1"/>
  <c r="P67" i="7"/>
  <c r="P68" i="7" s="1"/>
  <c r="P64" i="7"/>
  <c r="P65" i="7" s="1"/>
  <c r="M64" i="7"/>
  <c r="M65" i="7" s="1"/>
  <c r="M67" i="7"/>
  <c r="M68" i="7" s="1"/>
  <c r="J78" i="7"/>
  <c r="J79" i="7" s="1"/>
  <c r="J80" i="7" s="1"/>
  <c r="R78" i="7"/>
  <c r="R79" i="7" s="1"/>
  <c r="R80" i="7" s="1"/>
  <c r="Z78" i="7"/>
  <c r="Z79" i="7" s="1"/>
  <c r="Z80" i="7" s="1"/>
  <c r="AH78" i="7"/>
  <c r="AH79" i="7" s="1"/>
  <c r="AH80" i="7" s="1"/>
  <c r="G78" i="7"/>
  <c r="G79" i="7" s="1"/>
  <c r="AE78" i="7"/>
  <c r="AE79" i="7" s="1"/>
  <c r="AE80" i="7" s="1"/>
  <c r="K78" i="7"/>
  <c r="K79" i="7" s="1"/>
  <c r="K80" i="7" s="1"/>
  <c r="S78" i="7"/>
  <c r="S79" i="7" s="1"/>
  <c r="S80" i="7" s="1"/>
  <c r="AA78" i="7"/>
  <c r="AA79" i="7" s="1"/>
  <c r="AA80" i="7" s="1"/>
  <c r="AI78" i="7"/>
  <c r="AI79" i="7" s="1"/>
  <c r="AI80" i="7" s="1"/>
  <c r="L78" i="7"/>
  <c r="L79" i="7" s="1"/>
  <c r="T78" i="7"/>
  <c r="T79" i="7" s="1"/>
  <c r="T80" i="7" s="1"/>
  <c r="AB78" i="7"/>
  <c r="AB79" i="7" s="1"/>
  <c r="AB80" i="7" s="1"/>
  <c r="AJ78" i="7"/>
  <c r="AJ79" i="7" s="1"/>
  <c r="AJ80" i="7" s="1"/>
  <c r="M78" i="7"/>
  <c r="M79" i="7" s="1"/>
  <c r="M80" i="7" s="1"/>
  <c r="U78" i="7"/>
  <c r="U79" i="7" s="1"/>
  <c r="U80" i="7" s="1"/>
  <c r="AC78" i="7"/>
  <c r="AC79" i="7" s="1"/>
  <c r="AC80" i="7" s="1"/>
  <c r="O78" i="7"/>
  <c r="O79" i="7" s="1"/>
  <c r="O80" i="7" s="1"/>
  <c r="N78" i="7"/>
  <c r="N79" i="7" s="1"/>
  <c r="N80" i="7" s="1"/>
  <c r="V78" i="7"/>
  <c r="V79" i="7" s="1"/>
  <c r="V80" i="7" s="1"/>
  <c r="AD78" i="7"/>
  <c r="AD79" i="7" s="1"/>
  <c r="AD80" i="7" s="1"/>
  <c r="W78" i="7"/>
  <c r="W79" i="7" s="1"/>
  <c r="W80" i="7" s="1"/>
  <c r="H78" i="7"/>
  <c r="H79" i="7" s="1"/>
  <c r="P78" i="7"/>
  <c r="P79" i="7" s="1"/>
  <c r="P80" i="7" s="1"/>
  <c r="X78" i="7"/>
  <c r="X79" i="7" s="1"/>
  <c r="X80" i="7" s="1"/>
  <c r="AF78" i="7"/>
  <c r="AF79" i="7" s="1"/>
  <c r="AF80" i="7" s="1"/>
  <c r="F78" i="7"/>
  <c r="F79" i="7" s="1"/>
  <c r="I78" i="7"/>
  <c r="I79" i="7" s="1"/>
  <c r="I80" i="7" s="1"/>
  <c r="Q78" i="7"/>
  <c r="Q79" i="7" s="1"/>
  <c r="Q80" i="7" s="1"/>
  <c r="Y78" i="7"/>
  <c r="Y79" i="7" s="1"/>
  <c r="Y80" i="7" s="1"/>
  <c r="AG78" i="7"/>
  <c r="AG79" i="7" s="1"/>
  <c r="AG80" i="7" s="1"/>
  <c r="Q38" i="2"/>
  <c r="M53" i="7"/>
  <c r="N53" i="7"/>
  <c r="P53" i="7"/>
  <c r="O53" i="7"/>
  <c r="Q53" i="7"/>
  <c r="L53" i="7"/>
  <c r="L55" i="7" s="1"/>
  <c r="O87" i="2"/>
  <c r="Q87" i="2"/>
  <c r="M87" i="2"/>
  <c r="P87" i="2"/>
  <c r="N87" i="2"/>
  <c r="R10" i="2"/>
  <c r="K147" i="7"/>
  <c r="S53" i="7"/>
  <c r="M48" i="7"/>
  <c r="M49" i="7" s="1"/>
  <c r="N47" i="7"/>
  <c r="T52" i="7"/>
  <c r="U51" i="7"/>
  <c r="K51" i="7"/>
  <c r="K52" i="7" s="1"/>
  <c r="J52" i="7"/>
  <c r="J53" i="7" s="1"/>
  <c r="S37" i="7"/>
  <c r="R38" i="7"/>
  <c r="R39" i="7" s="1"/>
  <c r="L33" i="7"/>
  <c r="L34" i="7" s="1"/>
  <c r="F31" i="7" s="1"/>
  <c r="D49" i="1" s="1"/>
  <c r="K34" i="7"/>
  <c r="K35" i="7" s="1"/>
  <c r="K97" i="7" s="1"/>
  <c r="M82" i="2"/>
  <c r="K6" i="5"/>
  <c r="Y24" i="1" l="1"/>
  <c r="T10" i="1"/>
  <c r="H10" i="1" s="1"/>
  <c r="AQ8" i="1"/>
  <c r="AI8" i="1"/>
  <c r="AP8" i="1"/>
  <c r="AH8" i="1"/>
  <c r="AJ8" i="1"/>
  <c r="AW8" i="1"/>
  <c r="AO8" i="1"/>
  <c r="AG8" i="1"/>
  <c r="AT8" i="1"/>
  <c r="AD8" i="1"/>
  <c r="AV8" i="1"/>
  <c r="AN8" i="1"/>
  <c r="AF8" i="1"/>
  <c r="AK8" i="1"/>
  <c r="AR8" i="1"/>
  <c r="AU8" i="1"/>
  <c r="AM8" i="1"/>
  <c r="AE8" i="1"/>
  <c r="AL8" i="1"/>
  <c r="AS8" i="1"/>
  <c r="AB8" i="1"/>
  <c r="AA8" i="1"/>
  <c r="Z8" i="1"/>
  <c r="AC8" i="1"/>
  <c r="C19" i="19"/>
  <c r="D19" i="19" s="1"/>
  <c r="U10" i="1"/>
  <c r="I10" i="1" s="1"/>
  <c r="L83" i="7"/>
  <c r="L84" i="7" s="1"/>
  <c r="L80" i="7"/>
  <c r="H16" i="4"/>
  <c r="G16" i="4"/>
  <c r="F16" i="4"/>
  <c r="K25" i="7"/>
  <c r="H23" i="4"/>
  <c r="G23" i="4"/>
  <c r="F23" i="4"/>
  <c r="L109" i="7"/>
  <c r="G32" i="4"/>
  <c r="H32" i="4"/>
  <c r="F32" i="4"/>
  <c r="F39" i="4"/>
  <c r="G39" i="4"/>
  <c r="H39" i="4"/>
  <c r="K19" i="1"/>
  <c r="Q19" i="1" s="1"/>
  <c r="R19" i="1" s="1"/>
  <c r="T64" i="7"/>
  <c r="T65" i="7" s="1"/>
  <c r="T67" i="7"/>
  <c r="T68" i="7" s="1"/>
  <c r="K67" i="7"/>
  <c r="K68" i="7" s="1"/>
  <c r="K64" i="7"/>
  <c r="K65" i="7" s="1"/>
  <c r="U83" i="7"/>
  <c r="U84" i="7" s="1"/>
  <c r="AG83" i="7"/>
  <c r="AG84" i="7" s="1"/>
  <c r="M83" i="7"/>
  <c r="M84" i="7" s="1"/>
  <c r="K83" i="7"/>
  <c r="K84" i="7" s="1"/>
  <c r="Y83" i="7"/>
  <c r="Y84" i="7" s="1"/>
  <c r="W83" i="7"/>
  <c r="W84" i="7" s="1"/>
  <c r="AJ83" i="7"/>
  <c r="AJ84" i="7" s="1"/>
  <c r="AE83" i="7"/>
  <c r="AE84" i="7" s="1"/>
  <c r="S83" i="7"/>
  <c r="S84" i="7" s="1"/>
  <c r="Q83" i="7"/>
  <c r="Q84" i="7" s="1"/>
  <c r="AD83" i="7"/>
  <c r="AD84" i="7" s="1"/>
  <c r="AB83" i="7"/>
  <c r="AB84" i="7" s="1"/>
  <c r="N83" i="7"/>
  <c r="N84" i="7" s="1"/>
  <c r="Z83" i="7"/>
  <c r="Z84" i="7" s="1"/>
  <c r="T83" i="7"/>
  <c r="T84" i="7" s="1"/>
  <c r="AF83" i="7"/>
  <c r="AF84" i="7" s="1"/>
  <c r="O83" i="7"/>
  <c r="O84" i="7" s="1"/>
  <c r="AI83" i="7"/>
  <c r="AI84" i="7" s="1"/>
  <c r="R83" i="7"/>
  <c r="R84" i="7" s="1"/>
  <c r="P83" i="7"/>
  <c r="P84" i="7" s="1"/>
  <c r="V83" i="7"/>
  <c r="V84" i="7" s="1"/>
  <c r="AH83" i="7"/>
  <c r="AH84" i="7" s="1"/>
  <c r="X83" i="7"/>
  <c r="X84" i="7" s="1"/>
  <c r="AC83" i="7"/>
  <c r="AC84" i="7" s="1"/>
  <c r="AA83" i="7"/>
  <c r="AA84" i="7" s="1"/>
  <c r="J83" i="7"/>
  <c r="J84" i="7" s="1"/>
  <c r="R51" i="2"/>
  <c r="R63" i="2" s="1"/>
  <c r="O82" i="2"/>
  <c r="P82" i="2"/>
  <c r="R82" i="2"/>
  <c r="Q82" i="2"/>
  <c r="N82" i="2"/>
  <c r="P70" i="7"/>
  <c r="Q51" i="2"/>
  <c r="Q63" i="2" s="1"/>
  <c r="R87" i="2"/>
  <c r="M70" i="7"/>
  <c r="O70" i="7"/>
  <c r="N70" i="7"/>
  <c r="M55" i="7"/>
  <c r="L70" i="7"/>
  <c r="G87" i="2"/>
  <c r="S10" i="2"/>
  <c r="L147" i="7"/>
  <c r="K53" i="7"/>
  <c r="K55" i="7" s="1"/>
  <c r="T53" i="7"/>
  <c r="Q70" i="7"/>
  <c r="V51" i="7"/>
  <c r="U52" i="7"/>
  <c r="N48" i="7"/>
  <c r="N49" i="7" s="1"/>
  <c r="N55" i="7" s="1"/>
  <c r="O47" i="7"/>
  <c r="T37" i="7"/>
  <c r="S38" i="7"/>
  <c r="S39" i="7" s="1"/>
  <c r="M33" i="7"/>
  <c r="L35" i="7"/>
  <c r="L97" i="7" s="1"/>
  <c r="K22" i="5"/>
  <c r="K5" i="5"/>
  <c r="K7" i="5"/>
  <c r="C18" i="19" l="1"/>
  <c r="D18" i="19" s="1"/>
  <c r="U8" i="1"/>
  <c r="T8" i="1"/>
  <c r="M109" i="7"/>
  <c r="S19" i="1"/>
  <c r="D56" i="1" s="1"/>
  <c r="O6" i="1"/>
  <c r="O17" i="1"/>
  <c r="M6" i="1"/>
  <c r="M17" i="1"/>
  <c r="U64" i="7"/>
  <c r="U65" i="7" s="1"/>
  <c r="U67" i="7"/>
  <c r="U68" i="7" s="1"/>
  <c r="S38" i="2"/>
  <c r="R38" i="2"/>
  <c r="K86" i="7"/>
  <c r="S87" i="2"/>
  <c r="G82" i="2"/>
  <c r="T10" i="2"/>
  <c r="S82" i="2"/>
  <c r="M147" i="7"/>
  <c r="K70" i="7"/>
  <c r="U53" i="7"/>
  <c r="R70" i="7"/>
  <c r="O48" i="7"/>
  <c r="O49" i="7" s="1"/>
  <c r="O55" i="7" s="1"/>
  <c r="P47" i="7"/>
  <c r="W51" i="7"/>
  <c r="V52" i="7"/>
  <c r="N33" i="7"/>
  <c r="M34" i="7"/>
  <c r="M35" i="7" s="1"/>
  <c r="M97" i="7" s="1"/>
  <c r="U37" i="7"/>
  <c r="T38" i="7"/>
  <c r="T39" i="7" s="1"/>
  <c r="K21" i="5"/>
  <c r="M25" i="7" l="1"/>
  <c r="N109" i="7"/>
  <c r="L98" i="2"/>
  <c r="M98" i="2"/>
  <c r="O16" i="1"/>
  <c r="M16" i="1"/>
  <c r="V67" i="7"/>
  <c r="V68" i="7" s="1"/>
  <c r="V64" i="7"/>
  <c r="V65" i="7" s="1"/>
  <c r="K92" i="7"/>
  <c r="L86" i="7"/>
  <c r="L92" i="7" s="1"/>
  <c r="S51" i="2"/>
  <c r="S63" i="2" s="1"/>
  <c r="T38" i="2"/>
  <c r="T51" i="2"/>
  <c r="T63" i="2" s="1"/>
  <c r="T87" i="2"/>
  <c r="U10" i="2"/>
  <c r="T82" i="2"/>
  <c r="N147" i="7"/>
  <c r="G70" i="7"/>
  <c r="V53" i="7"/>
  <c r="S70" i="7"/>
  <c r="M86" i="7"/>
  <c r="X51" i="7"/>
  <c r="W52" i="7"/>
  <c r="P48" i="7"/>
  <c r="P49" i="7" s="1"/>
  <c r="P55" i="7" s="1"/>
  <c r="Q47" i="7"/>
  <c r="V37" i="7"/>
  <c r="U38" i="7"/>
  <c r="U39" i="7" s="1"/>
  <c r="O33" i="7"/>
  <c r="N34" i="7"/>
  <c r="N35" i="7" s="1"/>
  <c r="N97" i="7" s="1"/>
  <c r="K20" i="5"/>
  <c r="K3" i="5"/>
  <c r="J15" i="5"/>
  <c r="K15" i="5"/>
  <c r="K28" i="5"/>
  <c r="J3" i="5"/>
  <c r="J28" i="5"/>
  <c r="L15" i="5"/>
  <c r="J12" i="5"/>
  <c r="L3" i="5"/>
  <c r="L12" i="5"/>
  <c r="K12" i="5"/>
  <c r="Y31" i="1" l="1"/>
  <c r="X31" i="1"/>
  <c r="C17" i="19"/>
  <c r="D17" i="19" s="1"/>
  <c r="E17" i="19"/>
  <c r="F17" i="19" s="1"/>
  <c r="C13" i="19"/>
  <c r="D13" i="19" s="1"/>
  <c r="E9" i="19"/>
  <c r="F9" i="19" s="1"/>
  <c r="C9" i="19"/>
  <c r="D9" i="19" s="1"/>
  <c r="N25" i="7"/>
  <c r="O19" i="1"/>
  <c r="M19" i="1"/>
  <c r="G19" i="1"/>
  <c r="O109" i="7"/>
  <c r="M11" i="1"/>
  <c r="O11" i="1"/>
  <c r="G11" i="1"/>
  <c r="P11" i="1"/>
  <c r="N11" i="1"/>
  <c r="N4" i="1"/>
  <c r="P4" i="1"/>
  <c r="M4" i="1"/>
  <c r="O4" i="1"/>
  <c r="G4" i="1"/>
  <c r="N98" i="2"/>
  <c r="O14" i="1"/>
  <c r="M14" i="1"/>
  <c r="W67" i="7"/>
  <c r="W68" i="7" s="1"/>
  <c r="W64" i="7"/>
  <c r="W65" i="7" s="1"/>
  <c r="U38" i="2"/>
  <c r="U51" i="2"/>
  <c r="U63" i="2" s="1"/>
  <c r="U87" i="2"/>
  <c r="V10" i="2"/>
  <c r="U82" i="2"/>
  <c r="O147" i="7"/>
  <c r="M92" i="7"/>
  <c r="G55" i="7"/>
  <c r="W53" i="7"/>
  <c r="T70" i="7"/>
  <c r="N86" i="7"/>
  <c r="N92" i="7" s="1"/>
  <c r="R47" i="7"/>
  <c r="Q48" i="7"/>
  <c r="Q49" i="7" s="1"/>
  <c r="Q55" i="7" s="1"/>
  <c r="Y51" i="7"/>
  <c r="X52" i="7"/>
  <c r="P33" i="7"/>
  <c r="O34" i="7"/>
  <c r="O35" i="7" s="1"/>
  <c r="O97" i="7" s="1"/>
  <c r="V38" i="7"/>
  <c r="V39" i="7" s="1"/>
  <c r="W37" i="7"/>
  <c r="K18" i="5"/>
  <c r="L28" i="5"/>
  <c r="X32" i="1" l="1"/>
  <c r="Y32" i="1" s="1"/>
  <c r="AG11" i="1"/>
  <c r="AV11" i="1"/>
  <c r="AN11" i="1"/>
  <c r="AF11" i="1"/>
  <c r="AU11" i="1"/>
  <c r="AM11" i="1"/>
  <c r="AE11" i="1"/>
  <c r="AT11" i="1"/>
  <c r="AL11" i="1"/>
  <c r="AD11" i="1"/>
  <c r="AH11" i="1"/>
  <c r="AO11" i="1"/>
  <c r="AS11" i="1"/>
  <c r="AK11" i="1"/>
  <c r="AR11" i="1"/>
  <c r="AJ11" i="1"/>
  <c r="AP11" i="1"/>
  <c r="AQ11" i="1"/>
  <c r="AI11" i="1"/>
  <c r="AW11" i="1"/>
  <c r="AK4" i="1"/>
  <c r="AQ4" i="1"/>
  <c r="AI4" i="1"/>
  <c r="AT4" i="1"/>
  <c r="AP4" i="1"/>
  <c r="AH4" i="1"/>
  <c r="AS4" i="1"/>
  <c r="AW4" i="1"/>
  <c r="AO4" i="1"/>
  <c r="AG4" i="1"/>
  <c r="AD4" i="1"/>
  <c r="AJ4" i="1"/>
  <c r="AV4" i="1"/>
  <c r="AN4" i="1"/>
  <c r="AF4" i="1"/>
  <c r="AL4" i="1"/>
  <c r="AU4" i="1"/>
  <c r="AM4" i="1"/>
  <c r="AE4" i="1"/>
  <c r="AR4" i="1"/>
  <c r="AW19" i="1"/>
  <c r="AO19" i="1"/>
  <c r="AG19" i="1"/>
  <c r="AV19" i="1"/>
  <c r="AN19" i="1"/>
  <c r="AF19" i="1"/>
  <c r="AU19" i="1"/>
  <c r="AM19" i="1"/>
  <c r="AE19" i="1"/>
  <c r="AT19" i="1"/>
  <c r="AL19" i="1"/>
  <c r="AD19" i="1"/>
  <c r="AH19" i="1"/>
  <c r="AS19" i="1"/>
  <c r="AK19" i="1"/>
  <c r="AR19" i="1"/>
  <c r="AJ19" i="1"/>
  <c r="AQ19" i="1"/>
  <c r="AI19" i="1"/>
  <c r="AP19" i="1"/>
  <c r="Z11" i="1"/>
  <c r="AA11" i="1"/>
  <c r="AC11" i="1"/>
  <c r="AB11" i="1"/>
  <c r="AC4" i="1"/>
  <c r="AA4" i="1"/>
  <c r="AB4" i="1"/>
  <c r="Z4" i="1"/>
  <c r="Z19" i="1"/>
  <c r="AC19" i="1"/>
  <c r="AB19" i="1"/>
  <c r="AA19" i="1"/>
  <c r="E13" i="19"/>
  <c r="F13" i="19" s="1"/>
  <c r="N19" i="1"/>
  <c r="P19" i="1"/>
  <c r="O25" i="7"/>
  <c r="P109" i="7"/>
  <c r="O98" i="2"/>
  <c r="X67" i="7"/>
  <c r="X68" i="7" s="1"/>
  <c r="X64" i="7"/>
  <c r="X65" i="7" s="1"/>
  <c r="V38" i="2"/>
  <c r="V51" i="2"/>
  <c r="V63" i="2" s="1"/>
  <c r="V87" i="2"/>
  <c r="W10" i="2"/>
  <c r="V82" i="2"/>
  <c r="P147" i="7"/>
  <c r="X53" i="7"/>
  <c r="O86" i="7"/>
  <c r="U70" i="7"/>
  <c r="Z51" i="7"/>
  <c r="Y52" i="7"/>
  <c r="S47" i="7"/>
  <c r="R48" i="7"/>
  <c r="R49" i="7" s="1"/>
  <c r="R55" i="7" s="1"/>
  <c r="W38" i="7"/>
  <c r="W39" i="7" s="1"/>
  <c r="X37" i="7"/>
  <c r="Q33" i="7"/>
  <c r="P34" i="7"/>
  <c r="P35" i="7" s="1"/>
  <c r="G147" i="7" l="1"/>
  <c r="G109" i="7"/>
  <c r="U11" i="1"/>
  <c r="I11" i="1" s="1"/>
  <c r="U19" i="1"/>
  <c r="I19" i="1" s="1"/>
  <c r="T19" i="1"/>
  <c r="H19" i="1" s="1"/>
  <c r="T11" i="1"/>
  <c r="H11" i="1" s="1"/>
  <c r="U4" i="1"/>
  <c r="I4" i="1" s="1"/>
  <c r="T4" i="1"/>
  <c r="P97" i="7"/>
  <c r="P25" i="7"/>
  <c r="Q109" i="7"/>
  <c r="P98" i="2"/>
  <c r="Y67" i="7"/>
  <c r="Y68" i="7" s="1"/>
  <c r="Y64" i="7"/>
  <c r="Y65" i="7" s="1"/>
  <c r="G126" i="7"/>
  <c r="W38" i="2"/>
  <c r="W51" i="2"/>
  <c r="W63" i="2" s="1"/>
  <c r="W87" i="2"/>
  <c r="X10" i="2"/>
  <c r="W82" i="2"/>
  <c r="Q147" i="7"/>
  <c r="O92" i="7"/>
  <c r="P86" i="7"/>
  <c r="Y53" i="7"/>
  <c r="V70" i="7"/>
  <c r="T47" i="7"/>
  <c r="S48" i="7"/>
  <c r="S49" i="7" s="1"/>
  <c r="S55" i="7" s="1"/>
  <c r="AA51" i="7"/>
  <c r="Z52" i="7"/>
  <c r="R33" i="7"/>
  <c r="Q34" i="7"/>
  <c r="Q35" i="7" s="1"/>
  <c r="Q97" i="7" s="1"/>
  <c r="X38" i="7"/>
  <c r="X39" i="7" s="1"/>
  <c r="Y37" i="7"/>
  <c r="K24" i="5"/>
  <c r="K27" i="5"/>
  <c r="K14" i="5"/>
  <c r="K25" i="5"/>
  <c r="C11" i="19" l="1"/>
  <c r="D11" i="19" s="1"/>
  <c r="G25" i="7"/>
  <c r="C12" i="19"/>
  <c r="D12" i="19" s="1"/>
  <c r="G97" i="7"/>
  <c r="G98" i="2"/>
  <c r="H4" i="1"/>
  <c r="Q25" i="7"/>
  <c r="M18" i="1"/>
  <c r="O18" i="1"/>
  <c r="R109" i="7"/>
  <c r="Q98" i="2"/>
  <c r="O9" i="1"/>
  <c r="M9" i="1"/>
  <c r="Z64" i="7"/>
  <c r="Z65" i="7" s="1"/>
  <c r="Z67" i="7"/>
  <c r="Z68" i="7" s="1"/>
  <c r="G86" i="7"/>
  <c r="X38" i="2"/>
  <c r="X51" i="2"/>
  <c r="X63" i="2" s="1"/>
  <c r="X87" i="2"/>
  <c r="Y10" i="2"/>
  <c r="X82" i="2"/>
  <c r="H8" i="1"/>
  <c r="R147" i="7"/>
  <c r="P92" i="7"/>
  <c r="Z53" i="7"/>
  <c r="Q86" i="7"/>
  <c r="Q92" i="7" s="1"/>
  <c r="W70" i="7"/>
  <c r="AB51" i="7"/>
  <c r="AA52" i="7"/>
  <c r="U47" i="7"/>
  <c r="T48" i="7"/>
  <c r="T49" i="7" s="1"/>
  <c r="T55" i="7" s="1"/>
  <c r="Y38" i="7"/>
  <c r="Y39" i="7" s="1"/>
  <c r="Z37" i="7"/>
  <c r="S33" i="7"/>
  <c r="R34" i="7"/>
  <c r="R35" i="7" s="1"/>
  <c r="R97" i="7" s="1"/>
  <c r="K19" i="5"/>
  <c r="K23" i="5"/>
  <c r="K16" i="5"/>
  <c r="K13" i="5"/>
  <c r="C10" i="19" l="1"/>
  <c r="D10" i="19" s="1"/>
  <c r="M12" i="1"/>
  <c r="O12" i="1"/>
  <c r="C15" i="19"/>
  <c r="D15" i="19" s="1"/>
  <c r="G92" i="7"/>
  <c r="M15" i="1"/>
  <c r="O15" i="1"/>
  <c r="R25" i="7"/>
  <c r="S109" i="7"/>
  <c r="R98" i="2"/>
  <c r="O13" i="1"/>
  <c r="M13" i="1"/>
  <c r="AA64" i="7"/>
  <c r="AA65" i="7" s="1"/>
  <c r="AA67" i="7"/>
  <c r="AA68" i="7" s="1"/>
  <c r="Y38" i="2"/>
  <c r="Y51" i="2"/>
  <c r="Y63" i="2" s="1"/>
  <c r="Y87" i="2"/>
  <c r="Z10" i="2"/>
  <c r="Y82" i="2"/>
  <c r="S147" i="7"/>
  <c r="AA53" i="7"/>
  <c r="R86" i="7"/>
  <c r="R92" i="7" s="1"/>
  <c r="X70" i="7"/>
  <c r="V47" i="7"/>
  <c r="U48" i="7"/>
  <c r="U49" i="7" s="1"/>
  <c r="U55" i="7" s="1"/>
  <c r="AC51" i="7"/>
  <c r="AB52" i="7"/>
  <c r="S34" i="7"/>
  <c r="S35" i="7" s="1"/>
  <c r="S97" i="7" s="1"/>
  <c r="T33" i="7"/>
  <c r="Z38" i="7"/>
  <c r="Z39" i="7" s="1"/>
  <c r="AA37" i="7"/>
  <c r="K17" i="5"/>
  <c r="C14" i="19" l="1"/>
  <c r="D14" i="19" s="1"/>
  <c r="S25" i="7"/>
  <c r="T109" i="7"/>
  <c r="S98" i="2"/>
  <c r="AB64" i="7"/>
  <c r="AB65" i="7" s="1"/>
  <c r="AB67" i="7"/>
  <c r="AB68" i="7" s="1"/>
  <c r="Z38" i="2"/>
  <c r="Z51" i="2"/>
  <c r="Z63" i="2" s="1"/>
  <c r="Z87" i="2"/>
  <c r="AA10" i="2"/>
  <c r="Z82" i="2"/>
  <c r="T147" i="7"/>
  <c r="AB53" i="7"/>
  <c r="Y70" i="7"/>
  <c r="S86" i="7"/>
  <c r="S92" i="7" s="1"/>
  <c r="AC52" i="7"/>
  <c r="AD51" i="7"/>
  <c r="W47" i="7"/>
  <c r="V48" i="7"/>
  <c r="V49" i="7" s="1"/>
  <c r="V55" i="7" s="1"/>
  <c r="AB37" i="7"/>
  <c r="AA38" i="7"/>
  <c r="AA39" i="7" s="1"/>
  <c r="T34" i="7"/>
  <c r="T35" i="7" s="1"/>
  <c r="T97" i="7" s="1"/>
  <c r="U33" i="7"/>
  <c r="T25" i="7" l="1"/>
  <c r="U109" i="7"/>
  <c r="T98" i="2"/>
  <c r="AC64" i="7"/>
  <c r="AC65" i="7" s="1"/>
  <c r="AC67" i="7"/>
  <c r="AC68" i="7" s="1"/>
  <c r="AA38" i="2"/>
  <c r="AA51" i="2"/>
  <c r="AA63" i="2" s="1"/>
  <c r="AA87" i="2"/>
  <c r="AB10" i="2"/>
  <c r="AA82" i="2"/>
  <c r="U147" i="7"/>
  <c r="AC53" i="7"/>
  <c r="T86" i="7"/>
  <c r="T92" i="7" s="1"/>
  <c r="Z70" i="7"/>
  <c r="AD52" i="7"/>
  <c r="AE51" i="7"/>
  <c r="X47" i="7"/>
  <c r="W48" i="7"/>
  <c r="W49" i="7" s="1"/>
  <c r="W55" i="7" s="1"/>
  <c r="U34" i="7"/>
  <c r="U35" i="7" s="1"/>
  <c r="U97" i="7" s="1"/>
  <c r="V33" i="7"/>
  <c r="AB38" i="7"/>
  <c r="AB39" i="7" s="1"/>
  <c r="AC37" i="7"/>
  <c r="U25" i="7" l="1"/>
  <c r="V109" i="7"/>
  <c r="U98" i="2"/>
  <c r="AD67" i="7"/>
  <c r="AD68" i="7" s="1"/>
  <c r="AD64" i="7"/>
  <c r="AD65" i="7" s="1"/>
  <c r="AB38" i="2"/>
  <c r="AB51" i="2"/>
  <c r="AB63" i="2" s="1"/>
  <c r="AB87" i="2"/>
  <c r="AC10" i="2"/>
  <c r="AB82" i="2"/>
  <c r="V147" i="7"/>
  <c r="AD53" i="7"/>
  <c r="U86" i="7"/>
  <c r="U92" i="7" s="1"/>
  <c r="AA70" i="7"/>
  <c r="Y47" i="7"/>
  <c r="X48" i="7"/>
  <c r="X49" i="7" s="1"/>
  <c r="X55" i="7" s="1"/>
  <c r="AE52" i="7"/>
  <c r="AF51" i="7"/>
  <c r="AD37" i="7"/>
  <c r="AC38" i="7"/>
  <c r="AC39" i="7" s="1"/>
  <c r="V34" i="7"/>
  <c r="V35" i="7" s="1"/>
  <c r="V97" i="7" s="1"/>
  <c r="W33" i="7"/>
  <c r="V25" i="7" l="1"/>
  <c r="W109" i="7"/>
  <c r="V98" i="2"/>
  <c r="AE64" i="7"/>
  <c r="AE65" i="7" s="1"/>
  <c r="AE67" i="7"/>
  <c r="AE68" i="7" s="1"/>
  <c r="AC38" i="2"/>
  <c r="AC51" i="2"/>
  <c r="AC63" i="2" s="1"/>
  <c r="AC87" i="2"/>
  <c r="AD10" i="2"/>
  <c r="AC82" i="2"/>
  <c r="W147" i="7"/>
  <c r="AE53" i="7"/>
  <c r="V86" i="7"/>
  <c r="V92" i="7" s="1"/>
  <c r="AB70" i="7"/>
  <c r="AF52" i="7"/>
  <c r="AG51" i="7"/>
  <c r="Y48" i="7"/>
  <c r="Y49" i="7" s="1"/>
  <c r="Y55" i="7" s="1"/>
  <c r="Z47" i="7"/>
  <c r="X33" i="7"/>
  <c r="W34" i="7"/>
  <c r="W35" i="7" s="1"/>
  <c r="W97" i="7" s="1"/>
  <c r="AE37" i="7"/>
  <c r="AD38" i="7"/>
  <c r="AD39" i="7" s="1"/>
  <c r="W25" i="7" l="1"/>
  <c r="X109" i="7"/>
  <c r="W98" i="2"/>
  <c r="AF67" i="7"/>
  <c r="AF68" i="7" s="1"/>
  <c r="AF64" i="7"/>
  <c r="AF65" i="7" s="1"/>
  <c r="AD38" i="2"/>
  <c r="AD51" i="2"/>
  <c r="AD63" i="2" s="1"/>
  <c r="AD87" i="2"/>
  <c r="AE10" i="2"/>
  <c r="AD82" i="2"/>
  <c r="X147" i="7"/>
  <c r="AF53" i="7"/>
  <c r="AC70" i="7"/>
  <c r="W86" i="7"/>
  <c r="W92" i="7" s="1"/>
  <c r="Z48" i="7"/>
  <c r="Z49" i="7" s="1"/>
  <c r="Z55" i="7" s="1"/>
  <c r="AA47" i="7"/>
  <c r="AH51" i="7"/>
  <c r="AG52" i="7"/>
  <c r="AF37" i="7"/>
  <c r="AE38" i="7"/>
  <c r="AE39" i="7" s="1"/>
  <c r="Y33" i="7"/>
  <c r="X34" i="7"/>
  <c r="X35" i="7" s="1"/>
  <c r="X97" i="7" s="1"/>
  <c r="X25" i="7" l="1"/>
  <c r="Y109" i="7"/>
  <c r="X98" i="2"/>
  <c r="AG67" i="7"/>
  <c r="AG68" i="7" s="1"/>
  <c r="AG64" i="7"/>
  <c r="AG65" i="7" s="1"/>
  <c r="AE38" i="2"/>
  <c r="AE51" i="2"/>
  <c r="AE63" i="2" s="1"/>
  <c r="AE87" i="2"/>
  <c r="AF10" i="2"/>
  <c r="AE82" i="2"/>
  <c r="Y147" i="7"/>
  <c r="AG53" i="7"/>
  <c r="X86" i="7"/>
  <c r="X92" i="7" s="1"/>
  <c r="AD70" i="7"/>
  <c r="AI51" i="7"/>
  <c r="AH52" i="7"/>
  <c r="AA48" i="7"/>
  <c r="AA49" i="7" s="1"/>
  <c r="AA55" i="7" s="1"/>
  <c r="AB47" i="7"/>
  <c r="Z33" i="7"/>
  <c r="Y34" i="7"/>
  <c r="Y35" i="7" s="1"/>
  <c r="Y97" i="7" s="1"/>
  <c r="AG37" i="7"/>
  <c r="AF38" i="7"/>
  <c r="AF39" i="7" s="1"/>
  <c r="Y25" i="7" l="1"/>
  <c r="Z109" i="7"/>
  <c r="Y98" i="2"/>
  <c r="AH64" i="7"/>
  <c r="AH65" i="7" s="1"/>
  <c r="AH67" i="7"/>
  <c r="AH68" i="7" s="1"/>
  <c r="AF38" i="2"/>
  <c r="AF51" i="2"/>
  <c r="AF63" i="2" s="1"/>
  <c r="AF87" i="2"/>
  <c r="AG10" i="2"/>
  <c r="AF82" i="2"/>
  <c r="Z147" i="7"/>
  <c r="AH53" i="7"/>
  <c r="AE70" i="7"/>
  <c r="Y86" i="7"/>
  <c r="Y92" i="7" s="1"/>
  <c r="AB48" i="7"/>
  <c r="AB49" i="7" s="1"/>
  <c r="AB55" i="7" s="1"/>
  <c r="AC47" i="7"/>
  <c r="AJ51" i="7"/>
  <c r="AJ52" i="7" s="1"/>
  <c r="AI52" i="7"/>
  <c r="AG38" i="7"/>
  <c r="AG39" i="7" s="1"/>
  <c r="AH37" i="7"/>
  <c r="AA33" i="7"/>
  <c r="Z34" i="7"/>
  <c r="Z35" i="7" s="1"/>
  <c r="Z97" i="7" s="1"/>
  <c r="Z25" i="7" l="1"/>
  <c r="AA109" i="7"/>
  <c r="Z98" i="2"/>
  <c r="AJ64" i="7"/>
  <c r="AJ65" i="7" s="1"/>
  <c r="AJ67" i="7"/>
  <c r="AJ68" i="7" s="1"/>
  <c r="AI67" i="7"/>
  <c r="AI68" i="7" s="1"/>
  <c r="AI64" i="7"/>
  <c r="AI65" i="7" s="1"/>
  <c r="AG38" i="2"/>
  <c r="AG51" i="2"/>
  <c r="AG63" i="2" s="1"/>
  <c r="AG87" i="2"/>
  <c r="AH10" i="2"/>
  <c r="AG82" i="2"/>
  <c r="AA147" i="7"/>
  <c r="AI53" i="7"/>
  <c r="AJ53" i="7"/>
  <c r="AF70" i="7"/>
  <c r="Z86" i="7"/>
  <c r="Z92" i="7" s="1"/>
  <c r="AD47" i="7"/>
  <c r="AC48" i="7"/>
  <c r="AC49" i="7" s="1"/>
  <c r="AC55" i="7" s="1"/>
  <c r="AB33" i="7"/>
  <c r="AA34" i="7"/>
  <c r="AA35" i="7" s="1"/>
  <c r="AA97" i="7" s="1"/>
  <c r="AH38" i="7"/>
  <c r="AH39" i="7" s="1"/>
  <c r="AI37" i="7"/>
  <c r="AA25" i="7" l="1"/>
  <c r="AB109" i="7"/>
  <c r="AA98" i="2"/>
  <c r="AH38" i="2"/>
  <c r="AH51" i="2"/>
  <c r="AH63" i="2" s="1"/>
  <c r="AH87" i="2"/>
  <c r="AI10" i="2"/>
  <c r="AH82" i="2"/>
  <c r="AB147" i="7"/>
  <c r="AG70" i="7"/>
  <c r="AA86" i="7"/>
  <c r="AA92" i="7" s="1"/>
  <c r="AE47" i="7"/>
  <c r="AD48" i="7"/>
  <c r="AD49" i="7" s="1"/>
  <c r="AD55" i="7" s="1"/>
  <c r="AI38" i="7"/>
  <c r="AI39" i="7" s="1"/>
  <c r="AJ37" i="7"/>
  <c r="AJ38" i="7" s="1"/>
  <c r="AJ39" i="7" s="1"/>
  <c r="AC33" i="7"/>
  <c r="AB34" i="7"/>
  <c r="AB35" i="7" s="1"/>
  <c r="AB97" i="7" s="1"/>
  <c r="AB25" i="7" l="1"/>
  <c r="AC109" i="7"/>
  <c r="AB98" i="2"/>
  <c r="AI38" i="2"/>
  <c r="AI51" i="2"/>
  <c r="AI63" i="2" s="1"/>
  <c r="AI87" i="2"/>
  <c r="AJ10" i="2"/>
  <c r="AI82" i="2"/>
  <c r="AC147" i="7"/>
  <c r="AH70" i="7"/>
  <c r="AB86" i="7"/>
  <c r="AB92" i="7" s="1"/>
  <c r="AF47" i="7"/>
  <c r="AE48" i="7"/>
  <c r="AE49" i="7" s="1"/>
  <c r="AE55" i="7" s="1"/>
  <c r="AD33" i="7"/>
  <c r="AC34" i="7"/>
  <c r="AC35" i="7" s="1"/>
  <c r="AC97" i="7" s="1"/>
  <c r="AC25" i="7" l="1"/>
  <c r="AD109" i="7"/>
  <c r="AC98" i="2"/>
  <c r="AJ38" i="2"/>
  <c r="AJ87" i="2"/>
  <c r="AJ82" i="2"/>
  <c r="AD147" i="7"/>
  <c r="AC86" i="7"/>
  <c r="AC92" i="7" s="1"/>
  <c r="AJ70" i="7"/>
  <c r="AI70" i="7"/>
  <c r="AG47" i="7"/>
  <c r="AF48" i="7"/>
  <c r="AF49" i="7" s="1"/>
  <c r="AF55" i="7" s="1"/>
  <c r="AE33" i="7"/>
  <c r="AD34" i="7"/>
  <c r="AD35" i="7" s="1"/>
  <c r="AD97" i="7" s="1"/>
  <c r="H87" i="2" l="1"/>
  <c r="AD25" i="7"/>
  <c r="AE109" i="7"/>
  <c r="AD98" i="2"/>
  <c r="AJ51" i="2"/>
  <c r="AJ63" i="2" s="1"/>
  <c r="F38" i="2"/>
  <c r="H38" i="2"/>
  <c r="F87" i="2"/>
  <c r="F82" i="2"/>
  <c r="H82" i="2"/>
  <c r="AE147" i="7"/>
  <c r="F70" i="7"/>
  <c r="H70" i="7"/>
  <c r="AD86" i="7"/>
  <c r="AD92" i="7" s="1"/>
  <c r="AH47" i="7"/>
  <c r="AG48" i="7"/>
  <c r="AG49" i="7" s="1"/>
  <c r="AG55" i="7" s="1"/>
  <c r="AE34" i="7"/>
  <c r="AE35" i="7" s="1"/>
  <c r="AE97" i="7" s="1"/>
  <c r="AF33" i="7"/>
  <c r="L21" i="5"/>
  <c r="J22" i="5"/>
  <c r="J5" i="5"/>
  <c r="L20" i="5"/>
  <c r="L5" i="5"/>
  <c r="J21" i="5"/>
  <c r="J20" i="5"/>
  <c r="L22" i="5"/>
  <c r="P17" i="1" l="1"/>
  <c r="E18" i="19"/>
  <c r="F18" i="19" s="1"/>
  <c r="AE25" i="7"/>
  <c r="AF109" i="7"/>
  <c r="H63" i="2"/>
  <c r="F63" i="2"/>
  <c r="AE98" i="2"/>
  <c r="G14" i="1"/>
  <c r="G16" i="1"/>
  <c r="G17" i="1"/>
  <c r="P14" i="1"/>
  <c r="P16" i="1"/>
  <c r="H51" i="2"/>
  <c r="F51" i="2"/>
  <c r="N17" i="1"/>
  <c r="N16" i="1"/>
  <c r="N14" i="1"/>
  <c r="AF147" i="7"/>
  <c r="AE86" i="7"/>
  <c r="AE92" i="7" s="1"/>
  <c r="AI47" i="7"/>
  <c r="AH48" i="7"/>
  <c r="AH49" i="7" s="1"/>
  <c r="AH55" i="7" s="1"/>
  <c r="AF34" i="7"/>
  <c r="AF35" i="7" s="1"/>
  <c r="AF97" i="7" s="1"/>
  <c r="AG33" i="7"/>
  <c r="J6" i="5"/>
  <c r="L6" i="5"/>
  <c r="L7" i="5"/>
  <c r="J7" i="5"/>
  <c r="AS16" i="1" l="1"/>
  <c r="AK16" i="1"/>
  <c r="AR16" i="1"/>
  <c r="AJ16" i="1"/>
  <c r="AQ16" i="1"/>
  <c r="AI16" i="1"/>
  <c r="AP16" i="1"/>
  <c r="AH16" i="1"/>
  <c r="AW16" i="1"/>
  <c r="AO16" i="1"/>
  <c r="AG16" i="1"/>
  <c r="AL16" i="1"/>
  <c r="AV16" i="1"/>
  <c r="AN16" i="1"/>
  <c r="AF16" i="1"/>
  <c r="AD16" i="1"/>
  <c r="AU16" i="1"/>
  <c r="AM16" i="1"/>
  <c r="AE16" i="1"/>
  <c r="AT16" i="1"/>
  <c r="AW17" i="1"/>
  <c r="AO17" i="1"/>
  <c r="AG17" i="1"/>
  <c r="AV17" i="1"/>
  <c r="AN17" i="1"/>
  <c r="AF17" i="1"/>
  <c r="AU17" i="1"/>
  <c r="AM17" i="1"/>
  <c r="AE17" i="1"/>
  <c r="AT17" i="1"/>
  <c r="AL17" i="1"/>
  <c r="AD17" i="1"/>
  <c r="AH17" i="1"/>
  <c r="AS17" i="1"/>
  <c r="AK17" i="1"/>
  <c r="AP17" i="1"/>
  <c r="AR17" i="1"/>
  <c r="AJ17" i="1"/>
  <c r="AQ17" i="1"/>
  <c r="AI17" i="1"/>
  <c r="AS14" i="1"/>
  <c r="AK14" i="1"/>
  <c r="AR14" i="1"/>
  <c r="AJ14" i="1"/>
  <c r="AQ14" i="1"/>
  <c r="AI14" i="1"/>
  <c r="AP14" i="1"/>
  <c r="AH14" i="1"/>
  <c r="AW14" i="1"/>
  <c r="AO14" i="1"/>
  <c r="AG14" i="1"/>
  <c r="AL14" i="1"/>
  <c r="AV14" i="1"/>
  <c r="AN14" i="1"/>
  <c r="AF14" i="1"/>
  <c r="AD14" i="1"/>
  <c r="AU14" i="1"/>
  <c r="AM14" i="1"/>
  <c r="AE14" i="1"/>
  <c r="AT14" i="1"/>
  <c r="Z16" i="1"/>
  <c r="AC16" i="1"/>
  <c r="AB16" i="1"/>
  <c r="AA16" i="1"/>
  <c r="AA14" i="1"/>
  <c r="Z14" i="1"/>
  <c r="AC14" i="1"/>
  <c r="AB14" i="1"/>
  <c r="AB17" i="1"/>
  <c r="Z17" i="1"/>
  <c r="AA17" i="1"/>
  <c r="AC17" i="1"/>
  <c r="E19" i="19"/>
  <c r="F19" i="19" s="1"/>
  <c r="AF25" i="7"/>
  <c r="AG109" i="7"/>
  <c r="AF98" i="2"/>
  <c r="G6" i="1"/>
  <c r="P6" i="1"/>
  <c r="N6" i="1"/>
  <c r="AG147" i="7"/>
  <c r="AF86" i="7"/>
  <c r="AF92" i="7" s="1"/>
  <c r="AJ47" i="7"/>
  <c r="AJ48" i="7" s="1"/>
  <c r="AJ49" i="7" s="1"/>
  <c r="AJ55" i="7" s="1"/>
  <c r="AI48" i="7"/>
  <c r="AI49" i="7" s="1"/>
  <c r="AI55" i="7" s="1"/>
  <c r="AG34" i="7"/>
  <c r="AG35" i="7" s="1"/>
  <c r="AG97" i="7" s="1"/>
  <c r="AH33" i="7"/>
  <c r="AR6" i="1" l="1"/>
  <c r="AR23" i="1" s="1"/>
  <c r="AQ6" i="1"/>
  <c r="AQ23" i="1" s="1"/>
  <c r="AI6" i="1"/>
  <c r="AI23" i="1" s="1"/>
  <c r="AJ6" i="1"/>
  <c r="AJ23" i="1" s="1"/>
  <c r="AP6" i="1"/>
  <c r="AP23" i="1" s="1"/>
  <c r="AH6" i="1"/>
  <c r="AH23" i="1" s="1"/>
  <c r="AL6" i="1"/>
  <c r="AL23" i="1" s="1"/>
  <c r="AS6" i="1"/>
  <c r="AS23" i="1" s="1"/>
  <c r="AW6" i="1"/>
  <c r="AW23" i="1" s="1"/>
  <c r="AO6" i="1"/>
  <c r="AO23" i="1" s="1"/>
  <c r="AG6" i="1"/>
  <c r="AG23" i="1" s="1"/>
  <c r="AD6" i="1"/>
  <c r="AD23" i="1" s="1"/>
  <c r="AV6" i="1"/>
  <c r="AV23" i="1" s="1"/>
  <c r="AN6" i="1"/>
  <c r="AN23" i="1" s="1"/>
  <c r="AF6" i="1"/>
  <c r="AF23" i="1" s="1"/>
  <c r="AU6" i="1"/>
  <c r="AU23" i="1" s="1"/>
  <c r="AM6" i="1"/>
  <c r="AM23" i="1" s="1"/>
  <c r="AE6" i="1"/>
  <c r="AE23" i="1" s="1"/>
  <c r="AT6" i="1"/>
  <c r="AT23" i="1" s="1"/>
  <c r="AK6" i="1"/>
  <c r="AK23" i="1" s="1"/>
  <c r="AA6" i="1"/>
  <c r="AA23" i="1" s="1"/>
  <c r="Z6" i="1"/>
  <c r="Z23" i="1" s="1"/>
  <c r="AC6" i="1"/>
  <c r="AC23" i="1" s="1"/>
  <c r="AB6" i="1"/>
  <c r="AB23" i="1" s="1"/>
  <c r="U17" i="1"/>
  <c r="I17" i="1" s="1"/>
  <c r="U16" i="1"/>
  <c r="I16" i="1" s="1"/>
  <c r="U14" i="1"/>
  <c r="I14" i="1" s="1"/>
  <c r="T17" i="1"/>
  <c r="H17" i="1" s="1"/>
  <c r="T16" i="1"/>
  <c r="H16" i="1" s="1"/>
  <c r="T14" i="1"/>
  <c r="H14" i="1" s="1"/>
  <c r="AG25" i="7"/>
  <c r="AH109" i="7"/>
  <c r="AG98" i="2"/>
  <c r="AH147" i="7"/>
  <c r="F55" i="7"/>
  <c r="AG86" i="7"/>
  <c r="AG92" i="7" s="1"/>
  <c r="H55" i="7"/>
  <c r="AH34" i="7"/>
  <c r="AH35" i="7" s="1"/>
  <c r="AH97" i="7" s="1"/>
  <c r="AI33" i="7"/>
  <c r="L18" i="5"/>
  <c r="J18" i="5"/>
  <c r="Z24" i="1" l="1"/>
  <c r="AA24" i="1" s="1"/>
  <c r="AB24" i="1" s="1"/>
  <c r="AC24" i="1" s="1"/>
  <c r="AD24" i="1" s="1"/>
  <c r="AE24" i="1" s="1"/>
  <c r="AF24" i="1" s="1"/>
  <c r="AG24" i="1" s="1"/>
  <c r="AH24" i="1" s="1"/>
  <c r="AI24" i="1" s="1"/>
  <c r="AJ24" i="1" s="1"/>
  <c r="AK24" i="1" s="1"/>
  <c r="AL24" i="1" s="1"/>
  <c r="AM24" i="1" s="1"/>
  <c r="AN24" i="1" s="1"/>
  <c r="AO24" i="1" s="1"/>
  <c r="AP24" i="1" s="1"/>
  <c r="AQ24" i="1" s="1"/>
  <c r="AR24" i="1" s="1"/>
  <c r="AS24" i="1" s="1"/>
  <c r="AT24" i="1" s="1"/>
  <c r="AU24" i="1" s="1"/>
  <c r="AV24" i="1" s="1"/>
  <c r="AW24" i="1" s="1"/>
  <c r="U23" i="1"/>
  <c r="T23" i="1"/>
  <c r="U6" i="1"/>
  <c r="I6" i="1" s="1"/>
  <c r="T6" i="1"/>
  <c r="H6" i="1" s="1"/>
  <c r="AH25" i="7"/>
  <c r="AJ109" i="7"/>
  <c r="AI109" i="7"/>
  <c r="AH98" i="2"/>
  <c r="AI147" i="7"/>
  <c r="AJ147" i="7"/>
  <c r="AH86" i="7"/>
  <c r="AH92" i="7" s="1"/>
  <c r="AJ33" i="7"/>
  <c r="AJ34" i="7" s="1"/>
  <c r="AJ35" i="7" s="1"/>
  <c r="AJ97" i="7" s="1"/>
  <c r="AI34" i="7"/>
  <c r="AI35" i="7" s="1"/>
  <c r="AI97" i="7" s="1"/>
  <c r="C16" i="19" l="1"/>
  <c r="D16" i="19" s="1"/>
  <c r="E16" i="19"/>
  <c r="F97" i="7"/>
  <c r="H97" i="7"/>
  <c r="AI25" i="7"/>
  <c r="AJ25" i="7"/>
  <c r="F109" i="7"/>
  <c r="H109" i="7"/>
  <c r="AJ98" i="2"/>
  <c r="AI98" i="2"/>
  <c r="H147" i="7"/>
  <c r="F147" i="7"/>
  <c r="F126" i="7"/>
  <c r="AI86" i="7"/>
  <c r="AI92" i="7" s="1"/>
  <c r="H126" i="7"/>
  <c r="AJ86" i="7"/>
  <c r="J13" i="5"/>
  <c r="F98" i="2" l="1"/>
  <c r="F25" i="7"/>
  <c r="H25" i="7"/>
  <c r="H98" i="2"/>
  <c r="H86" i="7"/>
  <c r="F86" i="7"/>
  <c r="N8" i="1"/>
  <c r="AJ92" i="7"/>
  <c r="L27" i="5"/>
  <c r="J27" i="5"/>
  <c r="J16" i="5"/>
  <c r="L23" i="5"/>
  <c r="L25" i="5"/>
  <c r="L24" i="5"/>
  <c r="L13" i="5"/>
  <c r="J24" i="5"/>
  <c r="J23" i="5"/>
  <c r="J14" i="5"/>
  <c r="L16" i="5"/>
  <c r="L14" i="5"/>
  <c r="J25" i="5"/>
  <c r="L19" i="5"/>
  <c r="J19" i="5"/>
  <c r="F92" i="7" l="1"/>
  <c r="E15" i="19"/>
  <c r="F15" i="19" s="1"/>
  <c r="E10" i="19"/>
  <c r="F10" i="19" s="1"/>
  <c r="E12" i="19"/>
  <c r="F12" i="19" s="1"/>
  <c r="E11" i="19"/>
  <c r="F11" i="19" s="1"/>
  <c r="P18" i="1"/>
  <c r="N18" i="1"/>
  <c r="G9" i="1"/>
  <c r="N9" i="1"/>
  <c r="P9" i="1"/>
  <c r="G18" i="1"/>
  <c r="Z18" i="1" s="1"/>
  <c r="G12" i="1"/>
  <c r="N12" i="1"/>
  <c r="P12" i="1"/>
  <c r="G15" i="1"/>
  <c r="N15" i="1"/>
  <c r="P15" i="1"/>
  <c r="G13" i="1"/>
  <c r="P13" i="1"/>
  <c r="N13" i="1"/>
  <c r="I8" i="1"/>
  <c r="H92" i="7"/>
  <c r="J17" i="5"/>
  <c r="L17" i="5"/>
  <c r="J12" i="1" l="1"/>
  <c r="J19" i="1"/>
  <c r="J9" i="1"/>
  <c r="J5" i="1"/>
  <c r="J7" i="1"/>
  <c r="J16" i="1"/>
  <c r="J13" i="1"/>
  <c r="J17" i="1"/>
  <c r="J14" i="1"/>
  <c r="J4" i="1"/>
  <c r="J15" i="1"/>
  <c r="J10" i="1"/>
  <c r="J18" i="1"/>
  <c r="J8" i="1"/>
  <c r="J11" i="1"/>
  <c r="J6" i="1"/>
  <c r="AW15" i="1"/>
  <c r="AO15" i="1"/>
  <c r="AG15" i="1"/>
  <c r="AV15" i="1"/>
  <c r="AN15" i="1"/>
  <c r="AF15" i="1"/>
  <c r="AU15" i="1"/>
  <c r="AM15" i="1"/>
  <c r="AE15" i="1"/>
  <c r="AP15" i="1"/>
  <c r="AT15" i="1"/>
  <c r="AL15" i="1"/>
  <c r="AD15" i="1"/>
  <c r="AH15" i="1"/>
  <c r="AS15" i="1"/>
  <c r="AK15" i="1"/>
  <c r="AR15" i="1"/>
  <c r="AJ15" i="1"/>
  <c r="AQ15" i="1"/>
  <c r="AI15" i="1"/>
  <c r="AO9" i="1"/>
  <c r="AU9" i="1"/>
  <c r="AM9" i="1"/>
  <c r="AE9" i="1"/>
  <c r="AF9" i="1"/>
  <c r="AT9" i="1"/>
  <c r="AL9" i="1"/>
  <c r="AD9" i="1"/>
  <c r="AH9" i="1"/>
  <c r="AG9" i="1"/>
  <c r="AS9" i="1"/>
  <c r="AK9" i="1"/>
  <c r="AW9" i="1"/>
  <c r="AN9" i="1"/>
  <c r="AR9" i="1"/>
  <c r="AJ9" i="1"/>
  <c r="AP9" i="1"/>
  <c r="AQ9" i="1"/>
  <c r="AI9" i="1"/>
  <c r="AV9" i="1"/>
  <c r="AS12" i="1"/>
  <c r="AK12" i="1"/>
  <c r="AR12" i="1"/>
  <c r="AJ12" i="1"/>
  <c r="AQ12" i="1"/>
  <c r="AI12" i="1"/>
  <c r="AD12" i="1"/>
  <c r="AP12" i="1"/>
  <c r="AH12" i="1"/>
  <c r="AW12" i="1"/>
  <c r="AO12" i="1"/>
  <c r="AG12" i="1"/>
  <c r="AL12" i="1"/>
  <c r="AV12" i="1"/>
  <c r="AN12" i="1"/>
  <c r="AF12" i="1"/>
  <c r="AU12" i="1"/>
  <c r="AM12" i="1"/>
  <c r="AE12" i="1"/>
  <c r="AT12" i="1"/>
  <c r="AW13" i="1"/>
  <c r="AO13" i="1"/>
  <c r="AG13" i="1"/>
  <c r="AV13" i="1"/>
  <c r="AN13" i="1"/>
  <c r="AF13" i="1"/>
  <c r="AU13" i="1"/>
  <c r="AM13" i="1"/>
  <c r="AE13" i="1"/>
  <c r="AP13" i="1"/>
  <c r="AT13" i="1"/>
  <c r="AL13" i="1"/>
  <c r="AD13" i="1"/>
  <c r="AH13" i="1"/>
  <c r="AS13" i="1"/>
  <c r="AK13" i="1"/>
  <c r="AR13" i="1"/>
  <c r="AJ13" i="1"/>
  <c r="AQ13" i="1"/>
  <c r="AI13" i="1"/>
  <c r="AS18" i="1"/>
  <c r="AK18" i="1"/>
  <c r="AR18" i="1"/>
  <c r="AJ18" i="1"/>
  <c r="AQ18" i="1"/>
  <c r="AI18" i="1"/>
  <c r="AD18" i="1"/>
  <c r="AP18" i="1"/>
  <c r="AH18" i="1"/>
  <c r="AW18" i="1"/>
  <c r="AO18" i="1"/>
  <c r="AG18" i="1"/>
  <c r="AT18" i="1"/>
  <c r="AV18" i="1"/>
  <c r="AN18" i="1"/>
  <c r="AF18" i="1"/>
  <c r="AL18" i="1"/>
  <c r="AU18" i="1"/>
  <c r="AM18" i="1"/>
  <c r="AE18" i="1"/>
  <c r="AB15" i="1"/>
  <c r="AC15" i="1"/>
  <c r="AA15" i="1"/>
  <c r="Z15" i="1"/>
  <c r="AB9" i="1"/>
  <c r="Z9" i="1"/>
  <c r="AA9" i="1"/>
  <c r="AC9" i="1"/>
  <c r="AC12" i="1"/>
  <c r="AA12" i="1"/>
  <c r="AB12" i="1"/>
  <c r="Z12" i="1"/>
  <c r="AA13" i="1"/>
  <c r="Z13" i="1"/>
  <c r="AC13" i="1"/>
  <c r="AB13" i="1"/>
  <c r="AC18" i="1"/>
  <c r="AB18" i="1"/>
  <c r="AA18" i="1"/>
  <c r="E14" i="19"/>
  <c r="F14" i="19" s="1"/>
  <c r="T18" i="1" l="1"/>
  <c r="AA31" i="1"/>
  <c r="Z31" i="1"/>
  <c r="AP31" i="1"/>
  <c r="AC31" i="1"/>
  <c r="AG31" i="1"/>
  <c r="AE31" i="1"/>
  <c r="AH31" i="1"/>
  <c r="AV31" i="1"/>
  <c r="AT31" i="1"/>
  <c r="AR31" i="1"/>
  <c r="AN31" i="1"/>
  <c r="AL31" i="1"/>
  <c r="AJ31" i="1"/>
  <c r="AF31" i="1"/>
  <c r="AD31" i="1"/>
  <c r="AB31" i="1"/>
  <c r="AI31" i="1"/>
  <c r="AQ31" i="1"/>
  <c r="AW31" i="1"/>
  <c r="AU31" i="1"/>
  <c r="AS31" i="1"/>
  <c r="AO31" i="1"/>
  <c r="AM31" i="1"/>
  <c r="AK31" i="1"/>
  <c r="F16" i="19"/>
  <c r="U9" i="1"/>
  <c r="I9" i="1" s="1"/>
  <c r="U13" i="1"/>
  <c r="I13" i="1" s="1"/>
  <c r="U18" i="1"/>
  <c r="I18" i="1" s="1"/>
  <c r="U15" i="1"/>
  <c r="I15" i="1" s="1"/>
  <c r="U12" i="1"/>
  <c r="I12" i="1" s="1"/>
  <c r="T15" i="1"/>
  <c r="H15" i="1" s="1"/>
  <c r="T12" i="1"/>
  <c r="H12" i="1" s="1"/>
  <c r="T9" i="1"/>
  <c r="H9" i="1" s="1"/>
  <c r="T13" i="1"/>
  <c r="H13" i="1" s="1"/>
  <c r="Z32" i="1" l="1"/>
  <c r="AA32" i="1" s="1"/>
  <c r="AB32" i="1" s="1"/>
  <c r="AC32" i="1" s="1"/>
  <c r="AD32" i="1" s="1"/>
  <c r="AE32" i="1" s="1"/>
  <c r="AF32" i="1" s="1"/>
  <c r="AG32" i="1" s="1"/>
  <c r="AH32" i="1" s="1"/>
  <c r="AI32" i="1" s="1"/>
  <c r="AJ32" i="1" s="1"/>
  <c r="AK32" i="1" s="1"/>
  <c r="AL32" i="1" s="1"/>
  <c r="AM32" i="1" s="1"/>
  <c r="AN32" i="1" s="1"/>
  <c r="AO32" i="1" s="1"/>
  <c r="AP32" i="1" s="1"/>
  <c r="AQ32" i="1" s="1"/>
  <c r="AR32" i="1" s="1"/>
  <c r="AS32" i="1" s="1"/>
  <c r="AT32" i="1" s="1"/>
  <c r="AU32" i="1" s="1"/>
  <c r="AV32" i="1" s="1"/>
  <c r="AW32" i="1" s="1"/>
  <c r="H18" i="1"/>
  <c r="U31" i="1"/>
  <c r="T31" i="1"/>
  <c r="C8" i="19" l="1"/>
  <c r="D8" i="19" s="1"/>
  <c r="E8" i="19"/>
  <c r="F8"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Slawsky</author>
  </authors>
  <commentList>
    <comment ref="Q3" authorId="0" shapeId="0" xr:uid="{D6A79D1F-2F30-446C-A0A9-82EDBCC6F6DC}">
      <text>
        <r>
          <rPr>
            <sz val="9"/>
            <color indexed="81"/>
            <rFont val="Tahoma"/>
            <family val="2"/>
          </rPr>
          <t>Assumes known (but not example) projects will be implemented and this remainder is availble to fund new projects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Slawsky</author>
  </authors>
  <commentList>
    <comment ref="B22" authorId="0" shapeId="0" xr:uid="{4C1F9DA8-F1B4-4F79-B487-6263D2981DC6}">
      <text>
        <r>
          <rPr>
            <b/>
            <sz val="9"/>
            <color indexed="81"/>
            <rFont val="Tahoma"/>
            <family val="2"/>
          </rPr>
          <t>Informed by example analysis performed by Grassy Creek Trail developers</t>
        </r>
      </text>
    </comment>
    <comment ref="B23" authorId="0" shapeId="0" xr:uid="{6A83DAD6-56D0-402E-B7BA-A4963A3C4421}">
      <text>
        <r>
          <rPr>
            <b/>
            <sz val="9"/>
            <color indexed="81"/>
            <rFont val="Tahoma"/>
            <family val="2"/>
          </rPr>
          <t>Install PLUS Purchase costs of 1 charger. Install Costs from ICCT, 2019 report Table 3: https://theicct.org/wp-content/uploads/2021/06/ICCT_EV_Charging_Cost_20190813.pdf PLUS Purchase cost from ICCT, 2021 report p15 text: https://theicct.org/wp-content/uploads/2021/12/charging-up-america-jul2021.pdf
Excluded costs: op, charging, maint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Slawsky</author>
  </authors>
  <commentList>
    <comment ref="F66" authorId="0" shapeId="0" xr:uid="{5838F785-C04F-40E5-BECF-B1EDF1890C8A}">
      <text>
        <r>
          <rPr>
            <b/>
            <sz val="9"/>
            <color indexed="81"/>
            <rFont val="Tahoma"/>
            <family val="2"/>
          </rPr>
          <t>Assuming x count of commuters avoiding now switch to using available Hybrid Bus</t>
        </r>
        <r>
          <rPr>
            <sz val="9"/>
            <color indexed="81"/>
            <rFont val="Tahoma"/>
            <family val="2"/>
          </rPr>
          <t xml:space="preserve">
</t>
        </r>
      </text>
    </comment>
    <comment ref="F76" authorId="0" shapeId="0" xr:uid="{B31B890B-AB7B-47BC-A417-58C97CFFA101}">
      <text>
        <r>
          <rPr>
            <b/>
            <sz val="9"/>
            <color indexed="81"/>
            <rFont val="Tahoma"/>
            <family val="2"/>
          </rPr>
          <t xml:space="preserve">Adds 7% tax rate for vehicle purchase in Indiana Plus 10yr life of fuel costs from </t>
        </r>
        <r>
          <rPr>
            <sz val="9"/>
            <color indexed="81"/>
            <rFont val="Tahoma"/>
            <family val="2"/>
          </rPr>
          <t>https://www.transportation.gov/sites/dot.gov/files/images/Life%20Cycle%20Cost%20Overview%20for%20Different%20Transit%20Technologies.pdf</t>
        </r>
        <r>
          <rPr>
            <b/>
            <sz val="9"/>
            <color indexed="81"/>
            <rFont val="Tahoma"/>
            <family val="2"/>
          </rPr>
          <t xml:space="preserve">
Excludes maintenance costs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Slawsky</author>
    <author>tc={0FBD0E3B-A4E3-4F5A-9CC8-69973B4BB679}</author>
  </authors>
  <commentList>
    <comment ref="L37" authorId="0" shapeId="0" xr:uid="{D9056683-570B-453E-A965-A07B29F4FC25}">
      <text>
        <r>
          <rPr>
            <b/>
            <sz val="9"/>
            <color indexed="81"/>
            <rFont val="Tahoma"/>
            <family val="2"/>
          </rPr>
          <t>more efficient system installed in this year</t>
        </r>
      </text>
    </comment>
    <comment ref="L51" authorId="0" shapeId="0" xr:uid="{E97D9644-8C0E-4F31-8AC2-19B9178CE427}">
      <text>
        <r>
          <rPr>
            <b/>
            <sz val="9"/>
            <color indexed="81"/>
            <rFont val="Tahoma"/>
            <family val="2"/>
          </rPr>
          <t>more efficient system installed in this year</t>
        </r>
      </text>
    </comment>
    <comment ref="M138" authorId="1" shapeId="0" xr:uid="{0FBD0E3B-A4E3-4F5A-9CC8-69973B4BB679}">
      <text>
        <t xml:space="preserve">[Threaded comment]
Your version of Excel allows you to read this threaded comment; however, any edits to it will get removed if the file is opened in a newer version of Excel. Learn more: https://go.microsoft.com/fwlink/?linkid=870924
Comment:
    CEE (4-12%) - Center for Equity and Energy Behavior | Consortium for Energy Efficiency (cee1.org) ; IEA (1-15%) - The Potential of Behavioural Interventions for Optimising Energy Use at Home – Analysis - IEA </t>
      </text>
    </comment>
  </commentList>
</comments>
</file>

<file path=xl/sharedStrings.xml><?xml version="1.0" encoding="utf-8"?>
<sst xmlns="http://schemas.openxmlformats.org/spreadsheetml/2006/main" count="1250" uniqueCount="580">
  <si>
    <t>CIRDA: GHG Emissions Reduction Analysis</t>
  </si>
  <si>
    <t>Supplemental Spreadsheet</t>
  </si>
  <si>
    <t>2025-2030</t>
  </si>
  <si>
    <t>2025-2050</t>
  </si>
  <si>
    <t>Funding Requested</t>
  </si>
  <si>
    <r>
      <rPr>
        <b/>
        <sz val="9"/>
        <rFont val="Arial"/>
        <family val="2"/>
      </rPr>
      <t>Cumulative GHG Emissions Reduced</t>
    </r>
    <r>
      <rPr>
        <sz val="9"/>
        <rFont val="Arial"/>
        <family val="2"/>
      </rPr>
      <t xml:space="preserve">
(MT CO2e)</t>
    </r>
  </si>
  <si>
    <t>REGIONAL BUILDING AND ASSET MODERNIZATION PROGRAM</t>
  </si>
  <si>
    <t>City of Indianapolis Solar Upgrades</t>
  </si>
  <si>
    <t>McCordsville Town Hall Energy Efficiency Updates</t>
  </si>
  <si>
    <t>Energy Insights Program</t>
  </si>
  <si>
    <t>Rolls Royce HVAC Optimization &amp; Submetering</t>
  </si>
  <si>
    <t>Rolls Royce Solar PV</t>
  </si>
  <si>
    <t>Crispus Attucks High School Energy Efficiency Renovations</t>
  </si>
  <si>
    <t>Indianapolis Arts Center Upgrades</t>
  </si>
  <si>
    <t>REGIONAL OPEN SPACE REVITALIZATION AND CONNECTIVITY PROGRAM</t>
  </si>
  <si>
    <t>City of Indianapolis Brownfield Julietta Landfill</t>
  </si>
  <si>
    <t>Nickel Plate Pedestrian Bridge</t>
  </si>
  <si>
    <t>Grassy Creek Trail</t>
  </si>
  <si>
    <t>Connor Prairie Reforestation</t>
  </si>
  <si>
    <t>Connor Prairie Wetland Enhancement and Fertilizer Education</t>
  </si>
  <si>
    <t>INDIANAPOLIS AREA RENEWABLE ENERGY AND WASTE REDUCTION</t>
  </si>
  <si>
    <t>Conducted by ERM</t>
  </si>
  <si>
    <t>Program-Level Analysis</t>
  </si>
  <si>
    <t>Annual GHG Reductions for New (not pilot) projects</t>
  </si>
  <si>
    <t>Includes results of pilots and accounts for dispensing remaining program funds to other future (currently unknown) projects</t>
  </si>
  <si>
    <t>Program</t>
  </si>
  <si>
    <t>Funding Category</t>
  </si>
  <si>
    <t>Project Type</t>
  </si>
  <si>
    <t>$amount</t>
  </si>
  <si>
    <t>Share 1</t>
  </si>
  <si>
    <t>Share 2</t>
  </si>
  <si>
    <r>
      <t xml:space="preserve">Avg. Ann
</t>
    </r>
    <r>
      <rPr>
        <sz val="8"/>
        <rFont val="Arial"/>
        <family val="2"/>
      </rPr>
      <t>MT CO2e</t>
    </r>
  </si>
  <si>
    <r>
      <t xml:space="preserve">Cumm. '25-30
</t>
    </r>
    <r>
      <rPr>
        <sz val="8"/>
        <rFont val="Arial"/>
        <family val="2"/>
      </rPr>
      <t>MT CO2e</t>
    </r>
  </si>
  <si>
    <r>
      <t xml:space="preserve">Cumm. '25-50
</t>
    </r>
    <r>
      <rPr>
        <sz val="8"/>
        <rFont val="Arial"/>
        <family val="2"/>
      </rPr>
      <t>MT CO2e</t>
    </r>
  </si>
  <si>
    <t>Known or Example Proj Count</t>
  </si>
  <si>
    <r>
      <t xml:space="preserve">Total Proj costs
</t>
    </r>
    <r>
      <rPr>
        <sz val="9"/>
        <color theme="1"/>
        <rFont val="Arial"/>
        <family val="2"/>
      </rPr>
      <t>(w Adj)</t>
    </r>
  </si>
  <si>
    <r>
      <t xml:space="preserve">Avg Proj costs
</t>
    </r>
    <r>
      <rPr>
        <sz val="9"/>
        <color theme="1"/>
        <rFont val="Arial"/>
        <family val="2"/>
      </rPr>
      <t>(w Adj)</t>
    </r>
  </si>
  <si>
    <r>
      <t xml:space="preserve">Known Cumm. '25-30
</t>
    </r>
    <r>
      <rPr>
        <sz val="8"/>
        <rFont val="Arial"/>
        <family val="2"/>
      </rPr>
      <t>MT CO2e</t>
    </r>
  </si>
  <si>
    <r>
      <t xml:space="preserve">Known Cumm. '25-50
</t>
    </r>
    <r>
      <rPr>
        <sz val="8"/>
        <rFont val="Arial"/>
        <family val="2"/>
      </rPr>
      <t>MT CO2e</t>
    </r>
  </si>
  <si>
    <r>
      <t xml:space="preserve">Avg. Cumm. '25-30
</t>
    </r>
    <r>
      <rPr>
        <sz val="8"/>
        <rFont val="Arial"/>
        <family val="2"/>
      </rPr>
      <t>MT CO2e</t>
    </r>
  </si>
  <si>
    <r>
      <t xml:space="preserve">Avg. Cumm. '25-50
</t>
    </r>
    <r>
      <rPr>
        <sz val="8"/>
        <rFont val="Arial"/>
        <family val="2"/>
      </rPr>
      <t>MT CO2e</t>
    </r>
  </si>
  <si>
    <t>Funds Avail. For More Proj</t>
  </si>
  <si>
    <t>Spend so far</t>
  </si>
  <si>
    <t>Remaining Proj Count Avail</t>
  </si>
  <si>
    <r>
      <t xml:space="preserve">Calc Cumm. '25-30
</t>
    </r>
    <r>
      <rPr>
        <sz val="8"/>
        <rFont val="Arial"/>
        <family val="2"/>
      </rPr>
      <t>MT CO2e</t>
    </r>
  </si>
  <si>
    <r>
      <t xml:space="preserve">Calc Cumm. '25-50
</t>
    </r>
    <r>
      <rPr>
        <sz val="8"/>
        <rFont val="Arial"/>
        <family val="2"/>
      </rPr>
      <t>MT CO2e</t>
    </r>
  </si>
  <si>
    <t>Tranche2 Funds Dispensed by EOY</t>
  </si>
  <si>
    <t>Tranche3 Funds Dispensed by EOY</t>
  </si>
  <si>
    <t>Wetland</t>
  </si>
  <si>
    <t>Reforest</t>
  </si>
  <si>
    <t>Open Space</t>
  </si>
  <si>
    <t>Program Funds</t>
  </si>
  <si>
    <t>Program Admin</t>
  </si>
  <si>
    <t>Program Annual GHG Reductions</t>
  </si>
  <si>
    <t>Program Available Funds</t>
  </si>
  <si>
    <t>Brownfield</t>
  </si>
  <si>
    <t>Cat Total</t>
  </si>
  <si>
    <t>Solar and tree planting</t>
  </si>
  <si>
    <t>Trail</t>
  </si>
  <si>
    <t>Avoided Single Occupancy Vehicle Use in favor of walking/biking</t>
  </si>
  <si>
    <t>Use of unused land to store carbon</t>
  </si>
  <si>
    <t>Tree planting to store carbon</t>
  </si>
  <si>
    <t>Modernization</t>
  </si>
  <si>
    <t>$10M</t>
  </si>
  <si>
    <t xml:space="preserve"> </t>
  </si>
  <si>
    <t>Small/Mid Industrial EE upgrades in Electricity and Gas usage</t>
  </si>
  <si>
    <t>Building-Upgrades</t>
  </si>
  <si>
    <t>Building EE upgrades of new HVAC, LEDs, and/or Windows</t>
  </si>
  <si>
    <t>Building-EV Infrastructure</t>
  </si>
  <si>
    <t>Public EV chargers installed, assuming incentivizing more EVs on the road in the near-term, offsetting internal combustion engine light-duty vehicles</t>
  </si>
  <si>
    <t>Building-Public Transit</t>
  </si>
  <si>
    <t>Avoided Single Occupancy Vehicle Use in favor of Hybrid Bus trips on the Blue Line and some Bike Share program implementation</t>
  </si>
  <si>
    <t>Manuf-EE</t>
  </si>
  <si>
    <t>Rolls Royce initiatives and their GHG savings estimates</t>
  </si>
  <si>
    <t>Manuf-Solar</t>
  </si>
  <si>
    <t>Small/Mid Industrial on-site solar, replacing all electricity and Gas usage with zero-emitting power</t>
  </si>
  <si>
    <t>Name</t>
  </si>
  <si>
    <t>Est. Cost.</t>
  </si>
  <si>
    <t>$year of cost</t>
  </si>
  <si>
    <t>Cost of Project ($2023)</t>
  </si>
  <si>
    <t>Costs Covered ($2023)</t>
  </si>
  <si>
    <t>Reduced Cost ($2023)</t>
  </si>
  <si>
    <t>Program Fund Category</t>
  </si>
  <si>
    <t>Sheet Name</t>
  </si>
  <si>
    <t>Brownfield Solar</t>
  </si>
  <si>
    <t>Solar</t>
  </si>
  <si>
    <t>EXAMPLE: Brownfields Tree Planting</t>
  </si>
  <si>
    <t>Brownfield Trees-EXAMPLE</t>
  </si>
  <si>
    <t>Lands</t>
  </si>
  <si>
    <t>WalkBike</t>
  </si>
  <si>
    <t>Transit</t>
  </si>
  <si>
    <t>Total for Mult. Meas.</t>
  </si>
  <si>
    <t>Grassy Creek Trail: Trail</t>
  </si>
  <si>
    <t>Grassy Creek Trail: Trees</t>
  </si>
  <si>
    <t>Tree Planting</t>
  </si>
  <si>
    <t>Provided</t>
  </si>
  <si>
    <t>Carbon Storage</t>
  </si>
  <si>
    <t>EE</t>
  </si>
  <si>
    <t>Indianapolis Arts Center - HVAC</t>
  </si>
  <si>
    <t>HVAC EE</t>
  </si>
  <si>
    <t>Indianapolis Arts Center - Solar</t>
  </si>
  <si>
    <t>Crispus Attucks HS Upgrades: HVAC</t>
  </si>
  <si>
    <t>Crispus Attucks HS Upgrades: LED</t>
  </si>
  <si>
    <t>LED EE</t>
  </si>
  <si>
    <t>Crispus Attucks HS Upgrades: Windows</t>
  </si>
  <si>
    <t>Windows EE</t>
  </si>
  <si>
    <t>EXAMPLE: Hybrid Buses</t>
  </si>
  <si>
    <t>Hybrid Buses-EXAMPLE</t>
  </si>
  <si>
    <t>EXAMPLE: mobility/bike share</t>
  </si>
  <si>
    <t>Bike Share-EXAMPLE</t>
  </si>
  <si>
    <t>EXAMPLE: EV Chargers</t>
  </si>
  <si>
    <t>EV-EXAMPLE</t>
  </si>
  <si>
    <t>Energy Insights Program: Electricity</t>
  </si>
  <si>
    <t>EIP Elec EE</t>
  </si>
  <si>
    <t>Energy Insights Program: NG</t>
  </si>
  <si>
    <t>EIP NG EE</t>
  </si>
  <si>
    <t>Ind EE</t>
  </si>
  <si>
    <t>Ind Solar</t>
  </si>
  <si>
    <t>INDIANAPOLIS AREA RENEWABLE ENERGY AND WASTE REDUCTION MEASURE</t>
  </si>
  <si>
    <t>RE/Waste</t>
  </si>
  <si>
    <t>WasteRNG</t>
  </si>
  <si>
    <t>Provided GHG Estimates (not conducted by ERM)</t>
  </si>
  <si>
    <t>Source</t>
  </si>
  <si>
    <t>Info Provided from Project Developer</t>
  </si>
  <si>
    <t>IDs for program analysis</t>
  </si>
  <si>
    <t>Project</t>
  </si>
  <si>
    <t>Measure</t>
  </si>
  <si>
    <t>Metric</t>
  </si>
  <si>
    <t>STORED CARBON EST.</t>
  </si>
  <si>
    <t>Avg Ann</t>
  </si>
  <si>
    <t>'25-'30</t>
  </si>
  <si>
    <t>25-'50</t>
  </si>
  <si>
    <t>tree planting</t>
  </si>
  <si>
    <t>Total New Trees</t>
  </si>
  <si>
    <t>total tree</t>
  </si>
  <si>
    <t>Est Trees per Acre</t>
  </si>
  <si>
    <t>tree/acre</t>
  </si>
  <si>
    <t>acres</t>
  </si>
  <si>
    <t>Carbon removed per acre per year</t>
  </si>
  <si>
    <t>MT/acre</t>
  </si>
  <si>
    <t>GHG</t>
  </si>
  <si>
    <t>CO2 Avoided (metric tons)</t>
  </si>
  <si>
    <t>MT</t>
  </si>
  <si>
    <t>Sequestered Carbon from land use activities</t>
  </si>
  <si>
    <t>Link</t>
  </si>
  <si>
    <t>https://carbon2018.globalchange.gov/chapter/13/</t>
  </si>
  <si>
    <t>Second State of the Carbon Cycle Report. Appendix 13B Supplement: Carbon Pools and Fluxes.</t>
  </si>
  <si>
    <t>https://lter.kbs.msu.edu/docs/robertson/McSwiney_et_al_2010_GHG_Calculator_JNRLSE.pdf</t>
  </si>
  <si>
    <t>Greenhouse Gas Emissions Calculator for Grain and Biofuel Farming Systems</t>
  </si>
  <si>
    <t>create 80 acres of wetlands</t>
  </si>
  <si>
    <t>Wetlands (Forested, Mineral Soils) CO2 Sink</t>
  </si>
  <si>
    <t>Low</t>
  </si>
  <si>
    <t>Mid</t>
  </si>
  <si>
    <t>g CO2-C per meter sq per year</t>
  </si>
  <si>
    <t>High</t>
  </si>
  <si>
    <t>Project's added wetlands</t>
  </si>
  <si>
    <t>Ann Avg</t>
  </si>
  <si>
    <t>'25-'50</t>
  </si>
  <si>
    <r>
      <rPr>
        <b/>
        <sz val="9"/>
        <color theme="1"/>
        <rFont val="Arial"/>
        <family val="2"/>
      </rPr>
      <t>MID</t>
    </r>
    <r>
      <rPr>
        <sz val="9"/>
        <color theme="1"/>
        <rFont val="Arial"/>
        <family val="2"/>
      </rPr>
      <t xml:space="preserve"> CO2 Avoided (metric tons)</t>
    </r>
  </si>
  <si>
    <t>General Motors North American Truck Platform, located in Indianapolis area. Currently vacant</t>
  </si>
  <si>
    <t>informed by Conner Prairie reforestation info</t>
  </si>
  <si>
    <t xml:space="preserve">approximate number of Brownfields sites within CIRDA region, based on list available on IDEM's website: </t>
  </si>
  <si>
    <t>https://www.in.gov/idem/cleanups/investigation-and-cleanup-programs/institutional-controls/</t>
  </si>
  <si>
    <t>average size of brownfields within CIRDA's region, based on list available on IDEM's website</t>
  </si>
  <si>
    <t>IFA: Indiana Brownfields: Program Sites</t>
  </si>
  <si>
    <t>Avoided Single Occupancy Vehicle Use</t>
  </si>
  <si>
    <t>Construction:</t>
  </si>
  <si>
    <t>https://www.bts.gov/content/estimated-national-average-vehicle-emissions-rates-vehicle-vehicle-type-using-gasoline-and</t>
  </si>
  <si>
    <t>Emission factors from National Transportation Statistics Table 4-43</t>
  </si>
  <si>
    <t>Emission Factors for Greenhouse Gas Inventories (epa.gov)</t>
  </si>
  <si>
    <t>Emission factors from US EPA Climate Leadership, Table 2 and Table 5</t>
  </si>
  <si>
    <t>https://d16db69sqbolil.cloudfront.net/mpo-website/downloads/Technical-Studies/Central_Indiana_Travel_Survey_2008-2009.pdf</t>
  </si>
  <si>
    <t>Mean Trip Distance from Central Indiana Travel Survey (2011) Table R-27</t>
  </si>
  <si>
    <t>Proposed standards for medium- and heavy-duty vehicles would reduce diesel consumption - U.S. Energy Information Administration (EIA)</t>
  </si>
  <si>
    <t>US Energy Information Administration for MPG</t>
  </si>
  <si>
    <t>Avoided trips = informed estimate</t>
  </si>
  <si>
    <t>https://nebr.us/news/hybrid-transit-bus-lower-co2/</t>
  </si>
  <si>
    <t>EF improvement for Hybrid Bus from NEBR</t>
  </si>
  <si>
    <t>https://www.intercitytransit.com/sites/default/files/2016-07/HybridFactSheet20120802.pdf</t>
  </si>
  <si>
    <t>Cost for Hybrid Bus from Googled Fact Sheet/in line with other available info</t>
  </si>
  <si>
    <t>CAGR '25-'30</t>
  </si>
  <si>
    <t>Gasoline LDV Fleet avg EFs (includes hybrids) (g/mi)</t>
  </si>
  <si>
    <t>Exhaust CO2</t>
  </si>
  <si>
    <t>Diesel Bus Fleet avg EFs (g/mi)</t>
  </si>
  <si>
    <t>Const.</t>
  </si>
  <si>
    <t>Diesel Fuel and Non-Road Diesel Equipment (kg/gal)</t>
  </si>
  <si>
    <t>CO2</t>
  </si>
  <si>
    <t>CH4</t>
  </si>
  <si>
    <t>N2O</t>
  </si>
  <si>
    <t>Average MPG for Diesel Equipment (Class 7/8):</t>
  </si>
  <si>
    <t>MPG per EIA</t>
  </si>
  <si>
    <t>SOV avoided</t>
  </si>
  <si>
    <t>Mean Trip Distance to Work (mi)</t>
  </si>
  <si>
    <t>Days traveled for commute per year</t>
  </si>
  <si>
    <t>Annual miles traveled for commute (mi)</t>
  </si>
  <si>
    <t>&lt;-- x2 for to and from work</t>
  </si>
  <si>
    <t>AVOIDED EMISSIONS EST.</t>
  </si>
  <si>
    <t>est. SOV trips avoided due to bridge access to parks, schools, maybe some commuters</t>
  </si>
  <si>
    <t>For Construction:</t>
  </si>
  <si>
    <t>mi. proj length</t>
  </si>
  <si>
    <t>multiplier for mi daily drive</t>
  </si>
  <si>
    <t>months Construc</t>
  </si>
  <si>
    <t>Vehicle Count</t>
  </si>
  <si>
    <t>Total VMT for construction equipment</t>
  </si>
  <si>
    <t>Gallons</t>
  </si>
  <si>
    <t>added</t>
  </si>
  <si>
    <t>GHG Emissions (metric tons)</t>
  </si>
  <si>
    <t>GWPs from ICPP 5th AR</t>
  </si>
  <si>
    <t>avoided</t>
  </si>
  <si>
    <t>NET</t>
  </si>
  <si>
    <t>GHG Emissions Avoided (metric tons)</t>
  </si>
  <si>
    <t>1 of 2</t>
  </si>
  <si>
    <t>est. SOV trips avoided due to trail access to transit, schools, maybe some commuters</t>
  </si>
  <si>
    <t>2 of 2</t>
  </si>
  <si>
    <t>new info from Jan 17, 2024 notes regional park of 81 acres in size to be new wetland/forest</t>
  </si>
  <si>
    <t>Forest</t>
  </si>
  <si>
    <t>from Conner Prairie reforestation docs; in-line with regional estimates</t>
  </si>
  <si>
    <t>Would also result in 1 acre of wetlands not accounted for here as GHG reductions may be de minimis</t>
  </si>
  <si>
    <t>Total for the 2 separate measures analyzed above</t>
  </si>
  <si>
    <t>GHG Avoided - Total (metric tons)</t>
  </si>
  <si>
    <t xml:space="preserve">est. SOV trips avoided due to added bus route, sidewalks, bike stalls, and line to airport which could avoid SOV. The Blue Line alignment is currently served by Route 8, the system’s second-busiest route service ~80,000 passengers monthly. </t>
  </si>
  <si>
    <t>of bus stops/roads?</t>
  </si>
  <si>
    <t>Cost for Buses</t>
  </si>
  <si>
    <t>thousand $</t>
  </si>
  <si>
    <t>Cost for Buses up to program limit</t>
  </si>
  <si>
    <t>Cost per Hybrid Bus (purchase+fuel; excludes maint)</t>
  </si>
  <si>
    <t>Hybrid Diesel buses/routes to offset some SOV use</t>
  </si>
  <si>
    <t>CO2 (metric tons)</t>
  </si>
  <si>
    <t>EF improvement for Hybrid from NEBR &gt;&gt; https://nebr.us/news/hybrid-transit-bus-lower-co2/</t>
  </si>
  <si>
    <t>NET result</t>
  </si>
  <si>
    <t>est. SOV trips avoided due to Bike Share program; see Grassy Creek Trail folder for info leveraged to inform this (240 bikes for $1.2mil cost). Here assumes half the bikes may be regularly used to offset SOV daily commute</t>
  </si>
  <si>
    <t>removed</t>
  </si>
  <si>
    <t>Assumes more EV can now be on the road (instead of ICE) because public charger made available. Simplifying assumption of WORKPLACE charger where TWO EVs regularly use for ALL charging instead of TWO ICE so this may be MAX savings potential.</t>
  </si>
  <si>
    <t>Cars Charged per charger year at Workplace</t>
  </si>
  <si>
    <t>count</t>
  </si>
  <si>
    <t>general est.</t>
  </si>
  <si>
    <t>Annual elec demand to charge an EV (assuming all charging at workplace)</t>
  </si>
  <si>
    <t>MWh</t>
  </si>
  <si>
    <t>Over month, avg EV driver uses 408 kWh on charging https://www.energysage.com/electricity/house-watts/how-many-watts-does-an-electric-car-charger-use/</t>
  </si>
  <si>
    <t>Annual Mi Traveled by ICE (avoided by now being EV)</t>
  </si>
  <si>
    <t>mi</t>
  </si>
  <si>
    <t>National Avg VMT for LDV from 2017-2020 (FHWA)</t>
  </si>
  <si>
    <t>CO2 Emissions (metric tons)</t>
  </si>
  <si>
    <t>EV charging: Grid CO2 rate</t>
  </si>
  <si>
    <t>ICE annual emissions assuming current MY replaced</t>
  </si>
  <si>
    <t>Avoided Emissions from Solar Installations</t>
  </si>
  <si>
    <t>Adding Zero-emitting generation and avoiding average grid emissions rate</t>
  </si>
  <si>
    <t>Solar Size</t>
  </si>
  <si>
    <t>MW</t>
  </si>
  <si>
    <t>Annual generation</t>
  </si>
  <si>
    <t>avg. annual</t>
  </si>
  <si>
    <t>GHG Avoided (metric tons)</t>
  </si>
  <si>
    <t>project descrip 8-12 MW to provide power to 1,600-2,400 homes; max assumed here</t>
  </si>
  <si>
    <t>Average capacity factor</t>
  </si>
  <si>
    <t>Avg. home consumption</t>
  </si>
  <si>
    <t>MWh/yr</t>
  </si>
  <si>
    <t>Indiana est from https://www.energybot.com/blog/average-energy-consumption.html</t>
  </si>
  <si>
    <t>solar on 10 public buildings in the city</t>
  </si>
  <si>
    <t>Solar Production</t>
  </si>
  <si>
    <t>Avoided Emissions from EE measures</t>
  </si>
  <si>
    <t>Adding efficiency and avoiding average grid emissions rate and/or on-site gas use</t>
  </si>
  <si>
    <t>Table E1. Major fuels consumption by end use, 2018 (eia.gov)</t>
  </si>
  <si>
    <t xml:space="preserve">for LEDS; CBECS Table E1 - Average Building Energy Consumption from Lighting, North East Central  </t>
  </si>
  <si>
    <t>County Business Patterns: 2021 (census.gov)</t>
  </si>
  <si>
    <t>for Energy Insights Program NG; US Census County Business Patterns: 2021, County File Dataset</t>
  </si>
  <si>
    <t>https://view.officeapps.live.com/op/view.aspx?src=https%3A%2F%2Fwww.eia.gov%2Fconsumption%2Fcommercial%2Fdata%2F2018%2Fce%2Fxls%2Fe1.xlsx&amp;wdOrigin=BROWSELINK</t>
  </si>
  <si>
    <t>for LEDS; DOE - LED Lighting Energy Savings</t>
  </si>
  <si>
    <t>Center for Equity and Energy Behavior | Consortium for Energy Efficiency (cee1.org)</t>
  </si>
  <si>
    <t>for Energy Insights Program NG; Center for Equity and Energy Behavior, conservative</t>
  </si>
  <si>
    <t>project assumps</t>
  </si>
  <si>
    <t>https://www.energy.gov/energysaver/update-or-replace-windows</t>
  </si>
  <si>
    <t>for WINDOWS; DOE - windows = 25-30% of heating/cooling energy use</t>
  </si>
  <si>
    <t>https://www.regulations.doe.gov/certification-data/CCMS-4-Furnaces.html#q=Product_Group_s%3A%22Furnaces%22</t>
  </si>
  <si>
    <t>Avg. NG furnace AFUE in range of info from DOE</t>
  </si>
  <si>
    <t>https://www.energystar.gov/products/res_windows_doors_skylights</t>
  </si>
  <si>
    <t>for WINDOWS; Energy Star - new windows lowers energy bills by 13%; using as proxy for energy savings</t>
  </si>
  <si>
    <t>Natural Gas EF</t>
  </si>
  <si>
    <t>Emission Factors from EPA (CO2e/MMBtu; metric tons)</t>
  </si>
  <si>
    <t>MMBtu per 1 kWh</t>
  </si>
  <si>
    <t>standard conversion</t>
  </si>
  <si>
    <t>AVOIDED EMISSIONS EST. for Elec. HVAC Improvement</t>
  </si>
  <si>
    <t>Upgrade HVAC - data from them</t>
  </si>
  <si>
    <t>Proposed Annual HVAC Energy Consumption</t>
  </si>
  <si>
    <t>kWh</t>
  </si>
  <si>
    <t>&lt;--- See info in folder</t>
  </si>
  <si>
    <t>Existing Annual HVAC Energy Consumption</t>
  </si>
  <si>
    <t>Baseline</t>
  </si>
  <si>
    <t>Electricity Consumption (MWh)</t>
  </si>
  <si>
    <t>GHG (metric tons)</t>
  </si>
  <si>
    <t>After Project</t>
  </si>
  <si>
    <t>reduced kWh</t>
  </si>
  <si>
    <t>AVOIDED EMISSIONS EST. for Gas HVAC EE Improvement</t>
  </si>
  <si>
    <t>HVAC Controls replacement and boiler replacement</t>
  </si>
  <si>
    <t>Building's NG consumption</t>
  </si>
  <si>
    <t>MMbtu</t>
  </si>
  <si>
    <t>&lt;--- See "BaseBuildingConsump" sheet for assumptions</t>
  </si>
  <si>
    <t>AFUE</t>
  </si>
  <si>
    <t>Delivered NG (MMbtu)</t>
  </si>
  <si>
    <t>1 of 3</t>
  </si>
  <si>
    <t>HVAC controls/chiller and boiler replacement. See below for sep. analysis on LED lighting installation and Window replacement</t>
  </si>
  <si>
    <t>AVOIDED EMISSIONS EST. for Window Replacement</t>
  </si>
  <si>
    <t>2 of 3</t>
  </si>
  <si>
    <t>Window replacement. See above for sep. analysis on HVAC and below for sep. analysis on LED lighting installation. NOTE NEW WINDOWS ASSUMES HVAC IS AREADY REPLACED TO AVOID DOUBLE COUNTING</t>
  </si>
  <si>
    <t>Building's Window energy consumption</t>
  </si>
  <si>
    <t>DOE</t>
  </si>
  <si>
    <t>Improvement with new windows</t>
  </si>
  <si>
    <t>Energy Star</t>
  </si>
  <si>
    <t>Baseline - new HVAC, no new windows</t>
  </si>
  <si>
    <t>After Project - new HVAC, with new windows</t>
  </si>
  <si>
    <t>New Windows this yr</t>
  </si>
  <si>
    <t>AVOIDED EMISSIONS EST. for LED Light EE Improvement</t>
  </si>
  <si>
    <t>3 of 3</t>
  </si>
  <si>
    <t>LED lighting installation. See above for sep analyisis on HVAC controls/chiller and boiler replacement and below for Window replacement</t>
  </si>
  <si>
    <t>Building's Total Energy consumption</t>
  </si>
  <si>
    <r>
      <t>Building's Lighting Energy consumption (</t>
    </r>
    <r>
      <rPr>
        <sz val="9"/>
        <color theme="9"/>
        <rFont val="Arial"/>
        <family val="2"/>
      </rPr>
      <t>9% of total</t>
    </r>
    <r>
      <rPr>
        <sz val="9"/>
        <color theme="1"/>
        <rFont val="Arial"/>
        <family val="2"/>
      </rPr>
      <t>)</t>
    </r>
  </si>
  <si>
    <t>Lighting Electricity Consumption (MMbtu)</t>
  </si>
  <si>
    <t>Lighting Electricity Consumption (MWh)</t>
  </si>
  <si>
    <t>Energy Savings with LED Lighting</t>
  </si>
  <si>
    <t>Electric Demand for Lighting (MWh)</t>
  </si>
  <si>
    <t>BUILDING avoided emissions in total for above measures</t>
  </si>
  <si>
    <t>Total for the 3 separate measures analyzed above</t>
  </si>
  <si>
    <t>Total for the 2 separate measures analyzed above is EE; solar on diff sheet</t>
  </si>
  <si>
    <t>Industrial EE</t>
  </si>
  <si>
    <t>SAVED electricity use</t>
  </si>
  <si>
    <t>SAVED gas use</t>
  </si>
  <si>
    <t>GHG (metric tons) saved from avoided electricity</t>
  </si>
  <si>
    <t>GHG (metric tons) saved from avoided gas</t>
  </si>
  <si>
    <t>AVOIDED EMISSIONS EST. for Energy Audits</t>
  </si>
  <si>
    <t>Program expansion offers energy audits and planning efforts to install energy efficienct measures in 100 new industrial facilities</t>
  </si>
  <si>
    <t>Average Electricity Usage per Participant</t>
  </si>
  <si>
    <t>&lt;--- CIRDA Estimated Value</t>
  </si>
  <si>
    <t>Average Electricity Savings with Program Participation</t>
  </si>
  <si>
    <t>Total New Participants</t>
  </si>
  <si>
    <t>facilities</t>
  </si>
  <si>
    <t>&lt;--- CIRDA Value</t>
  </si>
  <si>
    <t>Program-Wide Electricity Consumption (MWh)</t>
  </si>
  <si>
    <t>Program expanded this year</t>
  </si>
  <si>
    <t>Assume 10 year lifetime of EE upgrade</t>
  </si>
  <si>
    <t>Electricity Demand (percentage)</t>
  </si>
  <si>
    <t>Program-Wide Electric Demand (MWh)</t>
  </si>
  <si>
    <t>Program-Wide Electric Savings (MWh)</t>
  </si>
  <si>
    <t>Total Industrial NG Consumption in CIRDA Region</t>
  </si>
  <si>
    <t>MMBtu</t>
  </si>
  <si>
    <t>&lt;--- CIRDA 2022 GHG Inventory (excludes waste facilities)</t>
  </si>
  <si>
    <t>Industrial Manufacturing Facilities in CIRDA Region</t>
  </si>
  <si>
    <t>Average NG Consumption per Facility</t>
  </si>
  <si>
    <t>Program-Wide Delivered NG (MMBtu)</t>
  </si>
  <si>
    <t>Total-GHG (metric tons)</t>
  </si>
  <si>
    <t>Those That May Undertake Behavioral Change-GHG (metric tons)</t>
  </si>
  <si>
    <t>Assume 10 year lifetime of Gas Efficiency Upgrade</t>
  </si>
  <si>
    <t>NG Consumption Reduced with Behavioral Program</t>
  </si>
  <si>
    <t>&lt;-- participants that make change</t>
  </si>
  <si>
    <t>Program-Wide Delivered NG</t>
  </si>
  <si>
    <t>Those That Undertook Behavioral Change-GHG (metric tons)</t>
  </si>
  <si>
    <t>Avoided Emissions from RNG Production from Food and Ag Waste</t>
  </si>
  <si>
    <t>Indianapolis Area Renewable Energy and Waste Reduction Operation</t>
  </si>
  <si>
    <t>2 farm options averaged</t>
  </si>
  <si>
    <t>ERM est. of IN state electricity grid mix based on AEO 2023 regional generation projections</t>
  </si>
  <si>
    <t>Alternative Fuels Data Center: Maps and Data - Average Fuel Economy by Major Vehicle Category (energy.gov)</t>
  </si>
  <si>
    <t>Alternative Fuels Data Center - Avg Fuel Economy by Major Vehicle Category (Refuse Truck)</t>
  </si>
  <si>
    <t>Local Greenhouse Gas Inventory Tool | US EPA</t>
  </si>
  <si>
    <t>Fertilizer GHG Emissions Calculation</t>
  </si>
  <si>
    <t>fossil fuel generation Emission Factors from GREET</t>
  </si>
  <si>
    <t xml:space="preserve">Average on-reoad fuel economy - Class 4-6 Vehicles </t>
  </si>
  <si>
    <t>emission-factors_mar_2018_0.pdf (epa.gov)</t>
  </si>
  <si>
    <t>EPA Default Emissions Factors</t>
  </si>
  <si>
    <t>https://www.epa.gov/system/files/documents/2023-12/warm_organic_materials_v16_dec.pdf</t>
  </si>
  <si>
    <t>EPA WARM Model Emission Factors - Composting Food Waste</t>
  </si>
  <si>
    <t>Motor Gasoline EF - CO2</t>
  </si>
  <si>
    <t>Emissions Factors from EPA (ton CO2/gal)</t>
  </si>
  <si>
    <t>Gasoline Heavy Duty Truck EF - CH4</t>
  </si>
  <si>
    <t>Emissions Factors from EPA (ton CH4/mile)</t>
  </si>
  <si>
    <t>Gasoline Heavy Duty Truck EF - N2O</t>
  </si>
  <si>
    <t>Emissions Factors from EPA (ton N2O/mile)</t>
  </si>
  <si>
    <t>Global Warming Potential - CH4</t>
  </si>
  <si>
    <t>Required to use GWPS from ICPP 5th AR; these are also used on other sheets</t>
  </si>
  <si>
    <t>Global Warming Potential - N2O</t>
  </si>
  <si>
    <t>AVOIDED EMISSIONS EST. for RNG Production</t>
  </si>
  <si>
    <t>Indy RE &amp; Waste Reduction Operation</t>
  </si>
  <si>
    <t>Anaerobic Digester RNG Production</t>
  </si>
  <si>
    <t>Digester RNG Production - Farm 1</t>
  </si>
  <si>
    <t>&lt;-- IMS Estimated Value</t>
  </si>
  <si>
    <t>Digester RNG Production - Farm 2</t>
  </si>
  <si>
    <t>Baseline - Farm 1</t>
  </si>
  <si>
    <t>Natural Gas Delivered (MMBtu)</t>
  </si>
  <si>
    <t>Baseline - Farm 2</t>
  </si>
  <si>
    <t>After Project - Farm 1</t>
  </si>
  <si>
    <t>RNG Produced</t>
  </si>
  <si>
    <t>After Project - Farm 2</t>
  </si>
  <si>
    <t>GHG Avoided - Farm 1 (metric tons)</t>
  </si>
  <si>
    <t>GHG Avoided - Farm 2 (metric tons)</t>
  </si>
  <si>
    <t>EMISSIONS EST. for Transportation</t>
  </si>
  <si>
    <t>Waste Transportation</t>
  </si>
  <si>
    <t>Refuse Truck</t>
  </si>
  <si>
    <t>MPG (gasoline)</t>
  </si>
  <si>
    <t>Class 4-6 Vehicle</t>
  </si>
  <si>
    <t>Distance from Indy, Round Trip - Farm 1</t>
  </si>
  <si>
    <t>miles</t>
  </si>
  <si>
    <t>Distance from Indy, Round Trip - Farm 2</t>
  </si>
  <si>
    <t>Distance from IMS, Round Trip - GreenCycle</t>
  </si>
  <si>
    <t>&lt;-- Google Maps value</t>
  </si>
  <si>
    <t>Trips per year (1 per week)</t>
  </si>
  <si>
    <t>trips</t>
  </si>
  <si>
    <t>VMT</t>
  </si>
  <si>
    <t>Gallons of Gasoline Consumed</t>
  </si>
  <si>
    <t>GHG (tons CO2)</t>
  </si>
  <si>
    <t>GHG (tons CH4)</t>
  </si>
  <si>
    <t>GHG (tons N2O)</t>
  </si>
  <si>
    <t>GHG (tons CO2e)</t>
  </si>
  <si>
    <t>GHG Added - Farm 1 (metric tons)</t>
  </si>
  <si>
    <t>GHG Added - Farm 2 (metric tons)</t>
  </si>
  <si>
    <t>EMISSIONS EST. for Digester Energy Consumption</t>
  </si>
  <si>
    <t>Digester Operations</t>
  </si>
  <si>
    <t>Data unavailable - Not calculated</t>
  </si>
  <si>
    <t>EMISSIONS EST. for Food Waste Composting</t>
  </si>
  <si>
    <t>IMS Food Waste Composting</t>
  </si>
  <si>
    <t>Food Waste Composting Emissions Factor</t>
  </si>
  <si>
    <t>MT CO2e / short ton</t>
  </si>
  <si>
    <t>Total Food Waste</t>
  </si>
  <si>
    <t>tons / year</t>
  </si>
  <si>
    <t>GHG Added (no composting, metric tons)</t>
  </si>
  <si>
    <t>EMISSIONS EST. for Animal Waste Fertilizer</t>
  </si>
  <si>
    <t>Dairy Farm Fertilizer Application</t>
  </si>
  <si>
    <t>Total Manure Applied - Farm 1</t>
  </si>
  <si>
    <t>metric tons per year</t>
  </si>
  <si>
    <t>Total Manure Applied - Farm 2</t>
  </si>
  <si>
    <t>Values Obtained Using EPA's Local GHG Inventory Tool - Agriculture and Land Management</t>
  </si>
  <si>
    <t>GHG - Farm 1 (metric tons)</t>
  </si>
  <si>
    <t>GHG - Farm 2 (metric tons)</t>
  </si>
  <si>
    <t>GHG Avoided Farm 1 - (no fertilizer, metric tons)</t>
  </si>
  <si>
    <t>GHG Avoided Farm 2 - (no fertilizer, metric tons)</t>
  </si>
  <si>
    <t>NET EMISSIONS EST. in total for above measures</t>
  </si>
  <si>
    <t>Net emissions incl. added transport emissions, food waste compost, animal waste fertilizer, and emissions avoided from reduced energy consumption</t>
  </si>
  <si>
    <t>GHG Avoided Total - Farm 1 (metric tons)</t>
  </si>
  <si>
    <t>GHG Avoided Total - Farm 2 (metric tons)</t>
  </si>
  <si>
    <t>Estimated Electricity Grid Emission Rate</t>
  </si>
  <si>
    <t>ERM est. of IN state electricity grid mix based on AEO 2023 regional generation projections - See GHG Appendix for more information</t>
  </si>
  <si>
    <t>National Avg. fossil fuel generation Emission Factors from GREET</t>
  </si>
  <si>
    <t>ICPP 5th AR</t>
  </si>
  <si>
    <t>AEO 2023 - generation mix adapted to IN</t>
  </si>
  <si>
    <t>% Zero Emitting</t>
  </si>
  <si>
    <t>% Natural Gas</t>
  </si>
  <si>
    <t>% Coal</t>
  </si>
  <si>
    <t>Emission Factors (g/kWh)</t>
  </si>
  <si>
    <t>NGCC - GHG</t>
  </si>
  <si>
    <t>NGCC - CO2</t>
  </si>
  <si>
    <t>NGCC - CH4</t>
  </si>
  <si>
    <t>NGCC - N2O</t>
  </si>
  <si>
    <t>Coal - GHG</t>
  </si>
  <si>
    <t>Coal - CO2</t>
  </si>
  <si>
    <t>Coal - CH4</t>
  </si>
  <si>
    <t>Coal - N2O</t>
  </si>
  <si>
    <t>Avg. Grid Emissions Rate (g/kWh)</t>
  </si>
  <si>
    <t>Used on other sheets for calcs</t>
  </si>
  <si>
    <t>GHG (lb/MWh)</t>
  </si>
  <si>
    <t>Baseline Building Energy Consumption</t>
  </si>
  <si>
    <t>Conversions</t>
  </si>
  <si>
    <t>b1.xlsx (live.com)</t>
  </si>
  <si>
    <t>CBECS Table B1, East North Central</t>
  </si>
  <si>
    <t>million</t>
  </si>
  <si>
    <t>c1.xlsx (live.com)</t>
  </si>
  <si>
    <t>CBECS Table C1, East North Central</t>
  </si>
  <si>
    <t>trillion</t>
  </si>
  <si>
    <t>b20.xlsx (live.com)</t>
  </si>
  <si>
    <t>CBECS Table B20, East North Central</t>
  </si>
  <si>
    <t>https://indyartcenter.org/about-us/</t>
  </si>
  <si>
    <t>Indianapolis Art Center Website</t>
  </si>
  <si>
    <t>https://www.xome.com/realestate/6280-w-800-n-mccordsville-in-46055-43161547</t>
  </si>
  <si>
    <t>XOME</t>
  </si>
  <si>
    <t>https://en.wikipedia.org/wiki/Indianapolis_Union_Station</t>
  </si>
  <si>
    <t>Indianapolis Union Station Wiki</t>
  </si>
  <si>
    <t>https://www.eia.gov/consumption/commercial/data/2018/#b3-b5</t>
  </si>
  <si>
    <t>CBECS Table B4 and B5 - Average Building Size for Education facilities, East North Central</t>
  </si>
  <si>
    <t>701435 CPRG Central Indiana Climate Action Plan - City Market_Existing Conditions.pdf - All Documents (sharepoint.com)</t>
  </si>
  <si>
    <t>City Market Existing Conditions pdf</t>
  </si>
  <si>
    <t>Project Assumptions</t>
  </si>
  <si>
    <t>Building Energy Consumption (trillion Btu)</t>
  </si>
  <si>
    <t>Total Natural Gas Consumption</t>
  </si>
  <si>
    <t>Total Electric Consumption</t>
  </si>
  <si>
    <t>Sum of All Major Fuels</t>
  </si>
  <si>
    <t>Building Floorspace (million square feet)</t>
  </si>
  <si>
    <t>Total Floorspace Using Natural Gas</t>
  </si>
  <si>
    <t>Total Floorspace Using Electricity</t>
  </si>
  <si>
    <t>Total Floorspace Using Any Energy Source</t>
  </si>
  <si>
    <t>Average Building Energy Consumption (Btu/sq ft)</t>
  </si>
  <si>
    <t>Natural Gas</t>
  </si>
  <si>
    <t>Electricity</t>
  </si>
  <si>
    <t>All Energy Sources</t>
  </si>
  <si>
    <t>Building Size (sq ft)</t>
  </si>
  <si>
    <t>Marilyn K. Glick School of Art at Indianapolis Art Center</t>
  </si>
  <si>
    <t>McCordsville Town Hall</t>
  </si>
  <si>
    <t>Union Station</t>
  </si>
  <si>
    <t>Crispus Attucks High School</t>
  </si>
  <si>
    <t>City Market</t>
  </si>
  <si>
    <t>Average Commercial Building Size</t>
  </si>
  <si>
    <t>BUILDING ENERGY CONSUMPTION EST.</t>
  </si>
  <si>
    <t xml:space="preserve">Indianapolis Art Center </t>
  </si>
  <si>
    <t>Building NG Consumption (MMBtu)</t>
  </si>
  <si>
    <t>Building Electric Consumption (MMBtu)</t>
  </si>
  <si>
    <t>Building Total Energy Consumption (MMBtu)</t>
  </si>
  <si>
    <t>Indianapolis Union Station</t>
  </si>
  <si>
    <t xml:space="preserve">Crispus Attucks High School </t>
  </si>
  <si>
    <t xml:space="preserve">Avg. Commercial </t>
  </si>
  <si>
    <t>Fund Category</t>
  </si>
  <si>
    <t>GHG Measure</t>
  </si>
  <si>
    <t>See Below</t>
  </si>
  <si>
    <t>CPI for All Urban Consumers (CPI-U)</t>
  </si>
  <si>
    <t>from BLS</t>
  </si>
  <si>
    <t>Original Data Value</t>
  </si>
  <si>
    <t>Series Id:</t>
  </si>
  <si>
    <t>CUUR0000SA0</t>
  </si>
  <si>
    <t>Not Seasonally Adjusted</t>
  </si>
  <si>
    <t>Series Title:</t>
  </si>
  <si>
    <t>All items in U.S. city average, all urban consumers, not seasonally adjusted</t>
  </si>
  <si>
    <t>Area:</t>
  </si>
  <si>
    <t>U.S. city average</t>
  </si>
  <si>
    <t>Item:</t>
  </si>
  <si>
    <t>All items</t>
  </si>
  <si>
    <t>Base Period:</t>
  </si>
  <si>
    <t>1982-84=100</t>
  </si>
  <si>
    <t>Years:</t>
  </si>
  <si>
    <t>1913 to 2023</t>
  </si>
  <si>
    <t>Data: https://data.bls.gov/pdq/SurveyOutputServlet</t>
  </si>
  <si>
    <t>Year</t>
  </si>
  <si>
    <t>Jan</t>
  </si>
  <si>
    <t>Feb</t>
  </si>
  <si>
    <t>Mar</t>
  </si>
  <si>
    <t>Apr</t>
  </si>
  <si>
    <t>May</t>
  </si>
  <si>
    <t>Jun</t>
  </si>
  <si>
    <t>Jul</t>
  </si>
  <si>
    <t>Aug</t>
  </si>
  <si>
    <t>Sep</t>
  </si>
  <si>
    <t>Oct</t>
  </si>
  <si>
    <t>Nov</t>
  </si>
  <si>
    <t>Dec</t>
  </si>
  <si>
    <t>Annual</t>
  </si>
  <si>
    <t>MWh avoided</t>
  </si>
  <si>
    <t>MMBtu avoided</t>
  </si>
  <si>
    <t>MMBtu gas avoided</t>
  </si>
  <si>
    <t>acres planted</t>
  </si>
  <si>
    <t>Avg.</t>
  </si>
  <si>
    <t>For ReadMe Summary:</t>
  </si>
  <si>
    <r>
      <rPr>
        <b/>
        <sz val="9"/>
        <rFont val="Arial"/>
        <family val="2"/>
      </rPr>
      <t xml:space="preserve">Cost
</t>
    </r>
    <r>
      <rPr>
        <sz val="9"/>
        <rFont val="Arial"/>
        <family val="2"/>
      </rPr>
      <t>($/MT of CO2e avoided)</t>
    </r>
  </si>
  <si>
    <t>Below represents 1 year's worth after all projects have been implemented (i.e. funds dispensed); e.g. the year 2029</t>
  </si>
  <si>
    <t>Metrics for LIDAC Enviromental Benefits Analysis in AVERT/COBRA</t>
  </si>
  <si>
    <t>Total Solar Size (estimated for LIDAC analysis)</t>
  </si>
  <si>
    <t>MMBtu saved (for LIDAC analysis)</t>
  </si>
  <si>
    <t>Total MMBtu saved (for LIDAC analysis)</t>
  </si>
  <si>
    <t>MW solar added</t>
  </si>
  <si>
    <t>count of additional EVs rather than ICE</t>
  </si>
  <si>
    <t>Revolving Fund</t>
  </si>
  <si>
    <t>Note this is total MWh avoided and does not account for fuel type (some MWh avoided may be zero-emitting)</t>
  </si>
  <si>
    <t>Only for Natural Gas-fired generation (based on 2027 grid mix)</t>
  </si>
  <si>
    <t>Note this includes onsite gas use and MWh avoided for electricity (accounted for as MMBtu of gas) so MWh included here only account for those from gas-fired gen based on projected grid mix</t>
  </si>
  <si>
    <t>miles of trails</t>
  </si>
  <si>
    <t>GHG Emissions Reduction Analysis Summary Results</t>
  </si>
  <si>
    <t>Contents</t>
  </si>
  <si>
    <t>Programs</t>
  </si>
  <si>
    <t>Projects</t>
  </si>
  <si>
    <t>GHG reduction analysis for Indianapolis Area Renewable Energy and Waste Reduction pilot project</t>
  </si>
  <si>
    <t>GHG reduction analyses for the two programs</t>
  </si>
  <si>
    <t>GHG reduction analyses summarization of individual pilot projects and example projects, used for the programs analyses</t>
  </si>
  <si>
    <t>GHG reduction analysis for pilot project for which GHG reduction data was provided by the project developer</t>
  </si>
  <si>
    <t>GHG reduction analyses for pilot projects and example projects relating to land use and carbon sequestration including tree planting and wetlands establishment</t>
  </si>
  <si>
    <t>GHG reduction analyses for pilot projects and example projects relating to transportation e.g. walking trails and public transportation initiative examples</t>
  </si>
  <si>
    <t>GHG reduction analyses for pilot projects installing new solar capacity</t>
  </si>
  <si>
    <t>GHG reduction analyses for pilot projects implementing energy efficiency measures in electricity and/or natural gas consumption</t>
  </si>
  <si>
    <t>GridEF</t>
  </si>
  <si>
    <t>Underlying analysis to project electricity grid emission rate used in GHG analyses where electricity consumption is impacted</t>
  </si>
  <si>
    <t>BaseBuildingConsmp</t>
  </si>
  <si>
    <t>Underlying analysis to estimate specific pilot projects' baseline electricity and natural gas consumption to use in analyses</t>
  </si>
  <si>
    <t>bikes purchased</t>
  </si>
  <si>
    <t>Lists</t>
  </si>
  <si>
    <t>Used for organizing categories and drop downs across sheets</t>
  </si>
  <si>
    <t>CPI</t>
  </si>
  <si>
    <t>Used to ensure cost inputs all in $2023</t>
  </si>
  <si>
    <t>diesel hybrid buses purchased</t>
  </si>
  <si>
    <t>See Grant Application and accompanying "GHG Reduction Analysis Appendix" for more information.</t>
  </si>
  <si>
    <t>Supporting 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</si>
</sst>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6" formatCode="&quot;$&quot;#,##0_);[Red]\(&quot;$&quot;#,##0\)"/>
    <numFmt numFmtId="44" formatCode="_(&quot;$&quot;* #,##0.00_);_(&quot;$&quot;* \(#,##0.00\);_(&quot;$&quot;* &quot;-&quot;??_);_(@_)"/>
    <numFmt numFmtId="43" formatCode="_(* #,##0.00_);_(* \(#,##0.00\);_(* &quot;-&quot;??_);_(@_)"/>
    <numFmt numFmtId="164" formatCode="0.0"/>
    <numFmt numFmtId="165" formatCode="0.000"/>
    <numFmt numFmtId="166" formatCode="#,##0.0"/>
    <numFmt numFmtId="167" formatCode="#,##0.0000"/>
    <numFmt numFmtId="168" formatCode="&quot;$&quot;#,##0.00"/>
    <numFmt numFmtId="169" formatCode="&quot;$&quot;#,##0"/>
    <numFmt numFmtId="170" formatCode="_(* #,##0_);_(* \(#,##0\);_(* &quot;-&quot;??_);_(@_)"/>
    <numFmt numFmtId="171" formatCode="#,##0.00000"/>
    <numFmt numFmtId="172" formatCode="0.0_);[Red]\(0.0\)"/>
    <numFmt numFmtId="173" formatCode="#,##0.0_);[Red]\(#,##0.0\)"/>
    <numFmt numFmtId="174" formatCode="0_);[Red]\(0\)"/>
    <numFmt numFmtId="175" formatCode="#0.0"/>
    <numFmt numFmtId="176" formatCode="#0.000"/>
    <numFmt numFmtId="177" formatCode="0.00_);[Red]\(0.00\)"/>
    <numFmt numFmtId="178" formatCode="#,##0.00000000"/>
    <numFmt numFmtId="179" formatCode="0.0%"/>
    <numFmt numFmtId="180" formatCode="&quot;$&quot;#,##0.0"/>
    <numFmt numFmtId="181" formatCode="&quot;$&quot;#,##0.0_);[Red]\(&quot;$&quot;#,##0.0\)"/>
  </numFmts>
  <fonts count="78" x14ac:knownFonts="1">
    <font>
      <sz val="9"/>
      <color theme="1"/>
      <name val="Arial"/>
      <family val="2"/>
    </font>
    <font>
      <sz val="11"/>
      <color theme="1"/>
      <name val="Aptos Narrow"/>
      <family val="2"/>
      <scheme val="minor"/>
    </font>
    <font>
      <sz val="9"/>
      <color theme="1"/>
      <name val="Arial"/>
      <family val="2"/>
    </font>
    <font>
      <b/>
      <sz val="9"/>
      <color theme="1"/>
      <name val="Arial"/>
      <family val="2"/>
    </font>
    <font>
      <sz val="9"/>
      <color rgb="FF7030A0"/>
      <name val="Arial"/>
      <family val="2"/>
    </font>
    <font>
      <sz val="9"/>
      <name val="Arial"/>
      <family val="2"/>
    </font>
    <font>
      <sz val="10"/>
      <name val="Arial"/>
      <family val="2"/>
    </font>
    <font>
      <b/>
      <sz val="9"/>
      <name val="Arial"/>
      <family val="2"/>
    </font>
    <font>
      <u/>
      <sz val="9"/>
      <color theme="10"/>
      <name val="Arial"/>
      <family val="2"/>
    </font>
    <font>
      <sz val="9"/>
      <color theme="5"/>
      <name val="Arial"/>
      <family val="2"/>
    </font>
    <font>
      <sz val="9"/>
      <color rgb="FF0070C0"/>
      <name val="Arial"/>
      <family val="2"/>
    </font>
    <font>
      <b/>
      <sz val="9"/>
      <color rgb="FF0070C0"/>
      <name val="Arial"/>
      <family val="2"/>
    </font>
    <font>
      <b/>
      <sz val="9"/>
      <color theme="6"/>
      <name val="Arial"/>
      <family val="2"/>
    </font>
    <font>
      <sz val="8"/>
      <color rgb="FF7030A0"/>
      <name val="Arial"/>
      <family val="2"/>
    </font>
    <font>
      <sz val="8"/>
      <color theme="0" tint="-0.34998626667073579"/>
      <name val="Arial"/>
      <family val="2"/>
    </font>
    <font>
      <b/>
      <sz val="8"/>
      <color rgb="FF7030A0"/>
      <name val="Arial"/>
      <family val="2"/>
    </font>
    <font>
      <sz val="9"/>
      <color theme="6"/>
      <name val="Arial"/>
      <family val="2"/>
    </font>
    <font>
      <b/>
      <u/>
      <sz val="9"/>
      <color theme="6"/>
      <name val="Arial"/>
      <family val="2"/>
    </font>
    <font>
      <sz val="9"/>
      <color rgb="FF00B0F0"/>
      <name val="Arial"/>
      <family val="2"/>
    </font>
    <font>
      <sz val="9"/>
      <color theme="8"/>
      <name val="Arial"/>
      <family val="2"/>
    </font>
    <font>
      <sz val="9"/>
      <color theme="0" tint="-0.34998626667073579"/>
      <name val="Arial"/>
      <family val="2"/>
    </font>
    <font>
      <sz val="9"/>
      <color theme="8" tint="0.39997558519241921"/>
      <name val="Arial"/>
      <family val="2"/>
    </font>
    <font>
      <sz val="9"/>
      <color rgb="FFC00000"/>
      <name val="Arial"/>
      <family val="2"/>
    </font>
    <font>
      <sz val="9"/>
      <color rgb="FFFF0000"/>
      <name val="Arial"/>
      <family val="2"/>
    </font>
    <font>
      <sz val="10"/>
      <color theme="1"/>
      <name val="Aptos Narrow"/>
      <family val="2"/>
      <scheme val="minor"/>
    </font>
    <font>
      <b/>
      <sz val="8"/>
      <name val="Arial"/>
      <family val="2"/>
    </font>
    <font>
      <sz val="8"/>
      <name val="Arial"/>
      <family val="2"/>
    </font>
    <font>
      <b/>
      <sz val="9"/>
      <color rgb="FFFF0000"/>
      <name val="Arial"/>
      <family val="2"/>
    </font>
    <font>
      <b/>
      <sz val="9"/>
      <color theme="0" tint="-0.499984740745262"/>
      <name val="Arial"/>
      <family val="2"/>
    </font>
    <font>
      <sz val="9"/>
      <color theme="0" tint="-0.499984740745262"/>
      <name val="Arial"/>
      <family val="2"/>
    </font>
    <font>
      <sz val="8"/>
      <color theme="1"/>
      <name val="Arial"/>
      <family val="2"/>
    </font>
    <font>
      <b/>
      <sz val="8"/>
      <color theme="1"/>
      <name val="Arial"/>
      <family val="2"/>
    </font>
    <font>
      <sz val="11"/>
      <color theme="1"/>
      <name val="Aptos Narrow"/>
      <family val="2"/>
      <scheme val="minor"/>
    </font>
    <font>
      <sz val="8"/>
      <color theme="0" tint="-0.499984740745262"/>
      <name val="Arial"/>
      <family val="2"/>
    </font>
    <font>
      <sz val="8"/>
      <color rgb="FFFF0000"/>
      <name val="Arial"/>
      <family val="2"/>
    </font>
    <font>
      <b/>
      <sz val="9"/>
      <color indexed="81"/>
      <name val="Tahoma"/>
      <family val="2"/>
    </font>
    <font>
      <sz val="9"/>
      <color indexed="81"/>
      <name val="Tahoma"/>
      <family val="2"/>
    </font>
    <font>
      <b/>
      <sz val="9"/>
      <color rgb="FF00B0F0"/>
      <name val="Arial"/>
      <family val="2"/>
    </font>
    <font>
      <sz val="9"/>
      <color theme="7" tint="-0.499984740745262"/>
      <name val="Arial"/>
      <family val="2"/>
    </font>
    <font>
      <b/>
      <sz val="9"/>
      <color theme="7" tint="-0.499984740745262"/>
      <name val="Arial"/>
      <family val="2"/>
    </font>
    <font>
      <sz val="9"/>
      <color theme="8" tint="-0.249977111117893"/>
      <name val="Arial"/>
      <family val="2"/>
    </font>
    <font>
      <sz val="8"/>
      <color theme="8" tint="-0.249977111117893"/>
      <name val="Arial"/>
      <family val="2"/>
    </font>
    <font>
      <b/>
      <sz val="9"/>
      <color rgb="FF000000"/>
      <name val="Arial"/>
      <family val="2"/>
    </font>
    <font>
      <sz val="9"/>
      <color rgb="FF000000"/>
      <name val="Arial"/>
      <family val="2"/>
    </font>
    <font>
      <sz val="9"/>
      <color theme="0" tint="-0.249977111117893"/>
      <name val="Arial"/>
      <family val="2"/>
    </font>
    <font>
      <sz val="9"/>
      <color rgb="FF00B050"/>
      <name val="Arial"/>
      <family val="2"/>
    </font>
    <font>
      <sz val="9"/>
      <color rgb="FF002060"/>
      <name val="Arial"/>
      <family val="2"/>
    </font>
    <font>
      <b/>
      <u/>
      <sz val="9"/>
      <color theme="9" tint="-0.499984740745262"/>
      <name val="Arial"/>
      <family val="2"/>
    </font>
    <font>
      <sz val="9"/>
      <color theme="5" tint="-0.499984740745262"/>
      <name val="Arial"/>
      <family val="2"/>
    </font>
    <font>
      <sz val="8"/>
      <color rgb="FF00B0F0"/>
      <name val="Arial"/>
      <family val="2"/>
    </font>
    <font>
      <sz val="9"/>
      <color theme="9"/>
      <name val="Arial"/>
      <family val="2"/>
    </font>
    <font>
      <sz val="9"/>
      <color theme="0"/>
      <name val="Arial"/>
      <family val="2"/>
    </font>
    <font>
      <b/>
      <u/>
      <sz val="9"/>
      <color theme="1"/>
      <name val="Arial"/>
      <family val="2"/>
    </font>
    <font>
      <u/>
      <sz val="9"/>
      <color theme="1"/>
      <name val="Arial"/>
      <family val="2"/>
    </font>
    <font>
      <b/>
      <u/>
      <sz val="9"/>
      <color theme="0"/>
      <name val="Arial"/>
      <family val="2"/>
    </font>
    <font>
      <b/>
      <sz val="8"/>
      <color theme="6"/>
      <name val="Arial"/>
      <family val="2"/>
    </font>
    <font>
      <b/>
      <sz val="9"/>
      <color theme="3"/>
      <name val="Arial"/>
      <family val="2"/>
    </font>
    <font>
      <sz val="11"/>
      <color indexed="8"/>
      <name val="Aptos Narrow"/>
      <family val="2"/>
      <scheme val="minor"/>
    </font>
    <font>
      <sz val="8"/>
      <color indexed="8"/>
      <name val="Arial"/>
      <family val="2"/>
    </font>
    <font>
      <b/>
      <sz val="8"/>
      <color indexed="8"/>
      <name val="Arial"/>
      <family val="2"/>
    </font>
    <font>
      <sz val="9"/>
      <color rgb="FFFFC000"/>
      <name val="Arial"/>
      <family val="2"/>
    </font>
    <font>
      <sz val="9"/>
      <color theme="7"/>
      <name val="Arial"/>
      <family val="2"/>
    </font>
    <font>
      <sz val="8"/>
      <color rgb="FFC00000"/>
      <name val="Arial"/>
      <family val="2"/>
    </font>
    <font>
      <sz val="8"/>
      <color rgb="FFFFC000"/>
      <name val="Arial"/>
      <family val="2"/>
    </font>
    <font>
      <b/>
      <u/>
      <sz val="8"/>
      <color theme="6"/>
      <name val="Arial"/>
      <family val="2"/>
    </font>
    <font>
      <sz val="9"/>
      <color rgb="FF92D050"/>
      <name val="Arial"/>
      <family val="2"/>
    </font>
    <font>
      <b/>
      <sz val="9"/>
      <color rgb="FF7030A0"/>
      <name val="Arial"/>
      <family val="2"/>
    </font>
    <font>
      <u/>
      <sz val="9"/>
      <color rgb="FF00B050"/>
      <name val="Arial"/>
      <family val="2"/>
    </font>
    <font>
      <u/>
      <sz val="9"/>
      <color rgb="FFFFC000"/>
      <name val="Arial"/>
      <family val="2"/>
    </font>
    <font>
      <u/>
      <sz val="9"/>
      <color theme="8"/>
      <name val="Arial"/>
      <family val="2"/>
    </font>
    <font>
      <u/>
      <sz val="9"/>
      <color theme="8" tint="0.39997558519241921"/>
      <name val="Arial"/>
      <family val="2"/>
    </font>
    <font>
      <u/>
      <sz val="9"/>
      <color theme="3" tint="0.499984740745262"/>
      <name val="Arial"/>
      <family val="2"/>
    </font>
    <font>
      <sz val="9"/>
      <color theme="3" tint="0.499984740745262"/>
      <name val="Arial"/>
      <family val="2"/>
    </font>
    <font>
      <sz val="7"/>
      <color theme="1"/>
      <name val="Verdana"/>
      <family val="2"/>
    </font>
    <font>
      <sz val="9"/>
      <color theme="9" tint="-0.249977111117893"/>
      <name val="Arial"/>
      <family val="2"/>
    </font>
    <font>
      <sz val="8"/>
      <color theme="0" tint="-0.249977111117893"/>
      <name val="Arial"/>
      <family val="2"/>
    </font>
    <font>
      <b/>
      <sz val="11"/>
      <color theme="1"/>
      <name val="Arial"/>
      <family val="2"/>
    </font>
    <font>
      <b/>
      <sz val="13"/>
      <color theme="1"/>
      <name val="Arial"/>
      <family val="2"/>
    </font>
  </fonts>
  <fills count="17">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89999084444715716"/>
        <bgColor indexed="64"/>
      </patternFill>
    </fill>
    <fill>
      <patternFill patternType="solid">
        <fgColor theme="8" tint="0.79998168889431442"/>
        <bgColor indexed="64"/>
      </patternFill>
    </fill>
    <fill>
      <patternFill patternType="solid">
        <fgColor theme="3" tint="0.749992370372631"/>
        <bgColor indexed="64"/>
      </patternFill>
    </fill>
    <fill>
      <patternFill patternType="solid">
        <fgColor theme="3" tint="0.499984740745262"/>
        <bgColor indexed="64"/>
      </patternFill>
    </fill>
    <fill>
      <patternFill patternType="solid">
        <fgColor theme="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D9D9D9"/>
        <bgColor indexed="64"/>
      </patternFill>
    </fill>
  </fills>
  <borders count="22">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right/>
      <top/>
      <bottom style="thin">
        <color theme="1" tint="0.499984740745262"/>
      </bottom>
      <diagonal/>
    </border>
    <border>
      <left style="thin">
        <color theme="0" tint="-0.499984740745262"/>
      </left>
      <right/>
      <top/>
      <bottom/>
      <diagonal/>
    </border>
    <border>
      <left style="thin">
        <color theme="0" tint="-0.499984740745262"/>
      </left>
      <right/>
      <top/>
      <bottom style="thin">
        <color theme="1" tint="0.499984740745262"/>
      </bottom>
      <diagonal/>
    </border>
    <border>
      <left/>
      <right/>
      <top style="thin">
        <color auto="1"/>
      </top>
      <bottom/>
      <diagonal/>
    </border>
    <border>
      <left style="thin">
        <color auto="1"/>
      </left>
      <right style="thin">
        <color auto="1"/>
      </right>
      <top/>
      <bottom style="thin">
        <color auto="1"/>
      </bottom>
      <diagonal/>
    </border>
    <border>
      <left/>
      <right/>
      <top/>
      <bottom style="thick">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ck">
        <color auto="1"/>
      </left>
      <right/>
      <top style="thin">
        <color auto="1"/>
      </top>
      <bottom style="thin">
        <color auto="1"/>
      </bottom>
      <diagonal/>
    </border>
    <border>
      <left style="thick">
        <color auto="1"/>
      </left>
      <right style="thin">
        <color auto="1"/>
      </right>
      <top style="thin">
        <color auto="1"/>
      </top>
      <bottom style="thin">
        <color auto="1"/>
      </bottom>
      <diagonal/>
    </border>
  </borders>
  <cellStyleXfs count="14">
    <xf numFmtId="0" fontId="0" fillId="0" borderId="0"/>
    <xf numFmtId="9" fontId="2" fillId="0" borderId="0" applyFont="0" applyFill="0" applyBorder="0" applyAlignment="0" applyProtection="0"/>
    <xf numFmtId="0" fontId="6" fillId="0" borderId="0"/>
    <xf numFmtId="0" fontId="8" fillId="0" borderId="0" applyNumberFormat="0" applyFill="0" applyBorder="0" applyAlignment="0" applyProtection="0"/>
    <xf numFmtId="43" fontId="2" fillId="0" borderId="0" applyFont="0" applyFill="0" applyBorder="0" applyAlignment="0" applyProtection="0"/>
    <xf numFmtId="0" fontId="24" fillId="0" borderId="0"/>
    <xf numFmtId="44" fontId="24" fillId="0" borderId="0" applyFont="0" applyFill="0" applyBorder="0" applyAlignment="0" applyProtection="0"/>
    <xf numFmtId="0" fontId="30" fillId="0" borderId="0"/>
    <xf numFmtId="0" fontId="32" fillId="0" borderId="0"/>
    <xf numFmtId="43" fontId="30" fillId="0" borderId="0" applyFont="0" applyFill="0" applyBorder="0" applyAlignment="0" applyProtection="0"/>
    <xf numFmtId="9" fontId="30" fillId="0" borderId="0" applyFont="0" applyFill="0" applyBorder="0" applyAlignment="0" applyProtection="0"/>
    <xf numFmtId="0" fontId="57" fillId="0" borderId="0"/>
    <xf numFmtId="44" fontId="1" fillId="0" borderId="0" applyFont="0" applyFill="0" applyBorder="0" applyAlignment="0" applyProtection="0"/>
    <xf numFmtId="44" fontId="2" fillId="0" borderId="0" applyFont="0" applyFill="0" applyBorder="0" applyAlignment="0" applyProtection="0"/>
  </cellStyleXfs>
  <cellXfs count="347">
    <xf numFmtId="0" fontId="0" fillId="0" borderId="0" xfId="0"/>
    <xf numFmtId="0" fontId="3" fillId="0" borderId="0" xfId="0" applyFont="1"/>
    <xf numFmtId="0" fontId="4" fillId="0" borderId="0" xfId="0" applyFont="1"/>
    <xf numFmtId="9" fontId="0" fillId="0" borderId="0" xfId="1" applyFont="1" applyAlignment="1">
      <alignment horizontal="center"/>
    </xf>
    <xf numFmtId="1" fontId="4" fillId="0" borderId="0" xfId="0" applyNumberFormat="1" applyFont="1"/>
    <xf numFmtId="0" fontId="5" fillId="0" borderId="0" xfId="0" applyFont="1"/>
    <xf numFmtId="1" fontId="5" fillId="0" borderId="0" xfId="0" applyNumberFormat="1" applyFont="1"/>
    <xf numFmtId="0" fontId="8" fillId="0" borderId="0" xfId="3"/>
    <xf numFmtId="0" fontId="9" fillId="0" borderId="0" xfId="0" applyFont="1"/>
    <xf numFmtId="0" fontId="3" fillId="0" borderId="0" xfId="0" applyFont="1" applyAlignment="1">
      <alignment wrapText="1"/>
    </xf>
    <xf numFmtId="166" fontId="0" fillId="0" borderId="0" xfId="0" applyNumberFormat="1"/>
    <xf numFmtId="0" fontId="10" fillId="0" borderId="0" xfId="0" applyFont="1"/>
    <xf numFmtId="165" fontId="0" fillId="0" borderId="0" xfId="0" applyNumberFormat="1"/>
    <xf numFmtId="164" fontId="0" fillId="0" borderId="0" xfId="0" applyNumberFormat="1"/>
    <xf numFmtId="166" fontId="12" fillId="0" borderId="0" xfId="0" applyNumberFormat="1" applyFont="1" applyAlignment="1">
      <alignment horizontal="center"/>
    </xf>
    <xf numFmtId="4" fontId="13" fillId="0" borderId="0" xfId="0" applyNumberFormat="1" applyFont="1" applyAlignment="1">
      <alignment horizontal="center" vertical="center"/>
    </xf>
    <xf numFmtId="3" fontId="13" fillId="0" borderId="0" xfId="0" applyNumberFormat="1" applyFont="1" applyAlignment="1">
      <alignment horizontal="center" vertical="center"/>
    </xf>
    <xf numFmtId="4" fontId="14" fillId="0" borderId="0" xfId="0" applyNumberFormat="1" applyFont="1" applyAlignment="1">
      <alignment horizontal="center" vertical="center"/>
    </xf>
    <xf numFmtId="3" fontId="14" fillId="0" borderId="0" xfId="0" applyNumberFormat="1" applyFont="1" applyAlignment="1">
      <alignment horizontal="center" vertical="center"/>
    </xf>
    <xf numFmtId="3" fontId="15" fillId="0" borderId="0" xfId="0" applyNumberFormat="1" applyFont="1" applyAlignment="1">
      <alignment horizontal="center" vertical="center"/>
    </xf>
    <xf numFmtId="2" fontId="0" fillId="0" borderId="0" xfId="0" applyNumberFormat="1"/>
    <xf numFmtId="1" fontId="0" fillId="0" borderId="0" xfId="0" applyNumberFormat="1"/>
    <xf numFmtId="0" fontId="17" fillId="0" borderId="0" xfId="0" applyFont="1"/>
    <xf numFmtId="0" fontId="17" fillId="0" borderId="0" xfId="0" quotePrefix="1" applyFont="1" applyAlignment="1">
      <alignment horizontal="center"/>
    </xf>
    <xf numFmtId="0" fontId="18" fillId="0" borderId="0" xfId="0" applyFont="1"/>
    <xf numFmtId="9" fontId="9" fillId="0" borderId="0" xfId="1" applyFont="1"/>
    <xf numFmtId="3" fontId="0" fillId="0" borderId="0" xfId="0" applyNumberFormat="1"/>
    <xf numFmtId="0" fontId="19" fillId="0" borderId="0" xfId="0" applyFont="1"/>
    <xf numFmtId="9" fontId="20" fillId="0" borderId="0" xfId="0" applyNumberFormat="1" applyFont="1"/>
    <xf numFmtId="1" fontId="16" fillId="0" borderId="0" xfId="0" applyNumberFormat="1" applyFont="1"/>
    <xf numFmtId="0" fontId="21" fillId="0" borderId="0" xfId="0" applyFont="1"/>
    <xf numFmtId="3" fontId="18" fillId="0" borderId="0" xfId="0" applyNumberFormat="1" applyFont="1"/>
    <xf numFmtId="0" fontId="22" fillId="0" borderId="0" xfId="0" applyFont="1"/>
    <xf numFmtId="0" fontId="0" fillId="2" borderId="0" xfId="0" applyFill="1"/>
    <xf numFmtId="0" fontId="12" fillId="2" borderId="0" xfId="0" applyFont="1" applyFill="1"/>
    <xf numFmtId="0" fontId="11" fillId="2" borderId="0" xfId="0" applyFont="1" applyFill="1"/>
    <xf numFmtId="0" fontId="10" fillId="2" borderId="0" xfId="0" applyFont="1" applyFill="1"/>
    <xf numFmtId="0" fontId="26" fillId="0" borderId="0" xfId="5" applyFont="1" applyAlignment="1">
      <alignment horizontal="left" vertical="center"/>
    </xf>
    <xf numFmtId="0" fontId="26" fillId="0" borderId="0" xfId="5" applyFont="1" applyAlignment="1">
      <alignment horizontal="center" vertical="center" wrapText="1"/>
    </xf>
    <xf numFmtId="0" fontId="26" fillId="0" borderId="0" xfId="5" applyFont="1" applyAlignment="1">
      <alignment horizontal="left" vertical="top" wrapText="1"/>
    </xf>
    <xf numFmtId="0" fontId="26" fillId="0" borderId="0" xfId="5" applyFont="1" applyAlignment="1">
      <alignment horizontal="left" vertical="top"/>
    </xf>
    <xf numFmtId="169" fontId="26" fillId="0" borderId="0" xfId="5" applyNumberFormat="1" applyFont="1" applyAlignment="1">
      <alignment horizontal="left" vertical="top"/>
    </xf>
    <xf numFmtId="169" fontId="26" fillId="0" borderId="0" xfId="6" applyNumberFormat="1" applyFont="1" applyAlignment="1">
      <alignment horizontal="left" vertical="top"/>
    </xf>
    <xf numFmtId="0" fontId="26" fillId="0" borderId="0" xfId="5" applyFont="1" applyAlignment="1">
      <alignment horizontal="center" vertical="center"/>
    </xf>
    <xf numFmtId="168" fontId="26" fillId="0" borderId="0" xfId="6" applyNumberFormat="1" applyFont="1" applyAlignment="1">
      <alignment vertical="center" wrapText="1"/>
    </xf>
    <xf numFmtId="0" fontId="23" fillId="0" borderId="0" xfId="0" applyFont="1"/>
    <xf numFmtId="0" fontId="28" fillId="0" borderId="0" xfId="0" applyFont="1"/>
    <xf numFmtId="3" fontId="29" fillId="0" borderId="0" xfId="4" applyNumberFormat="1" applyFont="1"/>
    <xf numFmtId="1" fontId="18" fillId="0" borderId="0" xfId="0" applyNumberFormat="1" applyFont="1"/>
    <xf numFmtId="0" fontId="4" fillId="0" borderId="0" xfId="0" applyFont="1" applyAlignment="1">
      <alignment horizontal="center"/>
    </xf>
    <xf numFmtId="3" fontId="4" fillId="0" borderId="0" xfId="4" applyNumberFormat="1" applyFont="1" applyAlignment="1">
      <alignment horizontal="center"/>
    </xf>
    <xf numFmtId="3" fontId="29" fillId="0" borderId="0" xfId="4" applyNumberFormat="1" applyFont="1" applyBorder="1"/>
    <xf numFmtId="171" fontId="22" fillId="0" borderId="0" xfId="4" applyNumberFormat="1" applyFont="1" applyAlignment="1">
      <alignment horizontal="center"/>
    </xf>
    <xf numFmtId="3" fontId="22" fillId="0" borderId="0" xfId="4" applyNumberFormat="1" applyFont="1" applyAlignment="1">
      <alignment horizontal="center"/>
    </xf>
    <xf numFmtId="3" fontId="37" fillId="0" borderId="0" xfId="0" applyNumberFormat="1" applyFont="1" applyAlignment="1">
      <alignment horizontal="center" vertical="center"/>
    </xf>
    <xf numFmtId="3" fontId="20" fillId="0" borderId="0" xfId="0" applyNumberFormat="1" applyFont="1" applyAlignment="1">
      <alignment horizontal="center" vertical="center"/>
    </xf>
    <xf numFmtId="4" fontId="5" fillId="0" borderId="0" xfId="0" applyNumberFormat="1" applyFont="1"/>
    <xf numFmtId="166" fontId="5" fillId="0" borderId="0" xfId="0" applyNumberFormat="1" applyFont="1"/>
    <xf numFmtId="0" fontId="18" fillId="2" borderId="0" xfId="0" applyFont="1" applyFill="1"/>
    <xf numFmtId="171" fontId="5" fillId="0" borderId="0" xfId="4" applyNumberFormat="1" applyFont="1" applyAlignment="1">
      <alignment horizontal="center"/>
    </xf>
    <xf numFmtId="3" fontId="5" fillId="0" borderId="0" xfId="4" applyNumberFormat="1" applyFont="1" applyAlignment="1">
      <alignment horizontal="left"/>
    </xf>
    <xf numFmtId="172" fontId="12" fillId="0" borderId="0" xfId="0" applyNumberFormat="1" applyFont="1" applyAlignment="1">
      <alignment horizontal="center"/>
    </xf>
    <xf numFmtId="0" fontId="38" fillId="0" borderId="0" xfId="0" applyFont="1"/>
    <xf numFmtId="0" fontId="39" fillId="0" borderId="0" xfId="0" applyFont="1" applyAlignment="1">
      <alignment horizontal="center"/>
    </xf>
    <xf numFmtId="1" fontId="11" fillId="0" borderId="0" xfId="0" applyNumberFormat="1" applyFont="1"/>
    <xf numFmtId="173" fontId="12" fillId="0" borderId="0" xfId="0" applyNumberFormat="1" applyFont="1" applyAlignment="1">
      <alignment horizontal="center"/>
    </xf>
    <xf numFmtId="9" fontId="40" fillId="0" borderId="0" xfId="1" applyFont="1" applyFill="1" applyAlignment="1">
      <alignment horizontal="center"/>
    </xf>
    <xf numFmtId="0" fontId="41" fillId="0" borderId="0" xfId="0" applyFont="1"/>
    <xf numFmtId="0" fontId="40" fillId="0" borderId="0" xfId="0" applyFont="1"/>
    <xf numFmtId="0" fontId="0" fillId="0" borderId="3" xfId="0" applyBorder="1"/>
    <xf numFmtId="0" fontId="3" fillId="0" borderId="3" xfId="0" applyFont="1" applyBorder="1" applyAlignment="1">
      <alignment wrapText="1"/>
    </xf>
    <xf numFmtId="0" fontId="3" fillId="0" borderId="3" xfId="0" applyFont="1" applyBorder="1"/>
    <xf numFmtId="0" fontId="43" fillId="0" borderId="0" xfId="0" applyFont="1"/>
    <xf numFmtId="0" fontId="42" fillId="0" borderId="0" xfId="0" applyFont="1"/>
    <xf numFmtId="0" fontId="44" fillId="0" borderId="0" xfId="0" applyFont="1"/>
    <xf numFmtId="1" fontId="44" fillId="0" borderId="0" xfId="0" applyNumberFormat="1" applyFont="1"/>
    <xf numFmtId="0" fontId="45" fillId="0" borderId="0" xfId="0" applyFont="1"/>
    <xf numFmtId="0" fontId="46" fillId="0" borderId="0" xfId="0" applyFont="1"/>
    <xf numFmtId="3" fontId="44" fillId="0" borderId="0" xfId="0" applyNumberFormat="1" applyFont="1"/>
    <xf numFmtId="0" fontId="47" fillId="0" borderId="0" xfId="0" applyFont="1"/>
    <xf numFmtId="0" fontId="0" fillId="0" borderId="4" xfId="0" applyBorder="1"/>
    <xf numFmtId="0" fontId="3" fillId="0" borderId="4" xfId="0" applyFont="1" applyBorder="1"/>
    <xf numFmtId="0" fontId="8" fillId="0" borderId="4" xfId="3" applyBorder="1"/>
    <xf numFmtId="0" fontId="3" fillId="0" borderId="5" xfId="0" applyFont="1" applyBorder="1"/>
    <xf numFmtId="3" fontId="4" fillId="0" borderId="4" xfId="0" applyNumberFormat="1" applyFont="1" applyBorder="1"/>
    <xf numFmtId="0" fontId="4" fillId="0" borderId="4" xfId="0" applyFont="1" applyBorder="1"/>
    <xf numFmtId="1" fontId="23" fillId="0" borderId="4" xfId="0" applyNumberFormat="1" applyFont="1" applyBorder="1"/>
    <xf numFmtId="3" fontId="45" fillId="0" borderId="4" xfId="0" applyNumberFormat="1" applyFont="1" applyBorder="1"/>
    <xf numFmtId="3" fontId="21" fillId="0" borderId="4" xfId="0" applyNumberFormat="1" applyFont="1" applyBorder="1"/>
    <xf numFmtId="1" fontId="46" fillId="0" borderId="4" xfId="0" applyNumberFormat="1" applyFont="1" applyBorder="1"/>
    <xf numFmtId="0" fontId="0" fillId="2" borderId="4" xfId="0" applyFill="1" applyBorder="1"/>
    <xf numFmtId="164" fontId="0" fillId="0" borderId="4" xfId="0" applyNumberFormat="1" applyBorder="1"/>
    <xf numFmtId="164" fontId="0" fillId="2" borderId="4" xfId="0" applyNumberFormat="1" applyFill="1" applyBorder="1"/>
    <xf numFmtId="1" fontId="5" fillId="0" borderId="4" xfId="0" applyNumberFormat="1" applyFont="1" applyBorder="1"/>
    <xf numFmtId="3" fontId="30" fillId="0" borderId="0" xfId="0" applyNumberFormat="1" applyFont="1"/>
    <xf numFmtId="3" fontId="5" fillId="0" borderId="0" xfId="0" applyNumberFormat="1" applyFont="1"/>
    <xf numFmtId="0" fontId="29" fillId="0" borderId="0" xfId="0" applyFont="1"/>
    <xf numFmtId="1" fontId="48" fillId="0" borderId="4" xfId="0" applyNumberFormat="1" applyFont="1" applyBorder="1"/>
    <xf numFmtId="0" fontId="48" fillId="0" borderId="0" xfId="0" applyFont="1"/>
    <xf numFmtId="164" fontId="44" fillId="0" borderId="0" xfId="0" applyNumberFormat="1" applyFont="1"/>
    <xf numFmtId="164" fontId="44" fillId="2" borderId="0" xfId="0" applyNumberFormat="1" applyFont="1" applyFill="1"/>
    <xf numFmtId="0" fontId="44" fillId="2" borderId="0" xfId="0" applyFont="1" applyFill="1"/>
    <xf numFmtId="164" fontId="44" fillId="0" borderId="4" xfId="0" applyNumberFormat="1" applyFont="1" applyBorder="1"/>
    <xf numFmtId="164" fontId="5" fillId="0" borderId="4" xfId="0" applyNumberFormat="1" applyFont="1" applyBorder="1"/>
    <xf numFmtId="9" fontId="19" fillId="0" borderId="0" xfId="1" applyFont="1"/>
    <xf numFmtId="9" fontId="44" fillId="0" borderId="0" xfId="1" applyFont="1"/>
    <xf numFmtId="0" fontId="50" fillId="0" borderId="0" xfId="0" applyFont="1"/>
    <xf numFmtId="0" fontId="0" fillId="6" borderId="0" xfId="0" applyFill="1"/>
    <xf numFmtId="0" fontId="52" fillId="0" borderId="0" xfId="0" applyFont="1"/>
    <xf numFmtId="0" fontId="53" fillId="0" borderId="0" xfId="0" applyFont="1"/>
    <xf numFmtId="0" fontId="16" fillId="0" borderId="0" xfId="0" applyFont="1"/>
    <xf numFmtId="9" fontId="22" fillId="0" borderId="0" xfId="1" applyFont="1"/>
    <xf numFmtId="9" fontId="16" fillId="0" borderId="0" xfId="1" applyFont="1"/>
    <xf numFmtId="0" fontId="7" fillId="0" borderId="0" xfId="0" applyFont="1"/>
    <xf numFmtId="0" fontId="54" fillId="6" borderId="0" xfId="0" applyFont="1" applyFill="1"/>
    <xf numFmtId="0" fontId="51" fillId="6" borderId="0" xfId="0" applyFont="1" applyFill="1" applyAlignment="1">
      <alignment horizontal="center"/>
    </xf>
    <xf numFmtId="0" fontId="51" fillId="6" borderId="0" xfId="0" quotePrefix="1" applyFont="1" applyFill="1" applyAlignment="1">
      <alignment horizontal="center"/>
    </xf>
    <xf numFmtId="0" fontId="12" fillId="0" borderId="0" xfId="0" applyFont="1"/>
    <xf numFmtId="172" fontId="5" fillId="0" borderId="0" xfId="0" applyNumberFormat="1" applyFont="1" applyAlignment="1">
      <alignment horizontal="center"/>
    </xf>
    <xf numFmtId="38" fontId="12" fillId="0" borderId="0" xfId="0" applyNumberFormat="1" applyFont="1" applyAlignment="1">
      <alignment horizontal="center"/>
    </xf>
    <xf numFmtId="172" fontId="29" fillId="0" borderId="0" xfId="0" applyNumberFormat="1" applyFont="1" applyAlignment="1">
      <alignment horizontal="left"/>
    </xf>
    <xf numFmtId="174" fontId="12" fillId="0" borderId="0" xfId="0" applyNumberFormat="1" applyFont="1" applyAlignment="1">
      <alignment horizontal="center"/>
    </xf>
    <xf numFmtId="9" fontId="0" fillId="0" borderId="0" xfId="1" applyFont="1"/>
    <xf numFmtId="0" fontId="37" fillId="2" borderId="0" xfId="0" applyFont="1" applyFill="1"/>
    <xf numFmtId="172" fontId="5" fillId="0" borderId="0" xfId="0" applyNumberFormat="1" applyFont="1" applyAlignment="1">
      <alignment horizontal="left"/>
    </xf>
    <xf numFmtId="6" fontId="0" fillId="0" borderId="0" xfId="0" applyNumberFormat="1"/>
    <xf numFmtId="6" fontId="3" fillId="0" borderId="0" xfId="0" applyNumberFormat="1" applyFont="1"/>
    <xf numFmtId="9" fontId="0" fillId="0" borderId="0" xfId="0" applyNumberFormat="1" applyAlignment="1">
      <alignment horizontal="left"/>
    </xf>
    <xf numFmtId="174" fontId="5" fillId="0" borderId="0" xfId="0" applyNumberFormat="1" applyFont="1" applyAlignment="1">
      <alignment horizontal="center"/>
    </xf>
    <xf numFmtId="9" fontId="20" fillId="0" borderId="0" xfId="1" applyFont="1" applyAlignment="1">
      <alignment horizontal="center"/>
    </xf>
    <xf numFmtId="9" fontId="18" fillId="0" borderId="0" xfId="1" applyFont="1" applyAlignment="1">
      <alignment horizontal="center"/>
    </xf>
    <xf numFmtId="174" fontId="20" fillId="0" borderId="0" xfId="0" applyNumberFormat="1" applyFont="1" applyAlignment="1">
      <alignment horizontal="center"/>
    </xf>
    <xf numFmtId="0" fontId="56" fillId="0" borderId="0" xfId="0" applyFont="1"/>
    <xf numFmtId="0" fontId="26" fillId="4" borderId="2" xfId="5" applyFont="1" applyFill="1" applyBorder="1" applyAlignment="1">
      <alignment horizontal="left" vertical="top"/>
    </xf>
    <xf numFmtId="169" fontId="26" fillId="7" borderId="0" xfId="6" applyNumberFormat="1" applyFont="1" applyFill="1" applyAlignment="1">
      <alignment horizontal="left" vertical="top"/>
    </xf>
    <xf numFmtId="40" fontId="26" fillId="0" borderId="0" xfId="5" applyNumberFormat="1" applyFont="1" applyAlignment="1">
      <alignment horizontal="left" vertical="top" wrapText="1"/>
    </xf>
    <xf numFmtId="0" fontId="26" fillId="4" borderId="2" xfId="5" applyFont="1" applyFill="1" applyBorder="1" applyAlignment="1">
      <alignment horizontal="left" vertical="top" wrapText="1"/>
    </xf>
    <xf numFmtId="0" fontId="25" fillId="0" borderId="2" xfId="5" applyFont="1" applyBorder="1" applyAlignment="1">
      <alignment horizontal="center" vertical="center" wrapText="1"/>
    </xf>
    <xf numFmtId="168" fontId="25" fillId="7" borderId="2" xfId="6" applyNumberFormat="1" applyFont="1" applyFill="1" applyBorder="1" applyAlignment="1">
      <alignment vertical="center" wrapText="1"/>
    </xf>
    <xf numFmtId="168" fontId="25" fillId="8" borderId="2" xfId="6" applyNumberFormat="1" applyFont="1" applyFill="1" applyBorder="1" applyAlignment="1">
      <alignment vertical="center" wrapText="1"/>
    </xf>
    <xf numFmtId="38" fontId="55" fillId="0" borderId="0" xfId="0" applyNumberFormat="1" applyFont="1" applyAlignment="1">
      <alignment horizontal="center"/>
    </xf>
    <xf numFmtId="0" fontId="33" fillId="0" borderId="0" xfId="0" applyFont="1"/>
    <xf numFmtId="0" fontId="30" fillId="0" borderId="0" xfId="0" applyFont="1"/>
    <xf numFmtId="0" fontId="11" fillId="0" borderId="0" xfId="0" applyFont="1"/>
    <xf numFmtId="173" fontId="26" fillId="0" borderId="0" xfId="5" applyNumberFormat="1" applyFont="1" applyAlignment="1">
      <alignment horizontal="center" vertical="top" wrapText="1"/>
    </xf>
    <xf numFmtId="3" fontId="12" fillId="0" borderId="0" xfId="0" applyNumberFormat="1" applyFont="1" applyAlignment="1">
      <alignment horizontal="center"/>
    </xf>
    <xf numFmtId="3" fontId="5" fillId="0" borderId="0" xfId="0" applyNumberFormat="1" applyFont="1" applyAlignment="1">
      <alignment horizontal="center"/>
    </xf>
    <xf numFmtId="3" fontId="20" fillId="0" borderId="0" xfId="0" applyNumberFormat="1" applyFont="1" applyAlignment="1">
      <alignment horizontal="center"/>
    </xf>
    <xf numFmtId="38" fontId="20" fillId="0" borderId="0" xfId="0" applyNumberFormat="1" applyFont="1" applyAlignment="1">
      <alignment horizontal="center"/>
    </xf>
    <xf numFmtId="38" fontId="5" fillId="0" borderId="0" xfId="0" applyNumberFormat="1" applyFont="1" applyAlignment="1">
      <alignment horizontal="center"/>
    </xf>
    <xf numFmtId="168" fontId="25" fillId="9" borderId="2" xfId="6" applyNumberFormat="1" applyFont="1" applyFill="1" applyBorder="1" applyAlignment="1">
      <alignment vertical="center" wrapText="1"/>
    </xf>
    <xf numFmtId="168" fontId="25" fillId="10" borderId="2" xfId="6" applyNumberFormat="1" applyFont="1" applyFill="1" applyBorder="1" applyAlignment="1">
      <alignment vertical="center" wrapText="1"/>
    </xf>
    <xf numFmtId="0" fontId="58" fillId="0" borderId="0" xfId="11" applyFont="1"/>
    <xf numFmtId="0" fontId="49" fillId="0" borderId="0" xfId="11" applyFont="1"/>
    <xf numFmtId="0" fontId="59" fillId="0" borderId="0" xfId="11" applyFont="1"/>
    <xf numFmtId="0" fontId="59" fillId="0" borderId="0" xfId="11" applyFont="1" applyAlignment="1">
      <alignment horizontal="left" vertical="top" wrapText="1"/>
    </xf>
    <xf numFmtId="0" fontId="58" fillId="0" borderId="0" xfId="11" applyFont="1" applyAlignment="1">
      <alignment vertical="top"/>
    </xf>
    <xf numFmtId="0" fontId="59" fillId="0" borderId="0" xfId="11" applyFont="1" applyAlignment="1">
      <alignment vertical="top" wrapText="1"/>
    </xf>
    <xf numFmtId="0" fontId="59" fillId="0" borderId="8" xfId="11" applyFont="1" applyBorder="1" applyAlignment="1">
      <alignment horizontal="center" wrapText="1"/>
    </xf>
    <xf numFmtId="0" fontId="25" fillId="0" borderId="8" xfId="11" applyFont="1" applyBorder="1" applyAlignment="1">
      <alignment horizontal="center" wrapText="1"/>
    </xf>
    <xf numFmtId="0" fontId="59" fillId="0" borderId="0" xfId="11" applyFont="1" applyAlignment="1">
      <alignment horizontal="left"/>
    </xf>
    <xf numFmtId="175" fontId="26" fillId="0" borderId="0" xfId="11" applyNumberFormat="1" applyFont="1" applyAlignment="1">
      <alignment horizontal="right"/>
    </xf>
    <xf numFmtId="175" fontId="58" fillId="0" borderId="0" xfId="11" applyNumberFormat="1" applyFont="1" applyAlignment="1">
      <alignment horizontal="right"/>
    </xf>
    <xf numFmtId="176" fontId="58" fillId="0" borderId="0" xfId="11" applyNumberFormat="1" applyFont="1" applyAlignment="1">
      <alignment horizontal="right"/>
    </xf>
    <xf numFmtId="0" fontId="25" fillId="11" borderId="2" xfId="5" applyFont="1" applyFill="1" applyBorder="1" applyAlignment="1">
      <alignment horizontal="center" vertical="center" wrapText="1"/>
    </xf>
    <xf numFmtId="0" fontId="3" fillId="3" borderId="2" xfId="0" applyFont="1" applyFill="1" applyBorder="1" applyAlignment="1">
      <alignment wrapText="1"/>
    </xf>
    <xf numFmtId="0" fontId="0" fillId="12" borderId="0" xfId="0" applyFill="1"/>
    <xf numFmtId="169" fontId="0" fillId="0" borderId="0" xfId="0" applyNumberFormat="1"/>
    <xf numFmtId="0" fontId="56" fillId="2" borderId="0" xfId="0" applyFont="1" applyFill="1"/>
    <xf numFmtId="6" fontId="3" fillId="2" borderId="0" xfId="0" applyNumberFormat="1" applyFont="1" applyFill="1"/>
    <xf numFmtId="0" fontId="56" fillId="12" borderId="0" xfId="0" applyFont="1" applyFill="1"/>
    <xf numFmtId="6" fontId="3" fillId="12" borderId="0" xfId="0" applyNumberFormat="1" applyFont="1" applyFill="1"/>
    <xf numFmtId="0" fontId="7" fillId="0" borderId="0" xfId="0" applyFont="1" applyAlignment="1">
      <alignment horizontal="left" indent="1"/>
    </xf>
    <xf numFmtId="0" fontId="7" fillId="12" borderId="0" xfId="0" applyFont="1" applyFill="1"/>
    <xf numFmtId="0" fontId="0" fillId="0" borderId="0" xfId="0" applyAlignment="1">
      <alignment horizontal="center"/>
    </xf>
    <xf numFmtId="169" fontId="30" fillId="0" borderId="0" xfId="0" applyNumberFormat="1" applyFont="1"/>
    <xf numFmtId="0" fontId="3" fillId="8" borderId="2" xfId="0" applyFont="1" applyFill="1" applyBorder="1" applyAlignment="1">
      <alignment wrapText="1"/>
    </xf>
    <xf numFmtId="9" fontId="30" fillId="0" borderId="0" xfId="1" applyFont="1"/>
    <xf numFmtId="0" fontId="25" fillId="13" borderId="2" xfId="5" applyFont="1" applyFill="1" applyBorder="1" applyAlignment="1">
      <alignment horizontal="center" vertical="center" wrapText="1"/>
    </xf>
    <xf numFmtId="0" fontId="25" fillId="2" borderId="2" xfId="5" applyFont="1" applyFill="1" applyBorder="1" applyAlignment="1">
      <alignment horizontal="center" vertical="center" wrapText="1"/>
    </xf>
    <xf numFmtId="3" fontId="0" fillId="0" borderId="0" xfId="0" applyNumberFormat="1" applyAlignment="1">
      <alignment horizontal="center"/>
    </xf>
    <xf numFmtId="0" fontId="25" fillId="14" borderId="2" xfId="5" applyFont="1" applyFill="1" applyBorder="1" applyAlignment="1">
      <alignment horizontal="center" vertical="center" wrapText="1"/>
    </xf>
    <xf numFmtId="0" fontId="3" fillId="5" borderId="2" xfId="0" applyFont="1" applyFill="1" applyBorder="1" applyAlignment="1">
      <alignment wrapText="1"/>
    </xf>
    <xf numFmtId="166" fontId="30" fillId="0" borderId="0" xfId="0" applyNumberFormat="1" applyFont="1" applyAlignment="1">
      <alignment horizontal="center"/>
    </xf>
    <xf numFmtId="0" fontId="25" fillId="15" borderId="2" xfId="5" applyFont="1" applyFill="1" applyBorder="1" applyAlignment="1">
      <alignment horizontal="center" vertical="center" wrapText="1"/>
    </xf>
    <xf numFmtId="3" fontId="30" fillId="0" borderId="0" xfId="0" applyNumberFormat="1" applyFont="1" applyAlignment="1">
      <alignment horizontal="center"/>
    </xf>
    <xf numFmtId="2" fontId="18" fillId="0" borderId="0" xfId="0" applyNumberFormat="1" applyFont="1"/>
    <xf numFmtId="0" fontId="31" fillId="0" borderId="0" xfId="0" applyFont="1" applyAlignment="1">
      <alignment horizontal="center"/>
    </xf>
    <xf numFmtId="9" fontId="18" fillId="0" borderId="0" xfId="0" applyNumberFormat="1" applyFont="1"/>
    <xf numFmtId="0" fontId="60" fillId="0" borderId="0" xfId="0" applyFont="1"/>
    <xf numFmtId="6" fontId="61" fillId="0" borderId="0" xfId="0" applyNumberFormat="1" applyFont="1"/>
    <xf numFmtId="1" fontId="11" fillId="2" borderId="0" xfId="0" applyNumberFormat="1" applyFont="1" applyFill="1"/>
    <xf numFmtId="170" fontId="30" fillId="0" borderId="0" xfId="4" applyNumberFormat="1" applyFont="1"/>
    <xf numFmtId="1" fontId="30" fillId="0" borderId="0" xfId="0" applyNumberFormat="1" applyFont="1"/>
    <xf numFmtId="0" fontId="49" fillId="0" borderId="0" xfId="0" applyFont="1"/>
    <xf numFmtId="9" fontId="34" fillId="0" borderId="0" xfId="1" applyFont="1"/>
    <xf numFmtId="9" fontId="33" fillId="0" borderId="0" xfId="1" applyFont="1"/>
    <xf numFmtId="1" fontId="33" fillId="0" borderId="0" xfId="0" applyNumberFormat="1" applyFont="1"/>
    <xf numFmtId="1" fontId="26" fillId="0" borderId="0" xfId="0" applyNumberFormat="1" applyFont="1"/>
    <xf numFmtId="0" fontId="64" fillId="0" borderId="0" xfId="0" applyFont="1" applyAlignment="1">
      <alignment horizontal="center"/>
    </xf>
    <xf numFmtId="0" fontId="64" fillId="0" borderId="0" xfId="0" quotePrefix="1" applyFont="1" applyAlignment="1">
      <alignment horizontal="center"/>
    </xf>
    <xf numFmtId="37" fontId="30" fillId="0" borderId="0" xfId="4" applyNumberFormat="1" applyFont="1"/>
    <xf numFmtId="37" fontId="33" fillId="0" borderId="0" xfId="4" applyNumberFormat="1" applyFont="1"/>
    <xf numFmtId="3" fontId="33" fillId="0" borderId="0" xfId="4" applyNumberFormat="1" applyFont="1"/>
    <xf numFmtId="3" fontId="30" fillId="0" borderId="0" xfId="4" applyNumberFormat="1" applyFont="1"/>
    <xf numFmtId="3" fontId="26" fillId="0" borderId="0" xfId="4" applyNumberFormat="1" applyFont="1"/>
    <xf numFmtId="3" fontId="63" fillId="0" borderId="0" xfId="4" applyNumberFormat="1" applyFont="1"/>
    <xf numFmtId="9" fontId="62" fillId="0" borderId="0" xfId="1" applyFont="1"/>
    <xf numFmtId="37" fontId="26" fillId="0" borderId="0" xfId="4" applyNumberFormat="1" applyFont="1"/>
    <xf numFmtId="0" fontId="3" fillId="3" borderId="10" xfId="0" applyFont="1" applyFill="1" applyBorder="1" applyAlignment="1">
      <alignment wrapText="1"/>
    </xf>
    <xf numFmtId="6" fontId="19" fillId="0" borderId="12" xfId="0" applyNumberFormat="1" applyFont="1" applyBorder="1"/>
    <xf numFmtId="9" fontId="19" fillId="0" borderId="13" xfId="0" applyNumberFormat="1" applyFont="1" applyBorder="1" applyAlignment="1">
      <alignment horizontal="left"/>
    </xf>
    <xf numFmtId="6" fontId="19" fillId="0" borderId="6" xfId="0" applyNumberFormat="1" applyFont="1" applyBorder="1"/>
    <xf numFmtId="9" fontId="19" fillId="0" borderId="15" xfId="0" applyNumberFormat="1" applyFont="1" applyBorder="1" applyAlignment="1">
      <alignment horizontal="left"/>
    </xf>
    <xf numFmtId="6" fontId="19" fillId="0" borderId="9" xfId="0" applyNumberFormat="1" applyFont="1" applyBorder="1"/>
    <xf numFmtId="9" fontId="20" fillId="0" borderId="17" xfId="0" applyNumberFormat="1" applyFont="1" applyBorder="1" applyAlignment="1">
      <alignment horizontal="left"/>
    </xf>
    <xf numFmtId="6" fontId="19" fillId="0" borderId="0" xfId="0" applyNumberFormat="1" applyFont="1"/>
    <xf numFmtId="9" fontId="19" fillId="0" borderId="18" xfId="0" applyNumberFormat="1" applyFont="1" applyBorder="1" applyAlignment="1">
      <alignment horizontal="left"/>
    </xf>
    <xf numFmtId="0" fontId="5" fillId="0" borderId="11" xfId="0" applyFont="1" applyBorder="1" applyAlignment="1">
      <alignment horizontal="left"/>
    </xf>
    <xf numFmtId="0" fontId="19" fillId="0" borderId="12" xfId="0" applyFont="1" applyBorder="1" applyAlignment="1">
      <alignment horizontal="left"/>
    </xf>
    <xf numFmtId="0" fontId="5" fillId="0" borderId="14" xfId="0" applyFont="1" applyBorder="1" applyAlignment="1">
      <alignment horizontal="left"/>
    </xf>
    <xf numFmtId="0" fontId="19" fillId="0" borderId="6" xfId="0" applyFont="1" applyBorder="1" applyAlignment="1">
      <alignment horizontal="left"/>
    </xf>
    <xf numFmtId="0" fontId="5" fillId="0" borderId="16" xfId="0" applyFont="1" applyBorder="1" applyAlignment="1">
      <alignment horizontal="left"/>
    </xf>
    <xf numFmtId="0" fontId="19" fillId="0" borderId="9" xfId="0" applyFont="1" applyBorder="1" applyAlignment="1">
      <alignment horizontal="left"/>
    </xf>
    <xf numFmtId="0" fontId="5" fillId="0" borderId="1" xfId="0" applyFont="1" applyBorder="1" applyAlignment="1">
      <alignment horizontal="left"/>
    </xf>
    <xf numFmtId="0" fontId="19" fillId="0" borderId="0" xfId="0" applyFont="1" applyAlignment="1">
      <alignment horizontal="left"/>
    </xf>
    <xf numFmtId="0" fontId="5" fillId="0" borderId="10" xfId="0" applyFont="1" applyBorder="1" applyAlignment="1">
      <alignment horizontal="left"/>
    </xf>
    <xf numFmtId="0" fontId="5" fillId="0" borderId="19" xfId="0" applyFont="1" applyBorder="1" applyAlignment="1">
      <alignment horizontal="left"/>
    </xf>
    <xf numFmtId="0" fontId="5" fillId="0" borderId="7" xfId="0" applyFont="1" applyBorder="1" applyAlignment="1">
      <alignment horizontal="left"/>
    </xf>
    <xf numFmtId="164" fontId="61" fillId="0" borderId="0" xfId="0" applyNumberFormat="1" applyFont="1"/>
    <xf numFmtId="1" fontId="20" fillId="0" borderId="0" xfId="0" applyNumberFormat="1" applyFont="1"/>
    <xf numFmtId="164" fontId="20" fillId="0" borderId="0" xfId="0" applyNumberFormat="1" applyFont="1"/>
    <xf numFmtId="0" fontId="65" fillId="0" borderId="0" xfId="0" applyFont="1"/>
    <xf numFmtId="1" fontId="65" fillId="0" borderId="4" xfId="0" applyNumberFormat="1" applyFont="1" applyBorder="1"/>
    <xf numFmtId="6" fontId="30" fillId="0" borderId="0" xfId="0" applyNumberFormat="1" applyFont="1"/>
    <xf numFmtId="0" fontId="9" fillId="0" borderId="4" xfId="0" applyFont="1" applyBorder="1"/>
    <xf numFmtId="0" fontId="20" fillId="0" borderId="0" xfId="0" applyFont="1"/>
    <xf numFmtId="0" fontId="0" fillId="0" borderId="10" xfId="0" applyBorder="1"/>
    <xf numFmtId="0" fontId="0" fillId="0" borderId="19" xfId="0" applyBorder="1"/>
    <xf numFmtId="0" fontId="0" fillId="0" borderId="7" xfId="0" applyBorder="1"/>
    <xf numFmtId="173" fontId="0" fillId="0" borderId="0" xfId="0" applyNumberFormat="1"/>
    <xf numFmtId="164" fontId="18" fillId="0" borderId="0" xfId="0" applyNumberFormat="1" applyFont="1"/>
    <xf numFmtId="170" fontId="0" fillId="0" borderId="0" xfId="0" applyNumberFormat="1"/>
    <xf numFmtId="2" fontId="60" fillId="0" borderId="0" xfId="0" applyNumberFormat="1" applyFont="1"/>
    <xf numFmtId="170" fontId="22" fillId="0" borderId="0" xfId="4" applyNumberFormat="1" applyFont="1"/>
    <xf numFmtId="1" fontId="66" fillId="0" borderId="0" xfId="0" applyNumberFormat="1" applyFont="1"/>
    <xf numFmtId="169" fontId="25" fillId="7" borderId="0" xfId="6" applyNumberFormat="1" applyFont="1" applyFill="1" applyAlignment="1">
      <alignment horizontal="left" vertical="top"/>
    </xf>
    <xf numFmtId="4" fontId="29" fillId="0" borderId="0" xfId="0" applyNumberFormat="1" applyFont="1"/>
    <xf numFmtId="3" fontId="20" fillId="0" borderId="0" xfId="0" applyNumberFormat="1" applyFont="1" applyAlignment="1">
      <alignment horizontal="left"/>
    </xf>
    <xf numFmtId="3" fontId="0" fillId="0" borderId="0" xfId="0" applyNumberFormat="1" applyAlignment="1">
      <alignment horizontal="left"/>
    </xf>
    <xf numFmtId="0" fontId="0" fillId="0" borderId="0" xfId="0" applyAlignment="1">
      <alignment horizontal="left"/>
    </xf>
    <xf numFmtId="3" fontId="33" fillId="0" borderId="0" xfId="0" applyNumberFormat="1" applyFont="1" applyAlignment="1">
      <alignment horizontal="center"/>
    </xf>
    <xf numFmtId="6" fontId="31" fillId="0" borderId="0" xfId="0" applyNumberFormat="1" applyFont="1"/>
    <xf numFmtId="9" fontId="14" fillId="0" borderId="0" xfId="1" applyFont="1"/>
    <xf numFmtId="6" fontId="22" fillId="0" borderId="0" xfId="0" applyNumberFormat="1" applyFont="1"/>
    <xf numFmtId="0" fontId="30" fillId="0" borderId="0" xfId="0" applyFont="1" applyAlignment="1">
      <alignment horizontal="center"/>
    </xf>
    <xf numFmtId="0" fontId="31" fillId="5" borderId="2" xfId="0" applyFont="1" applyFill="1" applyBorder="1" applyAlignment="1">
      <alignment wrapText="1"/>
    </xf>
    <xf numFmtId="2" fontId="29" fillId="0" borderId="0" xfId="0" applyNumberFormat="1" applyFont="1"/>
    <xf numFmtId="2" fontId="61" fillId="0" borderId="0" xfId="0" applyNumberFormat="1" applyFont="1"/>
    <xf numFmtId="0" fontId="61" fillId="2" borderId="0" xfId="0" applyFont="1" applyFill="1"/>
    <xf numFmtId="3" fontId="61" fillId="0" borderId="0" xfId="0" applyNumberFormat="1" applyFont="1"/>
    <xf numFmtId="0" fontId="23" fillId="2" borderId="0" xfId="0" applyFont="1" applyFill="1"/>
    <xf numFmtId="3" fontId="29" fillId="0" borderId="0" xfId="0" applyNumberFormat="1" applyFont="1"/>
    <xf numFmtId="0" fontId="67" fillId="0" borderId="0" xfId="3" applyFont="1"/>
    <xf numFmtId="4" fontId="45" fillId="0" borderId="0" xfId="0" applyNumberFormat="1" applyFont="1"/>
    <xf numFmtId="0" fontId="68" fillId="0" borderId="0" xfId="3" applyFont="1"/>
    <xf numFmtId="3" fontId="60" fillId="0" borderId="0" xfId="0" applyNumberFormat="1" applyFont="1"/>
    <xf numFmtId="1" fontId="29" fillId="0" borderId="0" xfId="0" applyNumberFormat="1" applyFont="1"/>
    <xf numFmtId="1" fontId="12" fillId="0" borderId="0" xfId="0" applyNumberFormat="1" applyFont="1"/>
    <xf numFmtId="170" fontId="12" fillId="0" borderId="0" xfId="4" applyNumberFormat="1" applyFont="1"/>
    <xf numFmtId="170" fontId="0" fillId="0" borderId="0" xfId="4" applyNumberFormat="1" applyFont="1"/>
    <xf numFmtId="0" fontId="69" fillId="0" borderId="0" xfId="3" applyFont="1"/>
    <xf numFmtId="167" fontId="19" fillId="0" borderId="0" xfId="4" applyNumberFormat="1" applyFont="1" applyAlignment="1">
      <alignment horizontal="center"/>
    </xf>
    <xf numFmtId="3" fontId="19" fillId="0" borderId="0" xfId="4" applyNumberFormat="1" applyFont="1" applyAlignment="1">
      <alignment horizontal="left"/>
    </xf>
    <xf numFmtId="165" fontId="29" fillId="0" borderId="0" xfId="0" applyNumberFormat="1" applyFont="1"/>
    <xf numFmtId="3" fontId="10" fillId="0" borderId="0" xfId="4" applyNumberFormat="1" applyFont="1" applyAlignment="1">
      <alignment horizontal="center"/>
    </xf>
    <xf numFmtId="0" fontId="10" fillId="0" borderId="0" xfId="3" applyFont="1"/>
    <xf numFmtId="0" fontId="70" fillId="0" borderId="0" xfId="3" applyFont="1"/>
    <xf numFmtId="177" fontId="29" fillId="0" borderId="0" xfId="0" applyNumberFormat="1" applyFont="1"/>
    <xf numFmtId="172" fontId="29" fillId="0" borderId="0" xfId="0" applyNumberFormat="1" applyFont="1"/>
    <xf numFmtId="170" fontId="27" fillId="0" borderId="0" xfId="4" applyNumberFormat="1" applyFont="1"/>
    <xf numFmtId="0" fontId="71" fillId="0" borderId="0" xfId="3" applyFont="1"/>
    <xf numFmtId="0" fontId="72" fillId="0" borderId="0" xfId="0" applyFont="1"/>
    <xf numFmtId="0" fontId="72" fillId="0" borderId="0" xfId="0" applyFont="1" applyAlignment="1">
      <alignment horizontal="left"/>
    </xf>
    <xf numFmtId="177" fontId="12" fillId="0" borderId="0" xfId="0" applyNumberFormat="1" applyFont="1"/>
    <xf numFmtId="172" fontId="5" fillId="0" borderId="0" xfId="0" applyNumberFormat="1" applyFont="1"/>
    <xf numFmtId="169" fontId="34" fillId="0" borderId="0" xfId="5" applyNumberFormat="1" applyFont="1" applyAlignment="1">
      <alignment horizontal="left" vertical="top"/>
    </xf>
    <xf numFmtId="170" fontId="3" fillId="0" borderId="0" xfId="0" applyNumberFormat="1" applyFont="1"/>
    <xf numFmtId="178" fontId="19" fillId="0" borderId="0" xfId="4" applyNumberFormat="1" applyFont="1" applyAlignment="1">
      <alignment horizontal="center"/>
    </xf>
    <xf numFmtId="0" fontId="26" fillId="0" borderId="0" xfId="0" applyFont="1"/>
    <xf numFmtId="169" fontId="26" fillId="0" borderId="0" xfId="6" applyNumberFormat="1" applyFont="1" applyAlignment="1">
      <alignment horizontal="left" vertical="top" wrapText="1"/>
    </xf>
    <xf numFmtId="169" fontId="26" fillId="7" borderId="0" xfId="5" applyNumberFormat="1" applyFont="1" applyFill="1" applyAlignment="1">
      <alignment horizontal="left" vertical="top"/>
    </xf>
    <xf numFmtId="169" fontId="25" fillId="7" borderId="0" xfId="5" applyNumberFormat="1" applyFont="1" applyFill="1" applyAlignment="1">
      <alignment horizontal="left" vertical="top"/>
    </xf>
    <xf numFmtId="169" fontId="26" fillId="0" borderId="0" xfId="5" applyNumberFormat="1" applyFont="1" applyAlignment="1">
      <alignment horizontal="left" vertical="top" wrapText="1"/>
    </xf>
    <xf numFmtId="0" fontId="29" fillId="0" borderId="0" xfId="0" applyFont="1" applyAlignment="1">
      <alignment horizontal="center"/>
    </xf>
    <xf numFmtId="169" fontId="26" fillId="5" borderId="0" xfId="6" applyNumberFormat="1" applyFont="1" applyFill="1" applyAlignment="1">
      <alignment horizontal="left" vertical="top"/>
    </xf>
    <xf numFmtId="0" fontId="26" fillId="5" borderId="0" xfId="5" applyFont="1" applyFill="1" applyAlignment="1">
      <alignment horizontal="left" vertical="top"/>
    </xf>
    <xf numFmtId="169" fontId="26" fillId="5" borderId="0" xfId="5" applyNumberFormat="1" applyFont="1" applyFill="1" applyAlignment="1">
      <alignment horizontal="left" vertical="top"/>
    </xf>
    <xf numFmtId="0" fontId="26" fillId="5" borderId="0" xfId="5" applyFont="1" applyFill="1" applyAlignment="1">
      <alignment horizontal="center" vertical="center" wrapText="1"/>
    </xf>
    <xf numFmtId="173" fontId="26" fillId="5" borderId="0" xfId="5" applyNumberFormat="1" applyFont="1" applyFill="1" applyAlignment="1">
      <alignment horizontal="center" vertical="top" wrapText="1"/>
    </xf>
    <xf numFmtId="40" fontId="26" fillId="5" borderId="0" xfId="5" applyNumberFormat="1" applyFont="1" applyFill="1" applyAlignment="1">
      <alignment horizontal="left" vertical="top" wrapText="1"/>
    </xf>
    <xf numFmtId="0" fontId="25" fillId="5" borderId="0" xfId="5" applyFont="1" applyFill="1" applyAlignment="1">
      <alignment horizontal="left" vertical="top" wrapText="1"/>
    </xf>
    <xf numFmtId="0" fontId="5" fillId="16" borderId="12" xfId="0" applyFont="1" applyFill="1" applyBorder="1" applyAlignment="1">
      <alignment horizontal="left" vertical="center" wrapText="1"/>
    </xf>
    <xf numFmtId="0" fontId="5" fillId="16" borderId="2" xfId="0" applyFont="1" applyFill="1" applyBorder="1" applyAlignment="1">
      <alignment horizontal="center" wrapText="1"/>
    </xf>
    <xf numFmtId="0" fontId="5" fillId="16" borderId="11" xfId="0" applyFont="1" applyFill="1" applyBorder="1" applyAlignment="1">
      <alignment horizontal="center" wrapText="1"/>
    </xf>
    <xf numFmtId="0" fontId="7" fillId="16" borderId="11" xfId="0" applyFont="1" applyFill="1" applyBorder="1" applyAlignment="1">
      <alignment horizontal="center" wrapText="1"/>
    </xf>
    <xf numFmtId="0" fontId="7" fillId="16" borderId="20" xfId="0" applyFont="1" applyFill="1" applyBorder="1" applyAlignment="1">
      <alignment horizontal="left" vertical="center" wrapText="1"/>
    </xf>
    <xf numFmtId="0" fontId="5" fillId="16" borderId="21" xfId="0" applyFont="1" applyFill="1" applyBorder="1" applyAlignment="1">
      <alignment horizontal="center" wrapText="1"/>
    </xf>
    <xf numFmtId="0" fontId="7" fillId="5" borderId="0" xfId="5" applyFont="1" applyFill="1" applyAlignment="1">
      <alignment horizontal="left" vertical="top" wrapText="1"/>
    </xf>
    <xf numFmtId="0" fontId="2" fillId="0" borderId="0" xfId="0" applyFont="1"/>
    <xf numFmtId="169" fontId="7" fillId="5" borderId="0" xfId="5" applyNumberFormat="1" applyFont="1" applyFill="1" applyAlignment="1">
      <alignment horizontal="right" vertical="center" wrapText="1"/>
    </xf>
    <xf numFmtId="3" fontId="7" fillId="5" borderId="0" xfId="6" applyNumberFormat="1" applyFont="1" applyFill="1" applyAlignment="1">
      <alignment horizontal="right" vertical="center"/>
    </xf>
    <xf numFmtId="3" fontId="7" fillId="5" borderId="0" xfId="5" applyNumberFormat="1" applyFont="1" applyFill="1" applyAlignment="1">
      <alignment horizontal="right" vertical="center"/>
    </xf>
    <xf numFmtId="3" fontId="5" fillId="0" borderId="0" xfId="6" applyNumberFormat="1" applyFont="1" applyFill="1" applyAlignment="1">
      <alignment horizontal="right" vertical="center"/>
    </xf>
    <xf numFmtId="169" fontId="5" fillId="0" borderId="0" xfId="5" applyNumberFormat="1" applyFont="1" applyAlignment="1">
      <alignment horizontal="right" vertical="center" wrapText="1"/>
    </xf>
    <xf numFmtId="3" fontId="7" fillId="0" borderId="0" xfId="0" applyNumberFormat="1" applyFont="1" applyAlignment="1">
      <alignment horizontal="center"/>
    </xf>
    <xf numFmtId="3" fontId="7" fillId="0" borderId="0" xfId="0" applyNumberFormat="1" applyFont="1" applyAlignment="1">
      <alignment horizontal="left"/>
    </xf>
    <xf numFmtId="3" fontId="22" fillId="0" borderId="0" xfId="4" applyNumberFormat="1" applyFont="1" applyAlignment="1">
      <alignment horizontal="left"/>
    </xf>
    <xf numFmtId="3" fontId="5" fillId="0" borderId="0" xfId="4" applyNumberFormat="1" applyFont="1" applyAlignment="1"/>
    <xf numFmtId="9" fontId="30" fillId="0" borderId="0" xfId="1" applyFont="1" applyAlignment="1">
      <alignment horizontal="center"/>
    </xf>
    <xf numFmtId="9" fontId="30" fillId="0" borderId="14" xfId="1" applyFont="1" applyBorder="1" applyAlignment="1">
      <alignment horizontal="center"/>
    </xf>
    <xf numFmtId="168" fontId="0" fillId="0" borderId="0" xfId="0" applyNumberFormat="1"/>
    <xf numFmtId="9" fontId="30" fillId="0" borderId="1" xfId="1" applyFont="1" applyBorder="1" applyAlignment="1">
      <alignment horizontal="center"/>
    </xf>
    <xf numFmtId="179" fontId="30" fillId="0" borderId="1" xfId="1" applyNumberFormat="1" applyFont="1" applyBorder="1" applyAlignment="1">
      <alignment horizontal="center"/>
    </xf>
    <xf numFmtId="3" fontId="31" fillId="0" borderId="0" xfId="0" applyNumberFormat="1" applyFont="1" applyAlignment="1">
      <alignment horizontal="center"/>
    </xf>
    <xf numFmtId="179" fontId="0" fillId="0" borderId="0" xfId="1" applyNumberFormat="1" applyFont="1"/>
    <xf numFmtId="3" fontId="33" fillId="0" borderId="0" xfId="0" applyNumberFormat="1" applyFont="1"/>
    <xf numFmtId="3" fontId="73" fillId="0" borderId="0" xfId="0" applyNumberFormat="1" applyFont="1"/>
    <xf numFmtId="9" fontId="3" fillId="0" borderId="0" xfId="0" applyNumberFormat="1" applyFont="1" applyAlignment="1">
      <alignment horizontal="center"/>
    </xf>
    <xf numFmtId="0" fontId="5" fillId="0" borderId="6" xfId="0" applyFont="1" applyBorder="1" applyAlignment="1">
      <alignment horizontal="left"/>
    </xf>
    <xf numFmtId="0" fontId="5" fillId="0" borderId="9" xfId="0" applyFont="1" applyBorder="1" applyAlignment="1">
      <alignment horizontal="left"/>
    </xf>
    <xf numFmtId="0" fontId="5" fillId="0" borderId="12" xfId="0" applyFont="1" applyBorder="1" applyAlignment="1">
      <alignment horizontal="left"/>
    </xf>
    <xf numFmtId="0" fontId="5" fillId="0" borderId="0" xfId="0" applyFont="1" applyAlignment="1">
      <alignment horizontal="left"/>
    </xf>
    <xf numFmtId="180" fontId="30" fillId="0" borderId="0" xfId="0" applyNumberFormat="1" applyFont="1"/>
    <xf numFmtId="180" fontId="31" fillId="0" borderId="0" xfId="0" applyNumberFormat="1" applyFont="1" applyAlignment="1">
      <alignment horizontal="center"/>
    </xf>
    <xf numFmtId="181" fontId="12" fillId="0" borderId="0" xfId="0" applyNumberFormat="1" applyFont="1" applyAlignment="1">
      <alignment horizontal="center"/>
    </xf>
    <xf numFmtId="0" fontId="5" fillId="2" borderId="0" xfId="0" applyFont="1" applyFill="1"/>
    <xf numFmtId="0" fontId="74" fillId="0" borderId="0" xfId="0" applyFont="1"/>
    <xf numFmtId="6" fontId="75" fillId="0" borderId="0" xfId="0" applyNumberFormat="1" applyFont="1"/>
    <xf numFmtId="0" fontId="0" fillId="0" borderId="0" xfId="0" applyAlignment="1">
      <alignment horizontal="right"/>
    </xf>
    <xf numFmtId="4" fontId="0" fillId="0" borderId="0" xfId="0" applyNumberFormat="1"/>
    <xf numFmtId="37" fontId="30" fillId="0" borderId="0" xfId="0" applyNumberFormat="1" applyFont="1"/>
    <xf numFmtId="169" fontId="5" fillId="0" borderId="0" xfId="13" applyNumberFormat="1" applyFont="1" applyFill="1" applyAlignment="1">
      <alignment horizontal="right" vertical="center"/>
    </xf>
    <xf numFmtId="9" fontId="30" fillId="0" borderId="1" xfId="1" applyFont="1" applyFill="1" applyBorder="1" applyAlignment="1">
      <alignment horizontal="center"/>
    </xf>
    <xf numFmtId="9" fontId="0" fillId="0" borderId="0" xfId="0" applyNumberFormat="1"/>
    <xf numFmtId="0" fontId="76" fillId="0" borderId="0" xfId="0" applyFont="1"/>
    <xf numFmtId="0" fontId="77" fillId="0" borderId="0" xfId="0" applyFont="1"/>
  </cellXfs>
  <cellStyles count="14">
    <cellStyle name="Comma" xfId="4" builtinId="3"/>
    <cellStyle name="Comma 2" xfId="9" xr:uid="{E823CB52-40F4-4E6A-B407-9473AFD6B068}"/>
    <cellStyle name="Currency" xfId="13" builtinId="4"/>
    <cellStyle name="Currency 2" xfId="6" xr:uid="{7C2CB3AA-A056-4229-9486-56CE103D406C}"/>
    <cellStyle name="Currency 3" xfId="12" xr:uid="{0384A931-FD13-4C64-B3D1-BB5408E9A17E}"/>
    <cellStyle name="Hyperlink" xfId="3" builtinId="8"/>
    <cellStyle name="Normal" xfId="0" builtinId="0"/>
    <cellStyle name="Normal 2" xfId="2" xr:uid="{4C3A76D3-8B03-437B-8230-896569D3A892}"/>
    <cellStyle name="Normal 2 2" xfId="7" xr:uid="{0A7827DB-5796-4E14-8F8D-737F88D69BDB}"/>
    <cellStyle name="Normal 2 3" xfId="8" xr:uid="{DFC71B7C-5BBA-4677-9A65-4A6726113344}"/>
    <cellStyle name="Normal 2 5" xfId="11" xr:uid="{6205BB6E-3962-4B15-9308-C6277B9A9BCB}"/>
    <cellStyle name="Normal 3" xfId="5" xr:uid="{FEA8538C-FD58-4006-94B3-0CFE54C608C5}"/>
    <cellStyle name="Percent" xfId="1" builtinId="5"/>
    <cellStyle name="Percent 2" xfId="10" xr:uid="{76825ADC-953B-4B83-B96E-9663477BA3B7}"/>
  </cellStyles>
  <dxfs count="1">
    <dxf>
      <fill>
        <patternFill>
          <bgColor theme="5" tint="0.59996337778862885"/>
        </patternFill>
      </fill>
    </dxf>
  </dxfs>
  <tableStyles count="0" defaultTableStyle="TableStyleMedium2" defaultPivotStyle="PivotStyleLight16"/>
  <colors>
    <mruColors>
      <color rgb="FF99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670800953802343E-2"/>
          <c:y val="0.12293997789749968"/>
          <c:w val="0.89037277203094711"/>
          <c:h val="0.67535513652898649"/>
        </c:manualLayout>
      </c:layout>
      <c:lineChart>
        <c:grouping val="standard"/>
        <c:varyColors val="0"/>
        <c:ser>
          <c:idx val="0"/>
          <c:order val="0"/>
          <c:spPr>
            <a:ln w="28575" cap="rnd">
              <a:solidFill>
                <a:schemeClr val="accent3"/>
              </a:solidFill>
              <a:round/>
            </a:ln>
            <a:effectLst/>
          </c:spPr>
          <c:marker>
            <c:symbol val="none"/>
          </c:marker>
          <c:cat>
            <c:numRef>
              <c:extLst>
                <c:ext xmlns:c15="http://schemas.microsoft.com/office/drawing/2012/chart" uri="{02D57815-91ED-43cb-92C2-25804820EDAC}">
                  <c15:fullRef>
                    <c15:sqref>GridEF!$H$8:$AJ$8</c15:sqref>
                  </c15:fullRef>
                </c:ext>
              </c:extLst>
              <c:f>GridEF!$K$8:$AJ$8</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extLst>
                <c:ext xmlns:c15="http://schemas.microsoft.com/office/drawing/2012/chart" uri="{02D57815-91ED-43cb-92C2-25804820EDAC}">
                  <c15:fullRef>
                    <c15:sqref>GridEF!$H$23:$AJ$23</c15:sqref>
                  </c15:fullRef>
                </c:ext>
              </c:extLst>
              <c:f>GridEF!$K$23:$AJ$23</c:f>
              <c:numCache>
                <c:formatCode>0</c:formatCode>
                <c:ptCount val="26"/>
                <c:pt idx="0">
                  <c:v>674.4375965620311</c:v>
                </c:pt>
                <c:pt idx="1">
                  <c:v>582.05817371438718</c:v>
                </c:pt>
                <c:pt idx="2">
                  <c:v>472.44135607615794</c:v>
                </c:pt>
                <c:pt idx="3">
                  <c:v>431.13681613449222</c:v>
                </c:pt>
                <c:pt idx="4">
                  <c:v>374.82700623051409</c:v>
                </c:pt>
                <c:pt idx="5">
                  <c:v>313.32238923505827</c:v>
                </c:pt>
                <c:pt idx="6">
                  <c:v>301.06727242636458</c:v>
                </c:pt>
                <c:pt idx="7">
                  <c:v>282.26666527720243</c:v>
                </c:pt>
                <c:pt idx="8">
                  <c:v>276.15737631517419</c:v>
                </c:pt>
                <c:pt idx="9">
                  <c:v>260.76946066971425</c:v>
                </c:pt>
                <c:pt idx="10">
                  <c:v>258.01406896804025</c:v>
                </c:pt>
                <c:pt idx="11">
                  <c:v>271.75489463451208</c:v>
                </c:pt>
                <c:pt idx="12">
                  <c:v>278.87976408048519</c:v>
                </c:pt>
                <c:pt idx="13">
                  <c:v>283.53170989611812</c:v>
                </c:pt>
                <c:pt idx="14">
                  <c:v>275.34555620538902</c:v>
                </c:pt>
                <c:pt idx="15">
                  <c:v>271.97554548189527</c:v>
                </c:pt>
                <c:pt idx="16">
                  <c:v>275.53686059161805</c:v>
                </c:pt>
                <c:pt idx="17">
                  <c:v>276.34848781986847</c:v>
                </c:pt>
                <c:pt idx="18">
                  <c:v>274.09918732940775</c:v>
                </c:pt>
                <c:pt idx="19">
                  <c:v>274.71997658367638</c:v>
                </c:pt>
                <c:pt idx="20">
                  <c:v>261.43574639021381</c:v>
                </c:pt>
                <c:pt idx="21">
                  <c:v>252.03488653294062</c:v>
                </c:pt>
                <c:pt idx="22">
                  <c:v>253.33266195594183</c:v>
                </c:pt>
                <c:pt idx="23">
                  <c:v>250.24302106740177</c:v>
                </c:pt>
                <c:pt idx="24">
                  <c:v>246.94667880473168</c:v>
                </c:pt>
                <c:pt idx="25">
                  <c:v>234.54592399318315</c:v>
                </c:pt>
              </c:numCache>
            </c:numRef>
          </c:val>
          <c:smooth val="0"/>
          <c:extLst>
            <c:ext xmlns:c16="http://schemas.microsoft.com/office/drawing/2014/chart" uri="{C3380CC4-5D6E-409C-BE32-E72D297353CC}">
              <c16:uniqueId val="{00000000-41F8-40E0-85D5-D78E7176CBE4}"/>
            </c:ext>
          </c:extLst>
        </c:ser>
        <c:dLbls>
          <c:showLegendKey val="0"/>
          <c:showVal val="0"/>
          <c:showCatName val="0"/>
          <c:showSerName val="0"/>
          <c:showPercent val="0"/>
          <c:showBubbleSize val="0"/>
        </c:dLbls>
        <c:marker val="1"/>
        <c:smooth val="0"/>
        <c:axId val="1226746623"/>
        <c:axId val="1223901247"/>
      </c:lineChart>
      <c:lineChart>
        <c:grouping val="standard"/>
        <c:varyColors val="0"/>
        <c:ser>
          <c:idx val="1"/>
          <c:order val="1"/>
          <c:spPr>
            <a:ln w="28575" cap="rnd">
              <a:solidFill>
                <a:schemeClr val="accent3"/>
              </a:solidFill>
              <a:round/>
            </a:ln>
            <a:effectLst/>
          </c:spPr>
          <c:marker>
            <c:symbol val="none"/>
          </c:marker>
          <c:cat>
            <c:numRef>
              <c:extLst>
                <c:ext xmlns:c15="http://schemas.microsoft.com/office/drawing/2012/chart" uri="{02D57815-91ED-43cb-92C2-25804820EDAC}">
                  <c15:fullRef>
                    <c15:sqref>GridEF!$H$8:$AJ$8</c15:sqref>
                  </c15:fullRef>
                </c:ext>
              </c:extLst>
              <c:f>GridEF!$K$8:$AJ$8</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extLst>
                <c:ext xmlns:c15="http://schemas.microsoft.com/office/drawing/2012/chart" uri="{02D57815-91ED-43cb-92C2-25804820EDAC}">
                  <c15:fullRef>
                    <c15:sqref>GridEF!$H$25:$AJ$25</c15:sqref>
                  </c15:fullRef>
                </c:ext>
              </c:extLst>
              <c:f>GridEF!$K$25:$AJ$25</c:f>
              <c:numCache>
                <c:formatCode>#,##0</c:formatCode>
                <c:ptCount val="26"/>
                <c:pt idx="0">
                  <c:v>1486.878614132585</c:v>
                </c:pt>
                <c:pt idx="1">
                  <c:v>1283.2170909342121</c:v>
                </c:pt>
                <c:pt idx="2">
                  <c:v>1041.5536624326191</c:v>
                </c:pt>
                <c:pt idx="3">
                  <c:v>950.4928475864242</c:v>
                </c:pt>
                <c:pt idx="4">
                  <c:v>826.35111447591589</c:v>
                </c:pt>
                <c:pt idx="5">
                  <c:v>690.75680575539411</c:v>
                </c:pt>
                <c:pt idx="6">
                  <c:v>663.73893013661177</c:v>
                </c:pt>
                <c:pt idx="7">
                  <c:v>622.29073560342601</c:v>
                </c:pt>
                <c:pt idx="8">
                  <c:v>608.8220749719593</c:v>
                </c:pt>
                <c:pt idx="9">
                  <c:v>574.89756838166534</c:v>
                </c:pt>
                <c:pt idx="10">
                  <c:v>568.8229767283209</c:v>
                </c:pt>
                <c:pt idx="11">
                  <c:v>599.11627580913796</c:v>
                </c:pt>
                <c:pt idx="12">
                  <c:v>614.82390548711919</c:v>
                </c:pt>
                <c:pt idx="13">
                  <c:v>625.07967827117989</c:v>
                </c:pt>
                <c:pt idx="14">
                  <c:v>607.03232012152466</c:v>
                </c:pt>
                <c:pt idx="15">
                  <c:v>599.60272708029584</c:v>
                </c:pt>
                <c:pt idx="16">
                  <c:v>607.45407359749288</c:v>
                </c:pt>
                <c:pt idx="17">
                  <c:v>609.24340321743841</c:v>
                </c:pt>
                <c:pt idx="18">
                  <c:v>604.28455037015885</c:v>
                </c:pt>
                <c:pt idx="19">
                  <c:v>605.65315477590457</c:v>
                </c:pt>
                <c:pt idx="20">
                  <c:v>576.3664752067931</c:v>
                </c:pt>
                <c:pt idx="21">
                  <c:v>555.64115154825151</c:v>
                </c:pt>
                <c:pt idx="22">
                  <c:v>558.50225320130846</c:v>
                </c:pt>
                <c:pt idx="23">
                  <c:v>551.69076910561523</c:v>
                </c:pt>
                <c:pt idx="24">
                  <c:v>544.42358702648755</c:v>
                </c:pt>
                <c:pt idx="25">
                  <c:v>517.08463495385138</c:v>
                </c:pt>
              </c:numCache>
            </c:numRef>
          </c:val>
          <c:smooth val="0"/>
          <c:extLst>
            <c:ext xmlns:c16="http://schemas.microsoft.com/office/drawing/2014/chart" uri="{C3380CC4-5D6E-409C-BE32-E72D297353CC}">
              <c16:uniqueId val="{00000001-41F8-40E0-85D5-D78E7176CBE4}"/>
            </c:ext>
          </c:extLst>
        </c:ser>
        <c:dLbls>
          <c:showLegendKey val="0"/>
          <c:showVal val="0"/>
          <c:showCatName val="0"/>
          <c:showSerName val="0"/>
          <c:showPercent val="0"/>
          <c:showBubbleSize val="0"/>
        </c:dLbls>
        <c:marker val="1"/>
        <c:smooth val="0"/>
        <c:axId val="1400049712"/>
        <c:axId val="1136449296"/>
      </c:lineChart>
      <c:catAx>
        <c:axId val="12267466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3901247"/>
        <c:crosses val="autoZero"/>
        <c:auto val="1"/>
        <c:lblAlgn val="ctr"/>
        <c:lblOffset val="100"/>
        <c:noMultiLvlLbl val="0"/>
      </c:catAx>
      <c:valAx>
        <c:axId val="12239012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226746623"/>
        <c:crosses val="autoZero"/>
        <c:crossBetween val="between"/>
      </c:valAx>
      <c:valAx>
        <c:axId val="1136449296"/>
        <c:scaling>
          <c:orientation val="minMax"/>
          <c:max val="1750"/>
          <c:min val="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400049712"/>
        <c:crosses val="max"/>
        <c:crossBetween val="between"/>
      </c:valAx>
      <c:catAx>
        <c:axId val="1400049712"/>
        <c:scaling>
          <c:orientation val="minMax"/>
        </c:scaling>
        <c:delete val="1"/>
        <c:axPos val="b"/>
        <c:numFmt formatCode="General" sourceLinked="1"/>
        <c:majorTickMark val="out"/>
        <c:minorTickMark val="none"/>
        <c:tickLblPos val="nextTo"/>
        <c:crossAx val="1136449296"/>
        <c:crosses val="autoZero"/>
        <c:auto val="1"/>
        <c:lblAlgn val="ctr"/>
        <c:lblOffset val="100"/>
        <c:noMultiLvlLbl val="0"/>
      </c:cat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98840769903762"/>
          <c:y val="5.366161616161616E-2"/>
          <c:w val="0.84101159230096234"/>
          <c:h val="0.64725393700787404"/>
        </c:manualLayout>
      </c:layout>
      <c:areaChart>
        <c:grouping val="stacked"/>
        <c:varyColors val="0"/>
        <c:ser>
          <c:idx val="0"/>
          <c:order val="0"/>
          <c:tx>
            <c:strRef>
              <c:f>GridEF!$E$10</c:f>
              <c:strCache>
                <c:ptCount val="1"/>
                <c:pt idx="0">
                  <c:v>% Zero Emitting</c:v>
                </c:pt>
              </c:strCache>
            </c:strRef>
          </c:tx>
          <c:spPr>
            <a:solidFill>
              <a:schemeClr val="accent6">
                <a:lumMod val="60000"/>
                <a:lumOff val="40000"/>
              </a:schemeClr>
            </a:solidFill>
            <a:ln>
              <a:noFill/>
            </a:ln>
            <a:effectLst/>
          </c:spPr>
          <c:cat>
            <c:numRef>
              <c:extLst>
                <c:ext xmlns:c15="http://schemas.microsoft.com/office/drawing/2012/chart" uri="{02D57815-91ED-43cb-92C2-25804820EDAC}">
                  <c15:fullRef>
                    <c15:sqref>GridEF!$H$8:$AJ$8</c15:sqref>
                  </c15:fullRef>
                </c:ext>
              </c:extLst>
              <c:f>GridEF!$K$8:$AJ$8</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extLst>
                <c:ext xmlns:c15="http://schemas.microsoft.com/office/drawing/2012/chart" uri="{02D57815-91ED-43cb-92C2-25804820EDAC}">
                  <c15:fullRef>
                    <c15:sqref>GridEF!$H$10:$AJ$10</c15:sqref>
                  </c15:fullRef>
                </c:ext>
              </c:extLst>
              <c:f>GridEF!$K$10:$AJ$10</c:f>
              <c:numCache>
                <c:formatCode>0%</c:formatCode>
                <c:ptCount val="26"/>
                <c:pt idx="0">
                  <c:v>0.28350002367390131</c:v>
                </c:pt>
                <c:pt idx="1">
                  <c:v>0.38220619608328366</c:v>
                </c:pt>
                <c:pt idx="2">
                  <c:v>0.48608286097412512</c:v>
                </c:pt>
                <c:pt idx="3">
                  <c:v>0.51938065187092908</c:v>
                </c:pt>
                <c:pt idx="4">
                  <c:v>0.577331372483181</c:v>
                </c:pt>
                <c:pt idx="5">
                  <c:v>0.6308842175942514</c:v>
                </c:pt>
                <c:pt idx="6">
                  <c:v>0.64451164355078749</c:v>
                </c:pt>
                <c:pt idx="7">
                  <c:v>0.6616383971227523</c:v>
                </c:pt>
                <c:pt idx="8">
                  <c:v>0.67343065192553508</c:v>
                </c:pt>
                <c:pt idx="9">
                  <c:v>0.68732379102345376</c:v>
                </c:pt>
                <c:pt idx="10">
                  <c:v>0.68994587946379982</c:v>
                </c:pt>
                <c:pt idx="11">
                  <c:v>0.67739221348148893</c:v>
                </c:pt>
                <c:pt idx="12">
                  <c:v>0.67418052155459463</c:v>
                </c:pt>
                <c:pt idx="13">
                  <c:v>0.66540364301519062</c:v>
                </c:pt>
                <c:pt idx="14">
                  <c:v>0.6718732596058522</c:v>
                </c:pt>
                <c:pt idx="15">
                  <c:v>0.6726704887943189</c:v>
                </c:pt>
                <c:pt idx="16">
                  <c:v>0.67014372692497592</c:v>
                </c:pt>
                <c:pt idx="17">
                  <c:v>0.66893853350660537</c:v>
                </c:pt>
                <c:pt idx="18">
                  <c:v>0.67013718724887916</c:v>
                </c:pt>
                <c:pt idx="19">
                  <c:v>0.66779920308789442</c:v>
                </c:pt>
                <c:pt idx="20">
                  <c:v>0.67411915151642809</c:v>
                </c:pt>
                <c:pt idx="21">
                  <c:v>0.68372448156981125</c:v>
                </c:pt>
                <c:pt idx="22">
                  <c:v>0.67772987099775017</c:v>
                </c:pt>
                <c:pt idx="23">
                  <c:v>0.6772569505148035</c:v>
                </c:pt>
                <c:pt idx="24">
                  <c:v>0.67922537817698159</c:v>
                </c:pt>
                <c:pt idx="25">
                  <c:v>0.68908610875069365</c:v>
                </c:pt>
              </c:numCache>
            </c:numRef>
          </c:val>
          <c:extLst>
            <c:ext xmlns:c16="http://schemas.microsoft.com/office/drawing/2014/chart" uri="{C3380CC4-5D6E-409C-BE32-E72D297353CC}">
              <c16:uniqueId val="{00000000-F9C8-4ECC-992C-3AA856A63570}"/>
            </c:ext>
          </c:extLst>
        </c:ser>
        <c:ser>
          <c:idx val="1"/>
          <c:order val="1"/>
          <c:tx>
            <c:strRef>
              <c:f>GridEF!$E$11</c:f>
              <c:strCache>
                <c:ptCount val="1"/>
                <c:pt idx="0">
                  <c:v>% Natural Gas</c:v>
                </c:pt>
              </c:strCache>
            </c:strRef>
          </c:tx>
          <c:spPr>
            <a:solidFill>
              <a:schemeClr val="tx2">
                <a:lumMod val="50000"/>
                <a:lumOff val="50000"/>
              </a:schemeClr>
            </a:solidFill>
            <a:ln>
              <a:noFill/>
            </a:ln>
            <a:effectLst/>
          </c:spPr>
          <c:cat>
            <c:numRef>
              <c:extLst>
                <c:ext xmlns:c15="http://schemas.microsoft.com/office/drawing/2012/chart" uri="{02D57815-91ED-43cb-92C2-25804820EDAC}">
                  <c15:fullRef>
                    <c15:sqref>GridEF!$H$8:$AJ$8</c15:sqref>
                  </c15:fullRef>
                </c:ext>
              </c:extLst>
              <c:f>GridEF!$K$8:$AJ$8</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extLst>
                <c:ext xmlns:c15="http://schemas.microsoft.com/office/drawing/2012/chart" uri="{02D57815-91ED-43cb-92C2-25804820EDAC}">
                  <c15:fullRef>
                    <c15:sqref>GridEF!$H$11:$AJ$11</c15:sqref>
                  </c15:fullRef>
                </c:ext>
              </c:extLst>
              <c:f>GridEF!$K$11:$AJ$11</c:f>
              <c:numCache>
                <c:formatCode>0%</c:formatCode>
                <c:ptCount val="26"/>
                <c:pt idx="0">
                  <c:v>0.18588062520023019</c:v>
                </c:pt>
                <c:pt idx="1">
                  <c:v>0.15942528716231189</c:v>
                </c:pt>
                <c:pt idx="2">
                  <c:v>0.15134357504006352</c:v>
                </c:pt>
                <c:pt idx="3">
                  <c:v>0.15858101592733712</c:v>
                </c:pt>
                <c:pt idx="4">
                  <c:v>0.14635364695051328</c:v>
                </c:pt>
                <c:pt idx="5">
                  <c:v>0.15014378740080855</c:v>
                </c:pt>
                <c:pt idx="6">
                  <c:v>0.14569634715924779</c:v>
                </c:pt>
                <c:pt idx="7">
                  <c:v>0.14552320442362054</c:v>
                </c:pt>
                <c:pt idx="8">
                  <c:v>0.13451018712426191</c:v>
                </c:pt>
                <c:pt idx="9">
                  <c:v>0.13458800182799591</c:v>
                </c:pt>
                <c:pt idx="10">
                  <c:v>0.13436552698434168</c:v>
                </c:pt>
                <c:pt idx="11">
                  <c:v>0.1345557902209753</c:v>
                </c:pt>
                <c:pt idx="12">
                  <c:v>0.12885200510992662</c:v>
                </c:pt>
                <c:pt idx="13">
                  <c:v>0.13688179872854128</c:v>
                </c:pt>
                <c:pt idx="14">
                  <c:v>0.1385443684519598</c:v>
                </c:pt>
                <c:pt idx="15">
                  <c:v>0.14251242336461137</c:v>
                </c:pt>
                <c:pt idx="16">
                  <c:v>0.14128274743377572</c:v>
                </c:pt>
                <c:pt idx="17">
                  <c:v>0.14210988531547059</c:v>
                </c:pt>
                <c:pt idx="18">
                  <c:v>0.14358550152425059</c:v>
                </c:pt>
                <c:pt idx="19">
                  <c:v>0.14671002610643974</c:v>
                </c:pt>
                <c:pt idx="20">
                  <c:v>0.1567608506293291</c:v>
                </c:pt>
                <c:pt idx="21">
                  <c:v>0.15484175769449338</c:v>
                </c:pt>
                <c:pt idx="22">
                  <c:v>0.16332151142624429</c:v>
                </c:pt>
                <c:pt idx="23">
                  <c:v>0.1690776753568366</c:v>
                </c:pt>
                <c:pt idx="24">
                  <c:v>0.17086749705885121</c:v>
                </c:pt>
                <c:pt idx="25">
                  <c:v>0.17327999360937985</c:v>
                </c:pt>
              </c:numCache>
            </c:numRef>
          </c:val>
          <c:extLst>
            <c:ext xmlns:c16="http://schemas.microsoft.com/office/drawing/2014/chart" uri="{C3380CC4-5D6E-409C-BE32-E72D297353CC}">
              <c16:uniqueId val="{00000001-F9C8-4ECC-992C-3AA856A63570}"/>
            </c:ext>
          </c:extLst>
        </c:ser>
        <c:ser>
          <c:idx val="2"/>
          <c:order val="2"/>
          <c:tx>
            <c:strRef>
              <c:f>GridEF!$E$12</c:f>
              <c:strCache>
                <c:ptCount val="1"/>
                <c:pt idx="0">
                  <c:v>% Coal</c:v>
                </c:pt>
              </c:strCache>
            </c:strRef>
          </c:tx>
          <c:spPr>
            <a:solidFill>
              <a:schemeClr val="accent2">
                <a:lumMod val="50000"/>
              </a:schemeClr>
            </a:solidFill>
            <a:ln>
              <a:noFill/>
            </a:ln>
            <a:effectLst/>
          </c:spPr>
          <c:cat>
            <c:numRef>
              <c:extLst>
                <c:ext xmlns:c15="http://schemas.microsoft.com/office/drawing/2012/chart" uri="{02D57815-91ED-43cb-92C2-25804820EDAC}">
                  <c15:fullRef>
                    <c15:sqref>GridEF!$H$8:$AJ$8</c15:sqref>
                  </c15:fullRef>
                </c:ext>
              </c:extLst>
              <c:f>GridEF!$K$8:$AJ$8</c:f>
              <c:numCache>
                <c:formatCode>General</c:formatCode>
                <c:ptCount val="26"/>
                <c:pt idx="0">
                  <c:v>2025</c:v>
                </c:pt>
                <c:pt idx="1">
                  <c:v>2026</c:v>
                </c:pt>
                <c:pt idx="2">
                  <c:v>2027</c:v>
                </c:pt>
                <c:pt idx="3">
                  <c:v>2028</c:v>
                </c:pt>
                <c:pt idx="4">
                  <c:v>2029</c:v>
                </c:pt>
                <c:pt idx="5">
                  <c:v>2030</c:v>
                </c:pt>
                <c:pt idx="6">
                  <c:v>2031</c:v>
                </c:pt>
                <c:pt idx="7">
                  <c:v>2032</c:v>
                </c:pt>
                <c:pt idx="8">
                  <c:v>2033</c:v>
                </c:pt>
                <c:pt idx="9">
                  <c:v>2034</c:v>
                </c:pt>
                <c:pt idx="10">
                  <c:v>2035</c:v>
                </c:pt>
                <c:pt idx="11">
                  <c:v>2036</c:v>
                </c:pt>
                <c:pt idx="12">
                  <c:v>2037</c:v>
                </c:pt>
                <c:pt idx="13">
                  <c:v>2038</c:v>
                </c:pt>
                <c:pt idx="14">
                  <c:v>2039</c:v>
                </c:pt>
                <c:pt idx="15">
                  <c:v>2040</c:v>
                </c:pt>
                <c:pt idx="16">
                  <c:v>2041</c:v>
                </c:pt>
                <c:pt idx="17">
                  <c:v>2042</c:v>
                </c:pt>
                <c:pt idx="18">
                  <c:v>2043</c:v>
                </c:pt>
                <c:pt idx="19">
                  <c:v>2044</c:v>
                </c:pt>
                <c:pt idx="20">
                  <c:v>2045</c:v>
                </c:pt>
                <c:pt idx="21">
                  <c:v>2046</c:v>
                </c:pt>
                <c:pt idx="22">
                  <c:v>2047</c:v>
                </c:pt>
                <c:pt idx="23">
                  <c:v>2048</c:v>
                </c:pt>
                <c:pt idx="24">
                  <c:v>2049</c:v>
                </c:pt>
                <c:pt idx="25">
                  <c:v>2050</c:v>
                </c:pt>
              </c:numCache>
            </c:numRef>
          </c:cat>
          <c:val>
            <c:numRef>
              <c:extLst>
                <c:ext xmlns:c15="http://schemas.microsoft.com/office/drawing/2012/chart" uri="{02D57815-91ED-43cb-92C2-25804820EDAC}">
                  <c15:fullRef>
                    <c15:sqref>GridEF!$H$12:$AJ$12</c15:sqref>
                  </c15:fullRef>
                </c:ext>
              </c:extLst>
              <c:f>GridEF!$K$12:$AJ$12</c:f>
              <c:numCache>
                <c:formatCode>0%</c:formatCode>
                <c:ptCount val="26"/>
                <c:pt idx="0">
                  <c:v>0.53061935112586844</c:v>
                </c:pt>
                <c:pt idx="1">
                  <c:v>0.45836851675440432</c:v>
                </c:pt>
                <c:pt idx="2">
                  <c:v>0.36257356398581125</c:v>
                </c:pt>
                <c:pt idx="3">
                  <c:v>0.32203833220173378</c:v>
                </c:pt>
                <c:pt idx="4">
                  <c:v>0.27631498056630555</c:v>
                </c:pt>
                <c:pt idx="5">
                  <c:v>0.21897199500493997</c:v>
                </c:pt>
                <c:pt idx="6">
                  <c:v>0.20979200928996461</c:v>
                </c:pt>
                <c:pt idx="7">
                  <c:v>0.1928383984536271</c:v>
                </c:pt>
                <c:pt idx="8">
                  <c:v>0.19205916095020298</c:v>
                </c:pt>
                <c:pt idx="9">
                  <c:v>0.17808820714855023</c:v>
                </c:pt>
                <c:pt idx="10">
                  <c:v>0.17568859355185845</c:v>
                </c:pt>
                <c:pt idx="11">
                  <c:v>0.18805199629753569</c:v>
                </c:pt>
                <c:pt idx="12">
                  <c:v>0.19696747333547865</c:v>
                </c:pt>
                <c:pt idx="13">
                  <c:v>0.19771455825626805</c:v>
                </c:pt>
                <c:pt idx="14">
                  <c:v>0.18958237194218786</c:v>
                </c:pt>
                <c:pt idx="15">
                  <c:v>0.18481708784106973</c:v>
                </c:pt>
                <c:pt idx="16">
                  <c:v>0.18857352564124835</c:v>
                </c:pt>
                <c:pt idx="17">
                  <c:v>0.18895158117792393</c:v>
                </c:pt>
                <c:pt idx="18">
                  <c:v>0.18627731122687011</c:v>
                </c:pt>
                <c:pt idx="19">
                  <c:v>0.18549077080566576</c:v>
                </c:pt>
                <c:pt idx="20">
                  <c:v>0.16911999785424281</c:v>
                </c:pt>
                <c:pt idx="21">
                  <c:v>0.16143376073569521</c:v>
                </c:pt>
                <c:pt idx="22">
                  <c:v>0.1589486175760054</c:v>
                </c:pt>
                <c:pt idx="23">
                  <c:v>0.15366537412835979</c:v>
                </c:pt>
                <c:pt idx="24">
                  <c:v>0.14990712476416718</c:v>
                </c:pt>
                <c:pt idx="25">
                  <c:v>0.13763389763992648</c:v>
                </c:pt>
              </c:numCache>
            </c:numRef>
          </c:val>
          <c:extLst>
            <c:ext xmlns:c16="http://schemas.microsoft.com/office/drawing/2014/chart" uri="{C3380CC4-5D6E-409C-BE32-E72D297353CC}">
              <c16:uniqueId val="{00000002-F9C8-4ECC-992C-3AA856A63570}"/>
            </c:ext>
          </c:extLst>
        </c:ser>
        <c:dLbls>
          <c:showLegendKey val="0"/>
          <c:showVal val="0"/>
          <c:showCatName val="0"/>
          <c:showSerName val="0"/>
          <c:showPercent val="0"/>
          <c:showBubbleSize val="0"/>
        </c:dLbls>
        <c:axId val="1107882384"/>
        <c:axId val="1136479552"/>
      </c:areaChart>
      <c:catAx>
        <c:axId val="110788238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36479552"/>
        <c:crosses val="autoZero"/>
        <c:auto val="1"/>
        <c:lblAlgn val="ctr"/>
        <c:lblOffset val="100"/>
        <c:noMultiLvlLbl val="0"/>
      </c:catAx>
      <c:valAx>
        <c:axId val="1136479552"/>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107882384"/>
        <c:crosses val="autoZero"/>
        <c:crossBetween val="midCat"/>
      </c:valAx>
      <c:spPr>
        <a:noFill/>
        <a:ln>
          <a:noFill/>
        </a:ln>
        <a:effectLst/>
      </c:spPr>
    </c:plotArea>
    <c:legend>
      <c:legendPos val="b"/>
      <c:layout>
        <c:manualLayout>
          <c:xMode val="edge"/>
          <c:yMode val="edge"/>
          <c:x val="0.18299037620297465"/>
          <c:y val="0.89227759882287438"/>
          <c:w val="0.66184142607174101"/>
          <c:h val="0.10772240117712559"/>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22</xdr:col>
      <xdr:colOff>409575</xdr:colOff>
      <xdr:row>10</xdr:row>
      <xdr:rowOff>80922</xdr:rowOff>
    </xdr:from>
    <xdr:to>
      <xdr:col>39</xdr:col>
      <xdr:colOff>398142</xdr:colOff>
      <xdr:row>28</xdr:row>
      <xdr:rowOff>135888</xdr:rowOff>
    </xdr:to>
    <xdr:pic>
      <xdr:nvPicPr>
        <xdr:cNvPr id="4" name="Picture 2">
          <a:extLst>
            <a:ext uri="{FF2B5EF4-FFF2-40B4-BE49-F238E27FC236}">
              <a16:creationId xmlns:a16="http://schemas.microsoft.com/office/drawing/2014/main" id="{AA18ADF0-B7D8-FEE9-D20F-F76A5CF2C487}"/>
            </a:ext>
          </a:extLst>
        </xdr:cNvPr>
        <xdr:cNvPicPr>
          <a:picLocks noChangeAspect="1"/>
        </xdr:cNvPicPr>
      </xdr:nvPicPr>
      <xdr:blipFill>
        <a:blip xmlns:r="http://schemas.openxmlformats.org/officeDocument/2006/relationships" r:embed="rId1"/>
        <a:stretch>
          <a:fillRect/>
        </a:stretch>
      </xdr:blipFill>
      <xdr:spPr>
        <a:xfrm>
          <a:off x="14163675" y="1604922"/>
          <a:ext cx="8484867" cy="27981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133350</xdr:colOff>
      <xdr:row>39</xdr:row>
      <xdr:rowOff>85725</xdr:rowOff>
    </xdr:from>
    <xdr:to>
      <xdr:col>34</xdr:col>
      <xdr:colOff>396875</xdr:colOff>
      <xdr:row>60</xdr:row>
      <xdr:rowOff>36091</xdr:rowOff>
    </xdr:to>
    <xdr:pic>
      <xdr:nvPicPr>
        <xdr:cNvPr id="7" name="Picture 1">
          <a:extLst>
            <a:ext uri="{FF2B5EF4-FFF2-40B4-BE49-F238E27FC236}">
              <a16:creationId xmlns:a16="http://schemas.microsoft.com/office/drawing/2014/main" id="{2D0D6B91-D7E9-33EA-2C4F-91092DA9739C}"/>
            </a:ext>
          </a:extLst>
        </xdr:cNvPr>
        <xdr:cNvPicPr>
          <a:picLocks noChangeAspect="1"/>
        </xdr:cNvPicPr>
      </xdr:nvPicPr>
      <xdr:blipFill>
        <a:blip xmlns:r="http://schemas.openxmlformats.org/officeDocument/2006/relationships" r:embed="rId1"/>
        <a:stretch>
          <a:fillRect/>
        </a:stretch>
      </xdr:blipFill>
      <xdr:spPr>
        <a:xfrm>
          <a:off x="11534775" y="5419725"/>
          <a:ext cx="8353425" cy="31507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9524</xdr:colOff>
      <xdr:row>26</xdr:row>
      <xdr:rowOff>47625</xdr:rowOff>
    </xdr:from>
    <xdr:to>
      <xdr:col>15</xdr:col>
      <xdr:colOff>240029</xdr:colOff>
      <xdr:row>37</xdr:row>
      <xdr:rowOff>108585</xdr:rowOff>
    </xdr:to>
    <xdr:graphicFrame macro="">
      <xdr:nvGraphicFramePr>
        <xdr:cNvPr id="3" name="Chart 1">
          <a:extLst>
            <a:ext uri="{FF2B5EF4-FFF2-40B4-BE49-F238E27FC236}">
              <a16:creationId xmlns:a16="http://schemas.microsoft.com/office/drawing/2014/main" id="{1CBE808B-074C-4181-B5A2-3B3E9535A1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66675</xdr:colOff>
      <xdr:row>26</xdr:row>
      <xdr:rowOff>38100</xdr:rowOff>
    </xdr:from>
    <xdr:to>
      <xdr:col>26</xdr:col>
      <xdr:colOff>59055</xdr:colOff>
      <xdr:row>37</xdr:row>
      <xdr:rowOff>99060</xdr:rowOff>
    </xdr:to>
    <xdr:graphicFrame macro="">
      <xdr:nvGraphicFramePr>
        <xdr:cNvPr id="4" name="Chart 3">
          <a:extLst>
            <a:ext uri="{FF2B5EF4-FFF2-40B4-BE49-F238E27FC236}">
              <a16:creationId xmlns:a16="http://schemas.microsoft.com/office/drawing/2014/main" id="{B9125CE9-690F-4B06-ACE7-4B67BCEDC6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0.00239</cdr:x>
      <cdr:y>0</cdr:y>
    </cdr:from>
    <cdr:to>
      <cdr:x>0.1617</cdr:x>
      <cdr:y>0.09868</cdr:y>
    </cdr:to>
    <cdr:sp macro="" textlink="">
      <cdr:nvSpPr>
        <cdr:cNvPr id="2" name="TextBox 1">
          <a:extLst xmlns:a="http://schemas.openxmlformats.org/drawingml/2006/main">
            <a:ext uri="{FF2B5EF4-FFF2-40B4-BE49-F238E27FC236}">
              <a16:creationId xmlns:a16="http://schemas.microsoft.com/office/drawing/2014/main" id="{B22FFD38-2780-102A-7BCB-C5EB1698442C}"/>
            </a:ext>
          </a:extLst>
        </cdr:cNvPr>
        <cdr:cNvSpPr txBox="1"/>
      </cdr:nvSpPr>
      <cdr:spPr>
        <a:xfrm xmlns:a="http://schemas.openxmlformats.org/drawingml/2006/main">
          <a:off x="11385" y="0"/>
          <a:ext cx="757500" cy="171450"/>
        </a:xfrm>
        <a:prstGeom xmlns:a="http://schemas.openxmlformats.org/drawingml/2006/main" prst="rect">
          <a:avLst/>
        </a:prstGeom>
      </cdr:spPr>
      <cdr:txBody>
        <a:bodyPr xmlns:a="http://schemas.openxmlformats.org/drawingml/2006/main" vertOverflow="clip" wrap="square" lIns="0" tIns="0" rIns="0" bIns="0" rtlCol="0">
          <a:noAutofit/>
        </a:bodyPr>
        <a:lstStyle xmlns:a="http://schemas.openxmlformats.org/drawingml/2006/main"/>
        <a:p xmlns:a="http://schemas.openxmlformats.org/drawingml/2006/main">
          <a:r>
            <a:rPr lang="en-US" sz="900" i="1">
              <a:latin typeface="Arial" panose="020B0604020202020204" pitchFamily="34" charset="0"/>
              <a:cs typeface="Arial" panose="020B0604020202020204" pitchFamily="34" charset="0"/>
            </a:rPr>
            <a:t>g</a:t>
          </a:r>
          <a:r>
            <a:rPr lang="en-US" sz="900" i="1" baseline="0">
              <a:latin typeface="Arial" panose="020B0604020202020204" pitchFamily="34" charset="0"/>
              <a:cs typeface="Arial" panose="020B0604020202020204" pitchFamily="34" charset="0"/>
            </a:rPr>
            <a:t> CO</a:t>
          </a:r>
          <a:r>
            <a:rPr lang="en-US" sz="900" i="1" baseline="-25000">
              <a:latin typeface="Arial" panose="020B0604020202020204" pitchFamily="34" charset="0"/>
              <a:cs typeface="Arial" panose="020B0604020202020204" pitchFamily="34" charset="0"/>
            </a:rPr>
            <a:t>2</a:t>
          </a:r>
          <a:r>
            <a:rPr lang="en-US" sz="900" i="1" baseline="0">
              <a:latin typeface="Arial" panose="020B0604020202020204" pitchFamily="34" charset="0"/>
              <a:cs typeface="Arial" panose="020B0604020202020204" pitchFamily="34" charset="0"/>
            </a:rPr>
            <a:t>e/kWh</a:t>
          </a:r>
          <a:endParaRPr lang="en-US" sz="9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0.84069</cdr:x>
      <cdr:y>0</cdr:y>
    </cdr:from>
    <cdr:to>
      <cdr:x>1</cdr:x>
      <cdr:y>0.09868</cdr:y>
    </cdr:to>
    <cdr:sp macro="" textlink="">
      <cdr:nvSpPr>
        <cdr:cNvPr id="3" name="TextBox 1">
          <a:extLst xmlns:a="http://schemas.openxmlformats.org/drawingml/2006/main">
            <a:ext uri="{FF2B5EF4-FFF2-40B4-BE49-F238E27FC236}">
              <a16:creationId xmlns:a16="http://schemas.microsoft.com/office/drawing/2014/main" id="{F9B87773-B587-521E-8473-9CE2EB4A5481}"/>
            </a:ext>
          </a:extLst>
        </cdr:cNvPr>
        <cdr:cNvSpPr txBox="1"/>
      </cdr:nvSpPr>
      <cdr:spPr>
        <a:xfrm xmlns:a="http://schemas.openxmlformats.org/drawingml/2006/main">
          <a:off x="3997380" y="0"/>
          <a:ext cx="757500" cy="171450"/>
        </a:xfrm>
        <a:prstGeom xmlns:a="http://schemas.openxmlformats.org/drawingml/2006/main" prst="rect">
          <a:avLst/>
        </a:prstGeom>
      </cdr:spPr>
      <cdr:txBody>
        <a:bodyPr xmlns:a="http://schemas.openxmlformats.org/drawingml/2006/main" wrap="square" lIns="0" tIns="0" rIns="0" bIns="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i="1" baseline="0">
              <a:latin typeface="Arial" panose="020B0604020202020204" pitchFamily="34" charset="0"/>
              <a:cs typeface="Arial" panose="020B0604020202020204" pitchFamily="34" charset="0"/>
            </a:rPr>
            <a:t>lb CO</a:t>
          </a:r>
          <a:r>
            <a:rPr lang="en-US" sz="900" i="1" baseline="-25000">
              <a:latin typeface="Arial" panose="020B0604020202020204" pitchFamily="34" charset="0"/>
              <a:cs typeface="Arial" panose="020B0604020202020204" pitchFamily="34" charset="0"/>
            </a:rPr>
            <a:t>2</a:t>
          </a:r>
          <a:r>
            <a:rPr lang="en-US" sz="900" i="1" baseline="0">
              <a:latin typeface="Arial" panose="020B0604020202020204" pitchFamily="34" charset="0"/>
              <a:cs typeface="Arial" panose="020B0604020202020204" pitchFamily="34" charset="0"/>
            </a:rPr>
            <a:t>e/MWh</a:t>
          </a:r>
          <a:endParaRPr lang="en-US" sz="900" i="1">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sepa-my.sharepoint.com/personal/bowker_george_epa_gov/Documents/Documents/Transport/transport4/to_docket/G%20Drive/Jeremy/Historic%20Data%20Viewer/2011-2016%20Annual%20and%20OS%20Emissions%20Data%20v7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RD\TYCHE%20Contract\Assignments\WA%200-05%20(316(b))\Ph4_Supporting_Analyses\Data_Supporting_All_Analyses\EPA\PhIV_Compliance_Costs_by_Option\P4%20I&amp;E%20All%20S2%20Compliance%20Costs_7-31-08_Adj.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ites/MJB-TeamSite/Shared%20Documents/EDF/2022.GHG.EPA.analyses/2022.State.Assessment/EPA-GNP/EPA-HQ-OAR-2021-0668-0113_content_chart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EPA%205.12\Retrofit%20checks\ReferenceKey_v512_P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ERD\TYCHE%20Contract\Assignments\WA%200-05%20(316(b))\Ph4_Supporting_Analyses\All_Ph_IV_Analyses\Cost_Analyses_Using_PhIV_IPM_Baseline\Cost_Analysis\Private_Costs_Assessm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te Map"/>
      <sheetName val="Unit View"/>
      <sheetName val="TempData2"/>
      <sheetName val="EGU Emissions data"/>
      <sheetName val="TempData"/>
      <sheetName val="To Do List"/>
      <sheetName val="State Summary"/>
      <sheetName val="Unit Summary"/>
      <sheetName val="State Comparison Charts"/>
      <sheetName val="Sheet2"/>
      <sheetName val="Point Map"/>
      <sheetName val="non EGU Emissions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Q_STQ_Facility_Level_Costs"/>
      <sheetName val="DQ_STQ_Final_Costs"/>
      <sheetName val="DQ_Final_Costs"/>
      <sheetName val="DQ_Facility_Level_Costs"/>
      <sheetName val="CUR_Adjustment"/>
      <sheetName val="Original_Data--&gt;"/>
      <sheetName val="S2Run"/>
      <sheetName val="Model Fac. I&amp;E All Costs -S2"/>
      <sheetName val="Notes"/>
    </sheetNames>
    <sheetDataSet>
      <sheetData sheetId="0"/>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nonEGU"/>
      <sheetName val="CPI"/>
      <sheetName val="Summary"/>
      <sheetName val="SCR_horz"/>
      <sheetName val="SCR_horz (SNCR to SCR only)"/>
      <sheetName val="SCR_horz (&lt;100MW)"/>
      <sheetName val="SNCR_horz (&lt;100MW)"/>
      <sheetName val="SNCR_horz"/>
      <sheetName val="SCR_gas_horz"/>
      <sheetName val="SCR_gas_horz (&lt;150 tons)"/>
      <sheetName val="SNCR_gas_horz"/>
      <sheetName val="CC SCR Retro"/>
      <sheetName val="CT SCR Retro"/>
      <sheetName val="CT DLN-ULN Retro"/>
      <sheetName val="S&amp;L Tables 2 and 3"/>
      <sheetName val="gas_unit_list"/>
      <sheetName val="coal_unit_list &lt;100MWnoSCR"/>
      <sheetName val="coal_unit_list&lt;100MWnoSCRnoSNCR"/>
      <sheetName val="coal_unit_list"/>
      <sheetName val="not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 Validation List"/>
      <sheetName val="DLL Input Variables"/>
      <sheetName val="DLL EquIDs"/>
      <sheetName val="Hg EMFs v5.12"/>
      <sheetName val="Index Key"/>
      <sheetName val="BurnerType"/>
      <sheetName val="Particulate"/>
      <sheetName val="PostComb"/>
      <sheetName val="FuelGroup"/>
      <sheetName val="NEEDS-Retrofit Index"/>
      <sheetName val="2nd stage rules"/>
      <sheetName val="Retrofit Options Key v512"/>
      <sheetName val="Retrofit Options Key v411"/>
      <sheetName val="Key to Emission Contr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ssumptions"/>
      <sheetName val="File Info"/>
      <sheetName val="Tables_4Compar"/>
      <sheetName val="Tables"/>
      <sheetName val="Summary_PreTax"/>
      <sheetName val="Summary_AfterTax"/>
      <sheetName val="Summary_RetiredFacilities"/>
      <sheetName val="Private_Costs _AnalysisYear"/>
      <sheetName val="Private_Costs _PromulgationYear"/>
      <sheetName val="Private_Costs _ComplianceYear"/>
      <sheetName val="ICR_Cos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persons/person.xml><?xml version="1.0" encoding="utf-8"?>
<personList xmlns="http://schemas.microsoft.com/office/spreadsheetml/2018/threadedcomments" xmlns:x="http://schemas.openxmlformats.org/spreadsheetml/2006/main">
  <person displayName="Emma Ardington" id="{5CB15304-5E5A-43B1-8918-AD88C666863B}" userId="S::emma.ardington@erm.com::0ecb9a95-6e82-44ac-9ca4-900dec85f53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M138" dT="2024-01-12T19:06:20.41" personId="{5CB15304-5E5A-43B1-8918-AD88C666863B}" id="{0FBD0E3B-A4E3-4F5A-9CC8-69973B4BB679}">
    <text xml:space="preserve">CEE (4-12%) - Center for Equity and Energy Behavior | Consortium for Energy Efficiency (cee1.org) ; IEA (1-15%) - The Potential of Behavioural Interventions for Optimising Energy Use at Home – Analysis - IEA </text>
    <extLst>
      <x:ext xmlns:xltc2="http://schemas.microsoft.com/office/spreadsheetml/2020/threadedcomments2" uri="{F7C98A9C-CBB3-438F-8F68-D28B6AF4A901}">
        <xltc2:checksum>3201915093</xltc2:checksum>
        <xltc2:hyperlink startIndex="14" length="83" url="https://cee1.org/index.php/program-insights/center-for-equity-and-energy-behavior/#:~:text=For%20instance%2C%20one%20study%20estimates,techniques%20are%20just%20as%20promising."/>
        <xltc2:hyperlink startIndex="114" length="93" url="https://www.iea.org/articles/the-potential-of-behavioural-interventions-for-optimising-energy-use-at-home"/>
      </x:ext>
    </extLs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s://www.epa.gov/sites/default/files/2018-03/documents/emission-factors_mar_2018_0.pdf" TargetMode="External"/><Relationship Id="rId2" Type="http://schemas.openxmlformats.org/officeDocument/2006/relationships/hyperlink" Target="https://www.eia.gov/todayinenergy/detail.php?id=26832" TargetMode="External"/><Relationship Id="rId1" Type="http://schemas.openxmlformats.org/officeDocument/2006/relationships/hyperlink" Target="https://afdc.energy.gov/data/search?q=refuse" TargetMode="External"/><Relationship Id="rId4" Type="http://schemas.openxmlformats.org/officeDocument/2006/relationships/hyperlink" Target="https://www.epa.gov/statelocalenergy/local-greenhouse-gas-inventory-tool" TargetMode="Externa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8" Type="http://schemas.openxmlformats.org/officeDocument/2006/relationships/hyperlink" Target="../../../../../../701435CPRGCentralIndianaClimateActionPlan/Shared%20Documents/Forms/AllItems.aspx?csf=1&amp;web=1&amp;e=8oNNZn&amp;cid=b607079a%2D08e9%2D43e9%2D942b%2D8cf6422fba00&amp;FolderCTID=0x012000E523DDB549931F47B2E0665754072F5F&amp;OR=Teams%2DHL&amp;CT=1700082885163&amp;clickparams=eyJBcHBOYW1lIjoiVGVhbXMtRGVza3RvcCIsIkFwcFZlcnNpb24iOiIyNy8yMzA5MjkxMTIwOCIsIkhhc0ZlZGVyYXRlZFVzZXIiOmZhbHNlfQ%3D%3D&amp;id=%2Fsites%2F701435CPRGCentralIndianaClimateActionPlan%2FShared%20Documents%2F06%2E%20GHG%20Strategies%2FProjects%20and%20Programs%2FCity%20of%20Indianapolis%20Public%20Building%20EE%20Upgrades%2FCity%20Market%2FCity%20Market%5FExisting%20Conditions%2Epdf&amp;viewid=363b48cc%2Dab7d%2D426e%2Da40f%2D72d896283767&amp;parent=%2Fsites%2F701435CPRGCentralIndianaClimateActionPlan%2FShared%20Documents%2F06%2E%20GHG%20Strategies%2FProjects%20and%20Programs%2FCity%20of%20Indianapolis%20Public%20Building%20EE%20Upgrades%2FCity%20Market" TargetMode="External"/><Relationship Id="rId3" Type="http://schemas.openxmlformats.org/officeDocument/2006/relationships/hyperlink" Target="https://view.officeapps.live.com/op/view.aspx?src=https%3A%2F%2Fwww.eia.gov%2Fconsumption%2Fcommercial%2Fdata%2F2018%2Fbc%2Fxls%2Fb20.xlsx&amp;wdOrigin=BROWSELINK" TargetMode="External"/><Relationship Id="rId7" Type="http://schemas.openxmlformats.org/officeDocument/2006/relationships/hyperlink" Target="https://www.eia.gov/consumption/commercial/data/2018/" TargetMode="External"/><Relationship Id="rId2" Type="http://schemas.openxmlformats.org/officeDocument/2006/relationships/hyperlink" Target="https://view.officeapps.live.com/op/view.aspx?src=https%3A%2F%2Fwww.eia.gov%2Fconsumption%2Fcommercial%2Fdata%2F2018%2Fce%2Fxls%2Fc1.xlsx&amp;wdOrigin=BROWSELINK" TargetMode="External"/><Relationship Id="rId1" Type="http://schemas.openxmlformats.org/officeDocument/2006/relationships/hyperlink" Target="https://view.officeapps.live.com/op/view.aspx?src=https%3A%2F%2Fwww.eia.gov%2Fconsumption%2Fcommercial%2Fdata%2F2018%2Fbc%2Fxls%2Fb1.xlsx&amp;wdOrigin=BROWSELINK" TargetMode="External"/><Relationship Id="rId6" Type="http://schemas.openxmlformats.org/officeDocument/2006/relationships/hyperlink" Target="https://en.wikipedia.org/wiki/Indianapolis_Union_Station" TargetMode="External"/><Relationship Id="rId5" Type="http://schemas.openxmlformats.org/officeDocument/2006/relationships/hyperlink" Target="https://www.xome.com/realestate/6280-w-800-n-mccordsville-in-46055-43161547" TargetMode="External"/><Relationship Id="rId4" Type="http://schemas.openxmlformats.org/officeDocument/2006/relationships/hyperlink" Target="https://indyartcenter.org/about-us/"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in.gov/idem/cleanups/investigation-and-cleanup-programs/institutional-controls/" TargetMode="External"/><Relationship Id="rId2" Type="http://schemas.openxmlformats.org/officeDocument/2006/relationships/hyperlink" Target="https://lter.kbs.msu.edu/docs/robertson/McSwiney_et_al_2010_GHG_Calculator_JNRLSE.pdf" TargetMode="External"/><Relationship Id="rId1" Type="http://schemas.openxmlformats.org/officeDocument/2006/relationships/hyperlink" Target="https://carbon2018.globalchange.gov/chapter/13/" TargetMode="External"/><Relationship Id="rId5" Type="http://schemas.openxmlformats.org/officeDocument/2006/relationships/drawing" Target="../drawings/drawing1.xml"/><Relationship Id="rId4" Type="http://schemas.openxmlformats.org/officeDocument/2006/relationships/hyperlink" Target="https://www.in.gov/ifa/brownfields/program-sites/"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https://www.eia.gov/todayinenergy/detail.php?id=26832" TargetMode="External"/><Relationship Id="rId7" Type="http://schemas.openxmlformats.org/officeDocument/2006/relationships/printerSettings" Target="../printerSettings/printerSettings6.bin"/><Relationship Id="rId2" Type="http://schemas.openxmlformats.org/officeDocument/2006/relationships/hyperlink" Target="https://www.bts.gov/content/estimated-national-average-vehicle-emissions-rates-vehicle-vehicle-type-using-gasoline-and" TargetMode="External"/><Relationship Id="rId1" Type="http://schemas.openxmlformats.org/officeDocument/2006/relationships/hyperlink" Target="https://d16db69sqbolil.cloudfront.net/mpo-website/downloads/Technical-Studies/Central_Indiana_Travel_Survey_2008-2009.pdf" TargetMode="External"/><Relationship Id="rId6" Type="http://schemas.openxmlformats.org/officeDocument/2006/relationships/hyperlink" Target="https://nebr.us/news/hybrid-transit-bus-lower-co2/" TargetMode="External"/><Relationship Id="rId5" Type="http://schemas.openxmlformats.org/officeDocument/2006/relationships/hyperlink" Target="https://www.intercitytransit.com/sites/default/files/2016-07/HybridFactSheet20120802.pdf" TargetMode="External"/><Relationship Id="rId4" Type="http://schemas.openxmlformats.org/officeDocument/2006/relationships/hyperlink" Target="https://www.epa.gov/system/files/documents/2023-03/ghg_emission_factors_hub.pdf" TargetMode="External"/><Relationship Id="rId9"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hyperlink" Target="https://www.census.gov/data/datasets/2021/econ/cbp/2021-cbp.html" TargetMode="External"/><Relationship Id="rId7" Type="http://schemas.openxmlformats.org/officeDocument/2006/relationships/hyperlink" Target="https://www.eia.gov/consumption/commercial/data/2018/ce/pdf/e1.pdf" TargetMode="External"/><Relationship Id="rId2" Type="http://schemas.openxmlformats.org/officeDocument/2006/relationships/hyperlink" Target="https://www.energy.gov/energysaver/update-or-replace-windows" TargetMode="External"/><Relationship Id="rId1" Type="http://schemas.openxmlformats.org/officeDocument/2006/relationships/hyperlink" Target="https://www.regulations.doe.gov/certification-data/CCMS-4-Furnaces.html" TargetMode="External"/><Relationship Id="rId6" Type="http://schemas.openxmlformats.org/officeDocument/2006/relationships/hyperlink" Target="https://www.energysavinglighting.org/benefits-of-led-lighting-in-commercial-buildings/" TargetMode="External"/><Relationship Id="rId11" Type="http://schemas.microsoft.com/office/2017/10/relationships/threadedComment" Target="../threadedComments/threadedComment1.xml"/><Relationship Id="rId5" Type="http://schemas.openxmlformats.org/officeDocument/2006/relationships/hyperlink" Target="https://www.energystar.gov/products/res_windows_doors_skylights" TargetMode="External"/><Relationship Id="rId10" Type="http://schemas.openxmlformats.org/officeDocument/2006/relationships/comments" Target="../comments4.xml"/><Relationship Id="rId4" Type="http://schemas.openxmlformats.org/officeDocument/2006/relationships/hyperlink" Target="https://cee1.org/index.php/program-insights/center-for-equity-and-energy-behavior/" TargetMode="External"/><Relationship Id="rId9"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6F905-EAB7-44DC-BE86-E7B7CA415F9F}">
  <sheetPr>
    <tabColor rgb="FFC00000"/>
  </sheetPr>
  <dimension ref="A1:B18"/>
  <sheetViews>
    <sheetView tabSelected="1" zoomScaleNormal="100" workbookViewId="0">
      <selection activeCell="A45" sqref="A45"/>
    </sheetView>
  </sheetViews>
  <sheetFormatPr defaultRowHeight="11.4" x14ac:dyDescent="0.2"/>
  <cols>
    <col min="1" max="1" width="60.875" customWidth="1"/>
    <col min="2" max="2" width="14.25" customWidth="1"/>
    <col min="3" max="6" width="13.25" customWidth="1"/>
  </cols>
  <sheetData>
    <row r="1" spans="1:2" ht="16.8" x14ac:dyDescent="0.3">
      <c r="A1" s="346" t="s">
        <v>0</v>
      </c>
      <c r="B1" t="s">
        <v>21</v>
      </c>
    </row>
    <row r="2" spans="1:2" x14ac:dyDescent="0.2">
      <c r="A2" t="s">
        <v>1</v>
      </c>
    </row>
    <row r="3" spans="1:2" x14ac:dyDescent="0.2">
      <c r="A3" t="s">
        <v>578</v>
      </c>
    </row>
    <row r="5" spans="1:2" ht="13.8" x14ac:dyDescent="0.25">
      <c r="A5" s="345" t="s">
        <v>557</v>
      </c>
    </row>
    <row r="6" spans="1:2" x14ac:dyDescent="0.2">
      <c r="A6" s="7" t="s">
        <v>558</v>
      </c>
      <c r="B6" t="s">
        <v>561</v>
      </c>
    </row>
    <row r="7" spans="1:2" x14ac:dyDescent="0.2">
      <c r="A7" s="7" t="s">
        <v>559</v>
      </c>
      <c r="B7" t="s">
        <v>562</v>
      </c>
    </row>
    <row r="8" spans="1:2" x14ac:dyDescent="0.2">
      <c r="A8" s="7" t="s">
        <v>95</v>
      </c>
      <c r="B8" t="s">
        <v>563</v>
      </c>
    </row>
    <row r="9" spans="1:2" x14ac:dyDescent="0.2">
      <c r="A9" s="7" t="s">
        <v>88</v>
      </c>
      <c r="B9" t="s">
        <v>564</v>
      </c>
    </row>
    <row r="10" spans="1:2" x14ac:dyDescent="0.2">
      <c r="A10" s="7" t="s">
        <v>90</v>
      </c>
      <c r="B10" t="s">
        <v>565</v>
      </c>
    </row>
    <row r="11" spans="1:2" x14ac:dyDescent="0.2">
      <c r="A11" s="7" t="s">
        <v>85</v>
      </c>
      <c r="B11" t="s">
        <v>566</v>
      </c>
    </row>
    <row r="12" spans="1:2" x14ac:dyDescent="0.2">
      <c r="A12" s="7" t="s">
        <v>97</v>
      </c>
      <c r="B12" t="s">
        <v>567</v>
      </c>
    </row>
    <row r="13" spans="1:2" x14ac:dyDescent="0.2">
      <c r="A13" s="7" t="s">
        <v>120</v>
      </c>
      <c r="B13" t="s">
        <v>560</v>
      </c>
    </row>
    <row r="14" spans="1:2" ht="12" x14ac:dyDescent="0.25">
      <c r="A14" s="1" t="s">
        <v>579</v>
      </c>
    </row>
    <row r="15" spans="1:2" x14ac:dyDescent="0.2">
      <c r="A15" s="7" t="s">
        <v>568</v>
      </c>
      <c r="B15" t="s">
        <v>569</v>
      </c>
    </row>
    <row r="16" spans="1:2" x14ac:dyDescent="0.2">
      <c r="A16" s="7" t="s">
        <v>570</v>
      </c>
      <c r="B16" t="s">
        <v>571</v>
      </c>
    </row>
    <row r="17" spans="1:2" x14ac:dyDescent="0.2">
      <c r="A17" s="7" t="s">
        <v>575</v>
      </c>
      <c r="B17" t="s">
        <v>576</v>
      </c>
    </row>
    <row r="18" spans="1:2" x14ac:dyDescent="0.2">
      <c r="A18" s="7" t="s">
        <v>573</v>
      </c>
      <c r="B18" t="s">
        <v>574</v>
      </c>
    </row>
  </sheetData>
  <hyperlinks>
    <hyperlink ref="A6" location="Programs!A1" display="Programs" xr:uid="{21C0A9D6-4A73-457D-9F7F-B8F7D929BE4D}"/>
    <hyperlink ref="A7" location="Projects!A1" display="Projects" xr:uid="{153E1540-E837-4ADE-855F-319BADC6A0CC}"/>
    <hyperlink ref="A8" location="Provided!A1" display="Provided" xr:uid="{60D493C7-AF8F-4205-A4C7-47EEF190E288}"/>
    <hyperlink ref="A9" location="Lands!A1" display="Lands" xr:uid="{0BB72D2D-91F9-4BFE-BCCB-B21E15CEAC9B}"/>
    <hyperlink ref="A10" location="Transit!A1" display="Transit" xr:uid="{A742E896-0E92-4820-B348-F1AFD739FD78}"/>
    <hyperlink ref="A11" location="Solar!A1" display="Solar" xr:uid="{5E279135-B318-4209-81D5-D8327479399E}"/>
    <hyperlink ref="A12" location="EE!A1" display="EE" xr:uid="{016CE604-B455-40D2-80BA-A13B22190943}"/>
    <hyperlink ref="A13" location="WasteRNG!A1" display="WasteRNG" xr:uid="{50FFD5A3-7EA6-46C5-A109-8372BA743493}"/>
    <hyperlink ref="A15" location="GridEF!A1" display="GridEF" xr:uid="{FDCEC611-F30F-449A-8002-D2875905B579}"/>
    <hyperlink ref="A16" location="BaseBuildingConsmp!A1" display="BaseBuildingConsmp" xr:uid="{07F7EB4A-F77C-4D07-9E0A-5A02CF36DFDD}"/>
    <hyperlink ref="A17" location="CPI!A1" display="CPI" xr:uid="{2FAF64E1-38A0-46DC-9CF3-D3933781E6BF}"/>
    <hyperlink ref="A18" location="Lists!A1" display="Lists" xr:uid="{C6774D97-4F62-4BFE-8E10-6231D55CE437}"/>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E46B5-0F7F-40B5-8B38-9199552C3368}">
  <sheetPr>
    <tabColor theme="9" tint="0.79998168889431442"/>
  </sheetPr>
  <dimension ref="A1:AJ109"/>
  <sheetViews>
    <sheetView workbookViewId="0">
      <pane xSplit="5" ySplit="8" topLeftCell="F9" activePane="bottomRight" state="frozen"/>
      <selection pane="topRight" activeCell="A3" sqref="A3"/>
      <selection pane="bottomLeft" activeCell="A3" sqref="A3"/>
      <selection pane="bottomRight" activeCell="A3" sqref="A3"/>
    </sheetView>
  </sheetViews>
  <sheetFormatPr defaultRowHeight="11.4" x14ac:dyDescent="0.2"/>
  <cols>
    <col min="1" max="2" width="5.75" customWidth="1"/>
    <col min="3" max="3" width="4.875" customWidth="1"/>
    <col min="5" max="5" width="34.125" customWidth="1"/>
    <col min="6" max="6" width="10.125" bestFit="1" customWidth="1"/>
    <col min="7" max="7" width="8.875" customWidth="1"/>
    <col min="8" max="8" width="9.125" customWidth="1"/>
  </cols>
  <sheetData>
    <row r="1" spans="1:36" ht="12" x14ac:dyDescent="0.25">
      <c r="A1" s="1" t="s">
        <v>354</v>
      </c>
      <c r="D1" s="1"/>
    </row>
    <row r="2" spans="1:36" ht="12" x14ac:dyDescent="0.25">
      <c r="A2" s="1" t="s">
        <v>355</v>
      </c>
      <c r="E2" s="1"/>
      <c r="F2" s="108" t="s">
        <v>144</v>
      </c>
      <c r="G2" s="108" t="s">
        <v>122</v>
      </c>
      <c r="J2" s="1"/>
      <c r="K2" s="1"/>
      <c r="P2" s="108" t="s">
        <v>144</v>
      </c>
      <c r="Q2" s="108" t="s">
        <v>122</v>
      </c>
      <c r="R2" s="108"/>
      <c r="S2" s="109"/>
      <c r="Y2" s="108" t="s">
        <v>144</v>
      </c>
      <c r="Z2" s="108" t="s">
        <v>122</v>
      </c>
      <c r="AB2" s="108"/>
      <c r="AC2" s="108"/>
    </row>
    <row r="3" spans="1:36" ht="12" x14ac:dyDescent="0.2">
      <c r="E3" s="5" t="s">
        <v>356</v>
      </c>
      <c r="G3" s="8" t="s">
        <v>357</v>
      </c>
      <c r="P3" s="7" t="s">
        <v>358</v>
      </c>
      <c r="Q3" s="263" t="s">
        <v>359</v>
      </c>
      <c r="R3" s="106"/>
      <c r="Y3" s="7" t="s">
        <v>360</v>
      </c>
      <c r="Z3" s="281" t="s">
        <v>361</v>
      </c>
      <c r="AB3" s="7"/>
      <c r="AC3" s="189"/>
    </row>
    <row r="4" spans="1:36" ht="12" x14ac:dyDescent="0.2">
      <c r="G4" s="2" t="s">
        <v>362</v>
      </c>
      <c r="P4" s="7" t="s">
        <v>173</v>
      </c>
      <c r="Q4" s="265" t="s">
        <v>363</v>
      </c>
      <c r="R4" s="27"/>
      <c r="AB4" s="7"/>
      <c r="AC4" s="45"/>
    </row>
    <row r="5" spans="1:36" ht="12" x14ac:dyDescent="0.2">
      <c r="G5" s="24" t="s">
        <v>269</v>
      </c>
      <c r="P5" s="7" t="s">
        <v>364</v>
      </c>
      <c r="Q5" s="271" t="s">
        <v>365</v>
      </c>
      <c r="R5" s="32"/>
    </row>
    <row r="6" spans="1:36" ht="12" x14ac:dyDescent="0.2">
      <c r="F6" s="7"/>
      <c r="G6" s="62"/>
      <c r="P6" s="7" t="s">
        <v>366</v>
      </c>
      <c r="Q6" s="277" t="s">
        <v>367</v>
      </c>
      <c r="R6" s="110"/>
    </row>
    <row r="7" spans="1:36" ht="12" x14ac:dyDescent="0.2">
      <c r="A7" s="96" t="s">
        <v>124</v>
      </c>
      <c r="F7" s="7"/>
      <c r="G7" s="106"/>
      <c r="Q7" s="7"/>
      <c r="R7" s="32"/>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A9" s="141"/>
      <c r="B9" s="141"/>
      <c r="C9" s="141"/>
      <c r="E9" s="46"/>
      <c r="F9" s="50"/>
      <c r="G9" s="50"/>
      <c r="H9" s="51"/>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row>
    <row r="10" spans="1:36" ht="12" x14ac:dyDescent="0.25">
      <c r="A10" s="141"/>
      <c r="B10" s="141"/>
      <c r="C10" s="141"/>
      <c r="E10" s="1" t="s">
        <v>276</v>
      </c>
      <c r="F10" s="52">
        <v>5.3019999999999998E-2</v>
      </c>
      <c r="G10" s="317" t="s">
        <v>277</v>
      </c>
      <c r="H10" s="51"/>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row>
    <row r="11" spans="1:36" ht="12" x14ac:dyDescent="0.25">
      <c r="A11" s="141"/>
      <c r="B11" s="141"/>
      <c r="C11" s="141"/>
      <c r="E11" s="1" t="s">
        <v>278</v>
      </c>
      <c r="F11" s="59">
        <f>3412/1000000</f>
        <v>3.4120000000000001E-3</v>
      </c>
      <c r="G11" s="318" t="s">
        <v>279</v>
      </c>
      <c r="H11" s="51"/>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row>
    <row r="12" spans="1:36" ht="12" x14ac:dyDescent="0.25">
      <c r="A12" s="141"/>
      <c r="B12" s="141"/>
      <c r="C12" s="141"/>
      <c r="E12" s="1" t="s">
        <v>368</v>
      </c>
      <c r="F12" s="272">
        <f>(8.78/1000)</f>
        <v>8.7799999999999996E-3</v>
      </c>
      <c r="G12" s="273" t="s">
        <v>369</v>
      </c>
      <c r="H12" s="51"/>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row>
    <row r="13" spans="1:36" ht="12" x14ac:dyDescent="0.25">
      <c r="A13" s="141"/>
      <c r="B13" s="141"/>
      <c r="C13" s="141"/>
      <c r="E13" s="1" t="s">
        <v>370</v>
      </c>
      <c r="F13" s="288">
        <f>(0.0333/1000000)</f>
        <v>3.33E-8</v>
      </c>
      <c r="G13" s="273" t="s">
        <v>371</v>
      </c>
      <c r="H13" s="51"/>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row>
    <row r="14" spans="1:36" ht="12" x14ac:dyDescent="0.25">
      <c r="A14" s="141"/>
      <c r="B14" s="141"/>
      <c r="C14" s="141"/>
      <c r="E14" s="1" t="s">
        <v>372</v>
      </c>
      <c r="F14" s="288">
        <f>(0.0134/1000000)</f>
        <v>1.3400000000000001E-8</v>
      </c>
      <c r="G14" s="273" t="s">
        <v>373</v>
      </c>
      <c r="H14" s="51"/>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row>
    <row r="15" spans="1:36" ht="12" x14ac:dyDescent="0.25">
      <c r="A15" s="141"/>
      <c r="B15" s="141"/>
      <c r="C15" s="141"/>
      <c r="E15" s="1" t="s">
        <v>374</v>
      </c>
      <c r="F15" s="275">
        <v>28</v>
      </c>
      <c r="G15" s="276" t="s">
        <v>375</v>
      </c>
      <c r="H15" s="51"/>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row>
    <row r="16" spans="1:36" ht="12" x14ac:dyDescent="0.25">
      <c r="A16" s="141"/>
      <c r="B16" s="141"/>
      <c r="C16" s="141"/>
      <c r="E16" s="1" t="s">
        <v>376</v>
      </c>
      <c r="F16" s="275">
        <v>265</v>
      </c>
      <c r="G16" s="276" t="s">
        <v>375</v>
      </c>
      <c r="H16" s="51"/>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row>
    <row r="18" spans="1:36" ht="12" x14ac:dyDescent="0.25">
      <c r="A18" s="141"/>
      <c r="B18" s="141"/>
      <c r="C18" s="141"/>
      <c r="D18" s="107"/>
      <c r="E18" s="114" t="s">
        <v>377</v>
      </c>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row>
    <row r="20" spans="1:36" ht="12" x14ac:dyDescent="0.25">
      <c r="C20" s="141"/>
      <c r="D20" s="33"/>
      <c r="E20" s="34" t="s">
        <v>378</v>
      </c>
      <c r="F20" s="33"/>
      <c r="G20" s="58" t="s">
        <v>379</v>
      </c>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row>
    <row r="21" spans="1:36" ht="12" x14ac:dyDescent="0.2">
      <c r="E21" t="s">
        <v>380</v>
      </c>
      <c r="F21" s="31">
        <v>137000</v>
      </c>
      <c r="G21" t="s">
        <v>342</v>
      </c>
      <c r="H21" s="96" t="s">
        <v>381</v>
      </c>
    </row>
    <row r="22" spans="1:36" ht="12" x14ac:dyDescent="0.2">
      <c r="E22" t="s">
        <v>382</v>
      </c>
      <c r="F22" s="31">
        <v>45600</v>
      </c>
      <c r="G22" t="s">
        <v>342</v>
      </c>
      <c r="H22" s="96" t="s">
        <v>381</v>
      </c>
    </row>
    <row r="23" spans="1:36" ht="12" x14ac:dyDescent="0.25">
      <c r="E23" s="1" t="s">
        <v>383</v>
      </c>
    </row>
    <row r="24" spans="1:36" ht="12" x14ac:dyDescent="0.2">
      <c r="E24" t="s">
        <v>384</v>
      </c>
      <c r="F24" s="26">
        <f>($F$21)</f>
        <v>137000</v>
      </c>
      <c r="G24" s="262">
        <f t="shared" ref="G24:AJ24" si="0">($F$21)</f>
        <v>137000</v>
      </c>
      <c r="H24" s="262">
        <f t="shared" si="0"/>
        <v>137000</v>
      </c>
      <c r="I24" s="262">
        <f t="shared" si="0"/>
        <v>137000</v>
      </c>
      <c r="J24" s="262">
        <f t="shared" si="0"/>
        <v>137000</v>
      </c>
      <c r="K24" s="262">
        <f t="shared" si="0"/>
        <v>137000</v>
      </c>
      <c r="L24" s="262">
        <f t="shared" si="0"/>
        <v>137000</v>
      </c>
      <c r="M24" s="262">
        <f t="shared" si="0"/>
        <v>137000</v>
      </c>
      <c r="N24" s="262">
        <f t="shared" si="0"/>
        <v>137000</v>
      </c>
      <c r="O24" s="262">
        <f t="shared" si="0"/>
        <v>137000</v>
      </c>
      <c r="P24" s="262">
        <f t="shared" si="0"/>
        <v>137000</v>
      </c>
      <c r="Q24" s="262">
        <f t="shared" si="0"/>
        <v>137000</v>
      </c>
      <c r="R24" s="262">
        <f t="shared" si="0"/>
        <v>137000</v>
      </c>
      <c r="S24" s="262">
        <f t="shared" si="0"/>
        <v>137000</v>
      </c>
      <c r="T24" s="262">
        <f t="shared" si="0"/>
        <v>137000</v>
      </c>
      <c r="U24" s="262">
        <f t="shared" si="0"/>
        <v>137000</v>
      </c>
      <c r="V24" s="262">
        <f t="shared" si="0"/>
        <v>137000</v>
      </c>
      <c r="W24" s="262">
        <f t="shared" si="0"/>
        <v>137000</v>
      </c>
      <c r="X24" s="262">
        <f t="shared" si="0"/>
        <v>137000</v>
      </c>
      <c r="Y24" s="262">
        <f t="shared" si="0"/>
        <v>137000</v>
      </c>
      <c r="Z24" s="262">
        <f t="shared" si="0"/>
        <v>137000</v>
      </c>
      <c r="AA24" s="262">
        <f t="shared" si="0"/>
        <v>137000</v>
      </c>
      <c r="AB24" s="262">
        <f t="shared" si="0"/>
        <v>137000</v>
      </c>
      <c r="AC24" s="262">
        <f t="shared" si="0"/>
        <v>137000</v>
      </c>
      <c r="AD24" s="262">
        <f t="shared" si="0"/>
        <v>137000</v>
      </c>
      <c r="AE24" s="262">
        <f t="shared" si="0"/>
        <v>137000</v>
      </c>
      <c r="AF24" s="262">
        <f t="shared" si="0"/>
        <v>137000</v>
      </c>
      <c r="AG24" s="262">
        <f t="shared" si="0"/>
        <v>137000</v>
      </c>
      <c r="AH24" s="262">
        <f t="shared" si="0"/>
        <v>137000</v>
      </c>
      <c r="AI24" s="262">
        <f t="shared" si="0"/>
        <v>137000</v>
      </c>
      <c r="AJ24" s="262">
        <f t="shared" si="0"/>
        <v>137000</v>
      </c>
    </row>
    <row r="25" spans="1:36" ht="12" x14ac:dyDescent="0.2">
      <c r="E25" t="s">
        <v>288</v>
      </c>
      <c r="F25" s="21">
        <f t="shared" ref="F25:AJ25" si="1">(F$24*$F$10)</f>
        <v>7263.74</v>
      </c>
      <c r="G25" s="21">
        <f t="shared" si="1"/>
        <v>7263.74</v>
      </c>
      <c r="H25" s="21">
        <f t="shared" si="1"/>
        <v>7263.74</v>
      </c>
      <c r="I25" s="21">
        <f t="shared" si="1"/>
        <v>7263.74</v>
      </c>
      <c r="J25" s="21">
        <f t="shared" si="1"/>
        <v>7263.74</v>
      </c>
      <c r="K25" s="21">
        <f t="shared" si="1"/>
        <v>7263.74</v>
      </c>
      <c r="L25" s="21">
        <f t="shared" si="1"/>
        <v>7263.74</v>
      </c>
      <c r="M25" s="21">
        <f t="shared" si="1"/>
        <v>7263.74</v>
      </c>
      <c r="N25" s="21">
        <f t="shared" si="1"/>
        <v>7263.74</v>
      </c>
      <c r="O25" s="21">
        <f t="shared" si="1"/>
        <v>7263.74</v>
      </c>
      <c r="P25" s="21">
        <f t="shared" si="1"/>
        <v>7263.74</v>
      </c>
      <c r="Q25" s="21">
        <f t="shared" si="1"/>
        <v>7263.74</v>
      </c>
      <c r="R25" s="21">
        <f t="shared" si="1"/>
        <v>7263.74</v>
      </c>
      <c r="S25" s="21">
        <f t="shared" si="1"/>
        <v>7263.74</v>
      </c>
      <c r="T25" s="21">
        <f t="shared" si="1"/>
        <v>7263.74</v>
      </c>
      <c r="U25" s="21">
        <f t="shared" si="1"/>
        <v>7263.74</v>
      </c>
      <c r="V25" s="21">
        <f t="shared" si="1"/>
        <v>7263.74</v>
      </c>
      <c r="W25" s="21">
        <f t="shared" si="1"/>
        <v>7263.74</v>
      </c>
      <c r="X25" s="21">
        <f t="shared" si="1"/>
        <v>7263.74</v>
      </c>
      <c r="Y25" s="21">
        <f t="shared" si="1"/>
        <v>7263.74</v>
      </c>
      <c r="Z25" s="21">
        <f t="shared" si="1"/>
        <v>7263.74</v>
      </c>
      <c r="AA25" s="21">
        <f t="shared" si="1"/>
        <v>7263.74</v>
      </c>
      <c r="AB25" s="21">
        <f t="shared" si="1"/>
        <v>7263.74</v>
      </c>
      <c r="AC25" s="21">
        <f t="shared" si="1"/>
        <v>7263.74</v>
      </c>
      <c r="AD25" s="21">
        <f t="shared" si="1"/>
        <v>7263.74</v>
      </c>
      <c r="AE25" s="21">
        <f t="shared" si="1"/>
        <v>7263.74</v>
      </c>
      <c r="AF25" s="21">
        <f t="shared" si="1"/>
        <v>7263.74</v>
      </c>
      <c r="AG25" s="21">
        <f t="shared" si="1"/>
        <v>7263.74</v>
      </c>
      <c r="AH25" s="21">
        <f t="shared" si="1"/>
        <v>7263.74</v>
      </c>
      <c r="AI25" s="21">
        <f t="shared" si="1"/>
        <v>7263.74</v>
      </c>
      <c r="AJ25" s="21">
        <f t="shared" si="1"/>
        <v>7263.74</v>
      </c>
    </row>
    <row r="26" spans="1:36" ht="12" x14ac:dyDescent="0.25">
      <c r="E26" s="1" t="s">
        <v>385</v>
      </c>
    </row>
    <row r="27" spans="1:36" ht="12" x14ac:dyDescent="0.2">
      <c r="E27" t="s">
        <v>384</v>
      </c>
      <c r="F27" s="26">
        <f>($F$22)</f>
        <v>45600</v>
      </c>
      <c r="G27" s="262">
        <f t="shared" ref="G27:AJ27" si="2">($F$22)</f>
        <v>45600</v>
      </c>
      <c r="H27" s="262">
        <f t="shared" si="2"/>
        <v>45600</v>
      </c>
      <c r="I27" s="262">
        <f t="shared" si="2"/>
        <v>45600</v>
      </c>
      <c r="J27" s="262">
        <f t="shared" si="2"/>
        <v>45600</v>
      </c>
      <c r="K27" s="262">
        <f t="shared" si="2"/>
        <v>45600</v>
      </c>
      <c r="L27" s="262">
        <f t="shared" si="2"/>
        <v>45600</v>
      </c>
      <c r="M27" s="262">
        <f t="shared" si="2"/>
        <v>45600</v>
      </c>
      <c r="N27" s="262">
        <f t="shared" si="2"/>
        <v>45600</v>
      </c>
      <c r="O27" s="262">
        <f t="shared" si="2"/>
        <v>45600</v>
      </c>
      <c r="P27" s="262">
        <f t="shared" si="2"/>
        <v>45600</v>
      </c>
      <c r="Q27" s="262">
        <f t="shared" si="2"/>
        <v>45600</v>
      </c>
      <c r="R27" s="262">
        <f t="shared" si="2"/>
        <v>45600</v>
      </c>
      <c r="S27" s="262">
        <f t="shared" si="2"/>
        <v>45600</v>
      </c>
      <c r="T27" s="262">
        <f t="shared" si="2"/>
        <v>45600</v>
      </c>
      <c r="U27" s="262">
        <f t="shared" si="2"/>
        <v>45600</v>
      </c>
      <c r="V27" s="262">
        <f t="shared" si="2"/>
        <v>45600</v>
      </c>
      <c r="W27" s="262">
        <f t="shared" si="2"/>
        <v>45600</v>
      </c>
      <c r="X27" s="262">
        <f t="shared" si="2"/>
        <v>45600</v>
      </c>
      <c r="Y27" s="262">
        <f t="shared" si="2"/>
        <v>45600</v>
      </c>
      <c r="Z27" s="262">
        <f t="shared" si="2"/>
        <v>45600</v>
      </c>
      <c r="AA27" s="262">
        <f t="shared" si="2"/>
        <v>45600</v>
      </c>
      <c r="AB27" s="262">
        <f t="shared" si="2"/>
        <v>45600</v>
      </c>
      <c r="AC27" s="262">
        <f t="shared" si="2"/>
        <v>45600</v>
      </c>
      <c r="AD27" s="262">
        <f t="shared" si="2"/>
        <v>45600</v>
      </c>
      <c r="AE27" s="262">
        <f t="shared" si="2"/>
        <v>45600</v>
      </c>
      <c r="AF27" s="262">
        <f t="shared" si="2"/>
        <v>45600</v>
      </c>
      <c r="AG27" s="262">
        <f t="shared" si="2"/>
        <v>45600</v>
      </c>
      <c r="AH27" s="262">
        <f t="shared" si="2"/>
        <v>45600</v>
      </c>
      <c r="AI27" s="262">
        <f t="shared" si="2"/>
        <v>45600</v>
      </c>
      <c r="AJ27" s="262">
        <f t="shared" si="2"/>
        <v>45600</v>
      </c>
    </row>
    <row r="28" spans="1:36" ht="12" x14ac:dyDescent="0.2">
      <c r="E28" t="s">
        <v>288</v>
      </c>
      <c r="F28" s="21">
        <f t="shared" ref="F28:AJ28" si="3">(F$27*$F$10)</f>
        <v>2417.712</v>
      </c>
      <c r="G28" s="21">
        <f t="shared" si="3"/>
        <v>2417.712</v>
      </c>
      <c r="H28" s="21">
        <f t="shared" si="3"/>
        <v>2417.712</v>
      </c>
      <c r="I28" s="21">
        <f t="shared" si="3"/>
        <v>2417.712</v>
      </c>
      <c r="J28" s="21">
        <f t="shared" si="3"/>
        <v>2417.712</v>
      </c>
      <c r="K28" s="21">
        <f t="shared" si="3"/>
        <v>2417.712</v>
      </c>
      <c r="L28" s="21">
        <f t="shared" si="3"/>
        <v>2417.712</v>
      </c>
      <c r="M28" s="21">
        <f t="shared" si="3"/>
        <v>2417.712</v>
      </c>
      <c r="N28" s="21">
        <f t="shared" si="3"/>
        <v>2417.712</v>
      </c>
      <c r="O28" s="21">
        <f t="shared" si="3"/>
        <v>2417.712</v>
      </c>
      <c r="P28" s="21">
        <f t="shared" si="3"/>
        <v>2417.712</v>
      </c>
      <c r="Q28" s="21">
        <f t="shared" si="3"/>
        <v>2417.712</v>
      </c>
      <c r="R28" s="21">
        <f t="shared" si="3"/>
        <v>2417.712</v>
      </c>
      <c r="S28" s="21">
        <f t="shared" si="3"/>
        <v>2417.712</v>
      </c>
      <c r="T28" s="21">
        <f t="shared" si="3"/>
        <v>2417.712</v>
      </c>
      <c r="U28" s="21">
        <f t="shared" si="3"/>
        <v>2417.712</v>
      </c>
      <c r="V28" s="21">
        <f t="shared" si="3"/>
        <v>2417.712</v>
      </c>
      <c r="W28" s="21">
        <f t="shared" si="3"/>
        <v>2417.712</v>
      </c>
      <c r="X28" s="21">
        <f t="shared" si="3"/>
        <v>2417.712</v>
      </c>
      <c r="Y28" s="21">
        <f t="shared" si="3"/>
        <v>2417.712</v>
      </c>
      <c r="Z28" s="21">
        <f t="shared" si="3"/>
        <v>2417.712</v>
      </c>
      <c r="AA28" s="21">
        <f t="shared" si="3"/>
        <v>2417.712</v>
      </c>
      <c r="AB28" s="21">
        <f t="shared" si="3"/>
        <v>2417.712</v>
      </c>
      <c r="AC28" s="21">
        <f t="shared" si="3"/>
        <v>2417.712</v>
      </c>
      <c r="AD28" s="21">
        <f t="shared" si="3"/>
        <v>2417.712</v>
      </c>
      <c r="AE28" s="21">
        <f t="shared" si="3"/>
        <v>2417.712</v>
      </c>
      <c r="AF28" s="21">
        <f t="shared" si="3"/>
        <v>2417.712</v>
      </c>
      <c r="AG28" s="21">
        <f t="shared" si="3"/>
        <v>2417.712</v>
      </c>
      <c r="AH28" s="21">
        <f t="shared" si="3"/>
        <v>2417.712</v>
      </c>
      <c r="AI28" s="21">
        <f t="shared" si="3"/>
        <v>2417.712</v>
      </c>
      <c r="AJ28" s="21">
        <f t="shared" si="3"/>
        <v>2417.712</v>
      </c>
    </row>
    <row r="29" spans="1:36" ht="12" x14ac:dyDescent="0.25">
      <c r="E29" s="1" t="s">
        <v>386</v>
      </c>
    </row>
    <row r="30" spans="1:36" ht="12" x14ac:dyDescent="0.2">
      <c r="E30" t="s">
        <v>387</v>
      </c>
      <c r="F30" s="262">
        <v>0</v>
      </c>
      <c r="G30" s="262">
        <v>0</v>
      </c>
      <c r="H30" s="262">
        <v>0</v>
      </c>
      <c r="I30" s="262">
        <v>0</v>
      </c>
      <c r="J30" s="262">
        <v>0</v>
      </c>
      <c r="K30" s="262">
        <v>0</v>
      </c>
      <c r="L30" s="95">
        <f t="shared" ref="L30:AJ30" si="4">($F$21)</f>
        <v>137000</v>
      </c>
      <c r="M30" s="262">
        <f t="shared" si="4"/>
        <v>137000</v>
      </c>
      <c r="N30" s="262">
        <f t="shared" si="4"/>
        <v>137000</v>
      </c>
      <c r="O30" s="262">
        <f t="shared" si="4"/>
        <v>137000</v>
      </c>
      <c r="P30" s="262">
        <f t="shared" si="4"/>
        <v>137000</v>
      </c>
      <c r="Q30" s="262">
        <f t="shared" si="4"/>
        <v>137000</v>
      </c>
      <c r="R30" s="262">
        <f t="shared" si="4"/>
        <v>137000</v>
      </c>
      <c r="S30" s="262">
        <f t="shared" si="4"/>
        <v>137000</v>
      </c>
      <c r="T30" s="262">
        <f t="shared" si="4"/>
        <v>137000</v>
      </c>
      <c r="U30" s="262">
        <f t="shared" si="4"/>
        <v>137000</v>
      </c>
      <c r="V30" s="262">
        <f t="shared" si="4"/>
        <v>137000</v>
      </c>
      <c r="W30" s="262">
        <f t="shared" si="4"/>
        <v>137000</v>
      </c>
      <c r="X30" s="262">
        <f t="shared" si="4"/>
        <v>137000</v>
      </c>
      <c r="Y30" s="262">
        <f t="shared" si="4"/>
        <v>137000</v>
      </c>
      <c r="Z30" s="262">
        <f t="shared" si="4"/>
        <v>137000</v>
      </c>
      <c r="AA30" s="262">
        <f t="shared" si="4"/>
        <v>137000</v>
      </c>
      <c r="AB30" s="262">
        <f t="shared" si="4"/>
        <v>137000</v>
      </c>
      <c r="AC30" s="262">
        <f t="shared" si="4"/>
        <v>137000</v>
      </c>
      <c r="AD30" s="262">
        <f t="shared" si="4"/>
        <v>137000</v>
      </c>
      <c r="AE30" s="262">
        <f t="shared" si="4"/>
        <v>137000</v>
      </c>
      <c r="AF30" s="262">
        <f t="shared" si="4"/>
        <v>137000</v>
      </c>
      <c r="AG30" s="262">
        <f t="shared" si="4"/>
        <v>137000</v>
      </c>
      <c r="AH30" s="262">
        <f t="shared" si="4"/>
        <v>137000</v>
      </c>
      <c r="AI30" s="262">
        <f t="shared" si="4"/>
        <v>137000</v>
      </c>
      <c r="AJ30" s="262">
        <f t="shared" si="4"/>
        <v>137000</v>
      </c>
    </row>
    <row r="31" spans="1:36" ht="12" x14ac:dyDescent="0.2">
      <c r="E31" t="s">
        <v>288</v>
      </c>
      <c r="F31" s="267"/>
      <c r="G31" s="267"/>
      <c r="H31" s="267"/>
      <c r="I31" s="267"/>
      <c r="J31" s="267"/>
      <c r="K31" s="267"/>
      <c r="L31" s="21">
        <v>0</v>
      </c>
      <c r="M31" s="21">
        <v>0</v>
      </c>
      <c r="N31" s="21">
        <v>0</v>
      </c>
      <c r="O31" s="21">
        <v>0</v>
      </c>
      <c r="P31" s="21">
        <v>0</v>
      </c>
      <c r="Q31" s="21">
        <v>0</v>
      </c>
      <c r="R31" s="21">
        <v>0</v>
      </c>
      <c r="S31" s="21">
        <v>0</v>
      </c>
      <c r="T31" s="21">
        <v>0</v>
      </c>
      <c r="U31" s="21">
        <v>0</v>
      </c>
      <c r="V31" s="21">
        <v>0</v>
      </c>
      <c r="W31" s="21">
        <v>0</v>
      </c>
      <c r="X31" s="21">
        <v>0</v>
      </c>
      <c r="Y31" s="21">
        <v>0</v>
      </c>
      <c r="Z31" s="21">
        <v>0</v>
      </c>
      <c r="AA31" s="21">
        <v>0</v>
      </c>
      <c r="AB31" s="21">
        <v>0</v>
      </c>
      <c r="AC31" s="21">
        <v>0</v>
      </c>
      <c r="AD31" s="21">
        <v>0</v>
      </c>
      <c r="AE31" s="21">
        <v>0</v>
      </c>
      <c r="AF31" s="21">
        <v>0</v>
      </c>
      <c r="AG31" s="21">
        <v>0</v>
      </c>
      <c r="AH31" s="21">
        <v>0</v>
      </c>
      <c r="AI31" s="21">
        <v>0</v>
      </c>
      <c r="AJ31" s="21">
        <v>0</v>
      </c>
    </row>
    <row r="32" spans="1:36" ht="12" x14ac:dyDescent="0.25">
      <c r="E32" s="1" t="s">
        <v>388</v>
      </c>
    </row>
    <row r="33" spans="1:36" ht="12" x14ac:dyDescent="0.2">
      <c r="E33" t="s">
        <v>387</v>
      </c>
      <c r="F33" s="262">
        <v>0</v>
      </c>
      <c r="G33" s="262">
        <v>0</v>
      </c>
      <c r="H33" s="262">
        <v>0</v>
      </c>
      <c r="I33" s="262">
        <v>0</v>
      </c>
      <c r="J33" s="262">
        <v>0</v>
      </c>
      <c r="K33" s="262">
        <v>0</v>
      </c>
      <c r="L33" s="95">
        <f t="shared" ref="L33:AJ33" si="5">($F$22)</f>
        <v>45600</v>
      </c>
      <c r="M33" s="262">
        <f t="shared" si="5"/>
        <v>45600</v>
      </c>
      <c r="N33" s="262">
        <f t="shared" si="5"/>
        <v>45600</v>
      </c>
      <c r="O33" s="262">
        <f t="shared" si="5"/>
        <v>45600</v>
      </c>
      <c r="P33" s="262">
        <f t="shared" si="5"/>
        <v>45600</v>
      </c>
      <c r="Q33" s="262">
        <f t="shared" si="5"/>
        <v>45600</v>
      </c>
      <c r="R33" s="262">
        <f t="shared" si="5"/>
        <v>45600</v>
      </c>
      <c r="S33" s="262">
        <f t="shared" si="5"/>
        <v>45600</v>
      </c>
      <c r="T33" s="262">
        <f t="shared" si="5"/>
        <v>45600</v>
      </c>
      <c r="U33" s="262">
        <f t="shared" si="5"/>
        <v>45600</v>
      </c>
      <c r="V33" s="262">
        <f t="shared" si="5"/>
        <v>45600</v>
      </c>
      <c r="W33" s="262">
        <f t="shared" si="5"/>
        <v>45600</v>
      </c>
      <c r="X33" s="262">
        <f t="shared" si="5"/>
        <v>45600</v>
      </c>
      <c r="Y33" s="262">
        <f t="shared" si="5"/>
        <v>45600</v>
      </c>
      <c r="Z33" s="262">
        <f t="shared" si="5"/>
        <v>45600</v>
      </c>
      <c r="AA33" s="262">
        <f t="shared" si="5"/>
        <v>45600</v>
      </c>
      <c r="AB33" s="262">
        <f t="shared" si="5"/>
        <v>45600</v>
      </c>
      <c r="AC33" s="262">
        <f t="shared" si="5"/>
        <v>45600</v>
      </c>
      <c r="AD33" s="262">
        <f t="shared" si="5"/>
        <v>45600</v>
      </c>
      <c r="AE33" s="262">
        <f t="shared" si="5"/>
        <v>45600</v>
      </c>
      <c r="AF33" s="262">
        <f t="shared" si="5"/>
        <v>45600</v>
      </c>
      <c r="AG33" s="262">
        <f t="shared" si="5"/>
        <v>45600</v>
      </c>
      <c r="AH33" s="262">
        <f t="shared" si="5"/>
        <v>45600</v>
      </c>
      <c r="AI33" s="262">
        <f t="shared" si="5"/>
        <v>45600</v>
      </c>
      <c r="AJ33" s="262">
        <f t="shared" si="5"/>
        <v>45600</v>
      </c>
    </row>
    <row r="34" spans="1:36" ht="12" x14ac:dyDescent="0.2">
      <c r="E34" t="s">
        <v>288</v>
      </c>
      <c r="F34" s="267"/>
      <c r="G34" s="267"/>
      <c r="H34" s="267"/>
      <c r="I34" s="267"/>
      <c r="J34" s="267"/>
      <c r="K34" s="267"/>
      <c r="L34">
        <v>0</v>
      </c>
      <c r="M34">
        <v>0</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row>
    <row r="35" spans="1:36" ht="12" x14ac:dyDescent="0.25">
      <c r="F35" s="23" t="s">
        <v>156</v>
      </c>
      <c r="G35" s="23" t="s">
        <v>130</v>
      </c>
      <c r="H35" s="23" t="s">
        <v>157</v>
      </c>
    </row>
    <row r="36" spans="1:36" ht="12" x14ac:dyDescent="0.25">
      <c r="E36" s="1" t="s">
        <v>389</v>
      </c>
      <c r="F36" s="119">
        <f>AVERAGE(K36:AJ36)</f>
        <v>7263.7399999999989</v>
      </c>
      <c r="G36" s="119">
        <f>SUM(K36:P36)</f>
        <v>36318.699999999997</v>
      </c>
      <c r="H36" s="119">
        <f>SUM(K36:AJ36)</f>
        <v>181593.49999999997</v>
      </c>
      <c r="I36" s="29" t="s">
        <v>142</v>
      </c>
      <c r="J36" s="21"/>
      <c r="K36" s="21"/>
      <c r="L36" s="270">
        <f t="shared" ref="L36:AJ36" si="6">(L$25-L$31)</f>
        <v>7263.74</v>
      </c>
      <c r="M36" s="270">
        <f t="shared" si="6"/>
        <v>7263.74</v>
      </c>
      <c r="N36" s="270">
        <f t="shared" si="6"/>
        <v>7263.74</v>
      </c>
      <c r="O36" s="270">
        <f t="shared" si="6"/>
        <v>7263.74</v>
      </c>
      <c r="P36" s="270">
        <f t="shared" si="6"/>
        <v>7263.74</v>
      </c>
      <c r="Q36" s="270">
        <f t="shared" si="6"/>
        <v>7263.74</v>
      </c>
      <c r="R36" s="270">
        <f t="shared" si="6"/>
        <v>7263.74</v>
      </c>
      <c r="S36" s="270">
        <f t="shared" si="6"/>
        <v>7263.74</v>
      </c>
      <c r="T36" s="270">
        <f t="shared" si="6"/>
        <v>7263.74</v>
      </c>
      <c r="U36" s="270">
        <f t="shared" si="6"/>
        <v>7263.74</v>
      </c>
      <c r="V36" s="270">
        <f t="shared" si="6"/>
        <v>7263.74</v>
      </c>
      <c r="W36" s="270">
        <f t="shared" si="6"/>
        <v>7263.74</v>
      </c>
      <c r="X36" s="270">
        <f t="shared" si="6"/>
        <v>7263.74</v>
      </c>
      <c r="Y36" s="270">
        <f t="shared" si="6"/>
        <v>7263.74</v>
      </c>
      <c r="Z36" s="270">
        <f t="shared" si="6"/>
        <v>7263.74</v>
      </c>
      <c r="AA36" s="270">
        <f t="shared" si="6"/>
        <v>7263.74</v>
      </c>
      <c r="AB36" s="270">
        <f t="shared" si="6"/>
        <v>7263.74</v>
      </c>
      <c r="AC36" s="270">
        <f t="shared" si="6"/>
        <v>7263.74</v>
      </c>
      <c r="AD36" s="270">
        <f t="shared" si="6"/>
        <v>7263.74</v>
      </c>
      <c r="AE36" s="270">
        <f t="shared" si="6"/>
        <v>7263.74</v>
      </c>
      <c r="AF36" s="270">
        <f t="shared" si="6"/>
        <v>7263.74</v>
      </c>
      <c r="AG36" s="270">
        <f t="shared" si="6"/>
        <v>7263.74</v>
      </c>
      <c r="AH36" s="270">
        <f t="shared" si="6"/>
        <v>7263.74</v>
      </c>
      <c r="AI36" s="270">
        <f t="shared" si="6"/>
        <v>7263.74</v>
      </c>
      <c r="AJ36" s="270">
        <f t="shared" si="6"/>
        <v>7263.74</v>
      </c>
    </row>
    <row r="37" spans="1:36" ht="12" x14ac:dyDescent="0.25">
      <c r="E37" s="1" t="s">
        <v>390</v>
      </c>
      <c r="F37" s="119">
        <f>AVERAGE(K37:AJ37)</f>
        <v>2417.712</v>
      </c>
      <c r="G37" s="119">
        <f>SUM(K37:P37)</f>
        <v>12088.56</v>
      </c>
      <c r="H37" s="119">
        <f>SUM(K37:AJ37)</f>
        <v>60442.799999999996</v>
      </c>
      <c r="I37" s="29" t="s">
        <v>142</v>
      </c>
      <c r="L37" s="270">
        <f t="shared" ref="L37:AJ37" si="7">(L$28-L$34)</f>
        <v>2417.712</v>
      </c>
      <c r="M37" s="270">
        <f t="shared" si="7"/>
        <v>2417.712</v>
      </c>
      <c r="N37" s="270">
        <f t="shared" si="7"/>
        <v>2417.712</v>
      </c>
      <c r="O37" s="270">
        <f t="shared" si="7"/>
        <v>2417.712</v>
      </c>
      <c r="P37" s="270">
        <f t="shared" si="7"/>
        <v>2417.712</v>
      </c>
      <c r="Q37" s="270">
        <f t="shared" si="7"/>
        <v>2417.712</v>
      </c>
      <c r="R37" s="270">
        <f t="shared" si="7"/>
        <v>2417.712</v>
      </c>
      <c r="S37" s="270">
        <f t="shared" si="7"/>
        <v>2417.712</v>
      </c>
      <c r="T37" s="270">
        <f t="shared" si="7"/>
        <v>2417.712</v>
      </c>
      <c r="U37" s="270">
        <f t="shared" si="7"/>
        <v>2417.712</v>
      </c>
      <c r="V37" s="270">
        <f t="shared" si="7"/>
        <v>2417.712</v>
      </c>
      <c r="W37" s="270">
        <f t="shared" si="7"/>
        <v>2417.712</v>
      </c>
      <c r="X37" s="270">
        <f t="shared" si="7"/>
        <v>2417.712</v>
      </c>
      <c r="Y37" s="270">
        <f t="shared" si="7"/>
        <v>2417.712</v>
      </c>
      <c r="Z37" s="270">
        <f t="shared" si="7"/>
        <v>2417.712</v>
      </c>
      <c r="AA37" s="270">
        <f t="shared" si="7"/>
        <v>2417.712</v>
      </c>
      <c r="AB37" s="270">
        <f t="shared" si="7"/>
        <v>2417.712</v>
      </c>
      <c r="AC37" s="270">
        <f t="shared" si="7"/>
        <v>2417.712</v>
      </c>
      <c r="AD37" s="270">
        <f t="shared" si="7"/>
        <v>2417.712</v>
      </c>
      <c r="AE37" s="270">
        <f t="shared" si="7"/>
        <v>2417.712</v>
      </c>
      <c r="AF37" s="270">
        <f t="shared" si="7"/>
        <v>2417.712</v>
      </c>
      <c r="AG37" s="270">
        <f t="shared" si="7"/>
        <v>2417.712</v>
      </c>
      <c r="AH37" s="270">
        <f t="shared" si="7"/>
        <v>2417.712</v>
      </c>
      <c r="AI37" s="270">
        <f t="shared" si="7"/>
        <v>2417.712</v>
      </c>
      <c r="AJ37" s="270">
        <f t="shared" si="7"/>
        <v>2417.712</v>
      </c>
    </row>
    <row r="38" spans="1:36" ht="12" x14ac:dyDescent="0.25">
      <c r="E38" s="1"/>
    </row>
    <row r="39" spans="1:36" ht="12" x14ac:dyDescent="0.25">
      <c r="A39" s="141"/>
      <c r="B39" s="141"/>
      <c r="C39" s="141"/>
      <c r="D39" s="107"/>
      <c r="E39" s="114" t="s">
        <v>391</v>
      </c>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row>
    <row r="41" spans="1:36" ht="12" x14ac:dyDescent="0.25">
      <c r="C41" s="141"/>
      <c r="D41" s="33"/>
      <c r="E41" s="34" t="s">
        <v>378</v>
      </c>
      <c r="F41" s="33"/>
      <c r="G41" s="58" t="s">
        <v>392</v>
      </c>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row>
    <row r="42" spans="1:36" ht="12" x14ac:dyDescent="0.2">
      <c r="E42" t="s">
        <v>393</v>
      </c>
      <c r="F42" s="264">
        <v>2.5299999999999998</v>
      </c>
      <c r="G42" t="s">
        <v>394</v>
      </c>
      <c r="H42" s="96"/>
    </row>
    <row r="43" spans="1:36" ht="12" x14ac:dyDescent="0.2">
      <c r="E43" t="s">
        <v>395</v>
      </c>
      <c r="F43" s="266">
        <v>8</v>
      </c>
      <c r="G43" t="s">
        <v>394</v>
      </c>
      <c r="H43" s="96"/>
    </row>
    <row r="44" spans="1:36" ht="12" x14ac:dyDescent="0.2">
      <c r="E44" t="s">
        <v>396</v>
      </c>
      <c r="F44">
        <f>(2*60)</f>
        <v>120</v>
      </c>
      <c r="G44" t="s">
        <v>397</v>
      </c>
      <c r="H44" s="96" t="s">
        <v>381</v>
      </c>
    </row>
    <row r="45" spans="1:36" ht="12" x14ac:dyDescent="0.2">
      <c r="E45" t="s">
        <v>398</v>
      </c>
      <c r="F45">
        <f>(2*65)</f>
        <v>130</v>
      </c>
      <c r="G45" t="s">
        <v>397</v>
      </c>
      <c r="H45" s="96" t="s">
        <v>381</v>
      </c>
    </row>
    <row r="46" spans="1:36" ht="12" x14ac:dyDescent="0.2">
      <c r="E46" t="s">
        <v>399</v>
      </c>
      <c r="F46">
        <v>16.2</v>
      </c>
      <c r="G46" t="s">
        <v>397</v>
      </c>
      <c r="H46" s="96" t="s">
        <v>400</v>
      </c>
    </row>
    <row r="47" spans="1:36" ht="12" x14ac:dyDescent="0.2">
      <c r="E47" t="s">
        <v>401</v>
      </c>
      <c r="F47" s="24">
        <v>52</v>
      </c>
      <c r="G47" t="s">
        <v>402</v>
      </c>
      <c r="H47" s="96"/>
    </row>
    <row r="48" spans="1:36" ht="12" x14ac:dyDescent="0.25">
      <c r="E48" s="1" t="s">
        <v>286</v>
      </c>
    </row>
    <row r="49" spans="5:36" ht="12" x14ac:dyDescent="0.2">
      <c r="E49" t="s">
        <v>403</v>
      </c>
      <c r="F49">
        <f t="shared" ref="F49:AJ49" si="8">($F$46*$F$47)</f>
        <v>842.4</v>
      </c>
      <c r="G49" s="96">
        <f t="shared" si="8"/>
        <v>842.4</v>
      </c>
      <c r="H49" s="96">
        <f t="shared" si="8"/>
        <v>842.4</v>
      </c>
      <c r="I49" s="96">
        <f t="shared" si="8"/>
        <v>842.4</v>
      </c>
      <c r="J49" s="96">
        <f t="shared" si="8"/>
        <v>842.4</v>
      </c>
      <c r="K49" s="96">
        <f t="shared" si="8"/>
        <v>842.4</v>
      </c>
      <c r="L49" s="96">
        <f t="shared" si="8"/>
        <v>842.4</v>
      </c>
      <c r="M49" s="96">
        <f t="shared" si="8"/>
        <v>842.4</v>
      </c>
      <c r="N49" s="96">
        <f t="shared" si="8"/>
        <v>842.4</v>
      </c>
      <c r="O49" s="96">
        <f t="shared" si="8"/>
        <v>842.4</v>
      </c>
      <c r="P49" s="96">
        <f t="shared" si="8"/>
        <v>842.4</v>
      </c>
      <c r="Q49" s="96">
        <f t="shared" si="8"/>
        <v>842.4</v>
      </c>
      <c r="R49" s="96">
        <f t="shared" si="8"/>
        <v>842.4</v>
      </c>
      <c r="S49" s="96">
        <f t="shared" si="8"/>
        <v>842.4</v>
      </c>
      <c r="T49" s="96">
        <f t="shared" si="8"/>
        <v>842.4</v>
      </c>
      <c r="U49" s="96">
        <f t="shared" si="8"/>
        <v>842.4</v>
      </c>
      <c r="V49" s="96">
        <f t="shared" si="8"/>
        <v>842.4</v>
      </c>
      <c r="W49" s="96">
        <f t="shared" si="8"/>
        <v>842.4</v>
      </c>
      <c r="X49" s="96">
        <f t="shared" si="8"/>
        <v>842.4</v>
      </c>
      <c r="Y49" s="96">
        <f t="shared" si="8"/>
        <v>842.4</v>
      </c>
      <c r="Z49" s="96">
        <f t="shared" si="8"/>
        <v>842.4</v>
      </c>
      <c r="AA49" s="96">
        <f t="shared" si="8"/>
        <v>842.4</v>
      </c>
      <c r="AB49" s="96">
        <f t="shared" si="8"/>
        <v>842.4</v>
      </c>
      <c r="AC49" s="96">
        <f t="shared" si="8"/>
        <v>842.4</v>
      </c>
      <c r="AD49" s="96">
        <f t="shared" si="8"/>
        <v>842.4</v>
      </c>
      <c r="AE49" s="96">
        <f t="shared" si="8"/>
        <v>842.4</v>
      </c>
      <c r="AF49" s="96">
        <f t="shared" si="8"/>
        <v>842.4</v>
      </c>
      <c r="AG49" s="96">
        <f t="shared" si="8"/>
        <v>842.4</v>
      </c>
      <c r="AH49" s="96">
        <f t="shared" si="8"/>
        <v>842.4</v>
      </c>
      <c r="AI49" s="96">
        <f t="shared" si="8"/>
        <v>842.4</v>
      </c>
      <c r="AJ49" s="96">
        <f t="shared" si="8"/>
        <v>842.4</v>
      </c>
    </row>
    <row r="50" spans="5:36" ht="12" x14ac:dyDescent="0.2">
      <c r="E50" t="s">
        <v>404</v>
      </c>
      <c r="F50" s="21">
        <f t="shared" ref="F50:AJ50" si="9">(F$49/$F$42)</f>
        <v>332.96442687747037</v>
      </c>
      <c r="G50" s="267">
        <f t="shared" si="9"/>
        <v>332.96442687747037</v>
      </c>
      <c r="H50" s="267">
        <f t="shared" si="9"/>
        <v>332.96442687747037</v>
      </c>
      <c r="I50" s="267">
        <f t="shared" si="9"/>
        <v>332.96442687747037</v>
      </c>
      <c r="J50" s="267">
        <f t="shared" si="9"/>
        <v>332.96442687747037</v>
      </c>
      <c r="K50" s="267">
        <f t="shared" si="9"/>
        <v>332.96442687747037</v>
      </c>
      <c r="L50" s="267">
        <f t="shared" si="9"/>
        <v>332.96442687747037</v>
      </c>
      <c r="M50" s="267">
        <f t="shared" si="9"/>
        <v>332.96442687747037</v>
      </c>
      <c r="N50" s="267">
        <f t="shared" si="9"/>
        <v>332.96442687747037</v>
      </c>
      <c r="O50" s="267">
        <f t="shared" si="9"/>
        <v>332.96442687747037</v>
      </c>
      <c r="P50" s="267">
        <f t="shared" si="9"/>
        <v>332.96442687747037</v>
      </c>
      <c r="Q50" s="267">
        <f t="shared" si="9"/>
        <v>332.96442687747037</v>
      </c>
      <c r="R50" s="267">
        <f t="shared" si="9"/>
        <v>332.96442687747037</v>
      </c>
      <c r="S50" s="267">
        <f t="shared" si="9"/>
        <v>332.96442687747037</v>
      </c>
      <c r="T50" s="267">
        <f t="shared" si="9"/>
        <v>332.96442687747037</v>
      </c>
      <c r="U50" s="267">
        <f t="shared" si="9"/>
        <v>332.96442687747037</v>
      </c>
      <c r="V50" s="267">
        <f t="shared" si="9"/>
        <v>332.96442687747037</v>
      </c>
      <c r="W50" s="267">
        <f t="shared" si="9"/>
        <v>332.96442687747037</v>
      </c>
      <c r="X50" s="267">
        <f t="shared" si="9"/>
        <v>332.96442687747037</v>
      </c>
      <c r="Y50" s="267">
        <f t="shared" si="9"/>
        <v>332.96442687747037</v>
      </c>
      <c r="Z50" s="267">
        <f t="shared" si="9"/>
        <v>332.96442687747037</v>
      </c>
      <c r="AA50" s="267">
        <f t="shared" si="9"/>
        <v>332.96442687747037</v>
      </c>
      <c r="AB50" s="267">
        <f t="shared" si="9"/>
        <v>332.96442687747037</v>
      </c>
      <c r="AC50" s="267">
        <f t="shared" si="9"/>
        <v>332.96442687747037</v>
      </c>
      <c r="AD50" s="267">
        <f t="shared" si="9"/>
        <v>332.96442687747037</v>
      </c>
      <c r="AE50" s="267">
        <f t="shared" si="9"/>
        <v>332.96442687747037</v>
      </c>
      <c r="AF50" s="267">
        <f t="shared" si="9"/>
        <v>332.96442687747037</v>
      </c>
      <c r="AG50" s="267">
        <f t="shared" si="9"/>
        <v>332.96442687747037</v>
      </c>
      <c r="AH50" s="267">
        <f t="shared" si="9"/>
        <v>332.96442687747037</v>
      </c>
      <c r="AI50" s="267">
        <f t="shared" si="9"/>
        <v>332.96442687747037</v>
      </c>
      <c r="AJ50" s="267">
        <f t="shared" si="9"/>
        <v>332.96442687747037</v>
      </c>
    </row>
    <row r="51" spans="5:36" ht="12" x14ac:dyDescent="0.2">
      <c r="E51" t="s">
        <v>405</v>
      </c>
      <c r="F51" s="20">
        <f t="shared" ref="F51:AJ51" si="10">($F50*$F$12)</f>
        <v>2.92342766798419</v>
      </c>
      <c r="G51" s="257">
        <f t="shared" si="10"/>
        <v>2.92342766798419</v>
      </c>
      <c r="H51" s="257">
        <f t="shared" si="10"/>
        <v>2.92342766798419</v>
      </c>
      <c r="I51" s="257">
        <f t="shared" si="10"/>
        <v>2.92342766798419</v>
      </c>
      <c r="J51" s="257">
        <f t="shared" si="10"/>
        <v>2.92342766798419</v>
      </c>
      <c r="K51" s="257">
        <f t="shared" si="10"/>
        <v>2.92342766798419</v>
      </c>
      <c r="L51" s="257">
        <f t="shared" si="10"/>
        <v>2.92342766798419</v>
      </c>
      <c r="M51" s="257">
        <f t="shared" si="10"/>
        <v>2.92342766798419</v>
      </c>
      <c r="N51" s="257">
        <f t="shared" si="10"/>
        <v>2.92342766798419</v>
      </c>
      <c r="O51" s="257">
        <f t="shared" si="10"/>
        <v>2.92342766798419</v>
      </c>
      <c r="P51" s="257">
        <f t="shared" si="10"/>
        <v>2.92342766798419</v>
      </c>
      <c r="Q51" s="257">
        <f t="shared" si="10"/>
        <v>2.92342766798419</v>
      </c>
      <c r="R51" s="257">
        <f t="shared" si="10"/>
        <v>2.92342766798419</v>
      </c>
      <c r="S51" s="257">
        <f t="shared" si="10"/>
        <v>2.92342766798419</v>
      </c>
      <c r="T51" s="257">
        <f t="shared" si="10"/>
        <v>2.92342766798419</v>
      </c>
      <c r="U51" s="257">
        <f t="shared" si="10"/>
        <v>2.92342766798419</v>
      </c>
      <c r="V51" s="257">
        <f t="shared" si="10"/>
        <v>2.92342766798419</v>
      </c>
      <c r="W51" s="257">
        <f t="shared" si="10"/>
        <v>2.92342766798419</v>
      </c>
      <c r="X51" s="257">
        <f t="shared" si="10"/>
        <v>2.92342766798419</v>
      </c>
      <c r="Y51" s="257">
        <f t="shared" si="10"/>
        <v>2.92342766798419</v>
      </c>
      <c r="Z51" s="257">
        <f t="shared" si="10"/>
        <v>2.92342766798419</v>
      </c>
      <c r="AA51" s="257">
        <f t="shared" si="10"/>
        <v>2.92342766798419</v>
      </c>
      <c r="AB51" s="257">
        <f t="shared" si="10"/>
        <v>2.92342766798419</v>
      </c>
      <c r="AC51" s="257">
        <f t="shared" si="10"/>
        <v>2.92342766798419</v>
      </c>
      <c r="AD51" s="257">
        <f t="shared" si="10"/>
        <v>2.92342766798419</v>
      </c>
      <c r="AE51" s="257">
        <f t="shared" si="10"/>
        <v>2.92342766798419</v>
      </c>
      <c r="AF51" s="257">
        <f t="shared" si="10"/>
        <v>2.92342766798419</v>
      </c>
      <c r="AG51" s="257">
        <f t="shared" si="10"/>
        <v>2.92342766798419</v>
      </c>
      <c r="AH51" s="257">
        <f t="shared" si="10"/>
        <v>2.92342766798419</v>
      </c>
      <c r="AI51" s="257">
        <f t="shared" si="10"/>
        <v>2.92342766798419</v>
      </c>
      <c r="AJ51" s="257">
        <f t="shared" si="10"/>
        <v>2.92342766798419</v>
      </c>
    </row>
    <row r="52" spans="5:36" ht="12" x14ac:dyDescent="0.2">
      <c r="E52" t="s">
        <v>406</v>
      </c>
      <c r="F52" s="20">
        <f t="shared" ref="F52:AJ52" si="11">(F$49*$F$13)</f>
        <v>2.805192E-5</v>
      </c>
      <c r="G52" s="257">
        <f t="shared" si="11"/>
        <v>2.805192E-5</v>
      </c>
      <c r="H52" s="257">
        <f t="shared" si="11"/>
        <v>2.805192E-5</v>
      </c>
      <c r="I52" s="257">
        <f t="shared" si="11"/>
        <v>2.805192E-5</v>
      </c>
      <c r="J52" s="257">
        <f t="shared" si="11"/>
        <v>2.805192E-5</v>
      </c>
      <c r="K52" s="257">
        <f t="shared" si="11"/>
        <v>2.805192E-5</v>
      </c>
      <c r="L52" s="257">
        <f t="shared" si="11"/>
        <v>2.805192E-5</v>
      </c>
      <c r="M52" s="257">
        <f t="shared" si="11"/>
        <v>2.805192E-5</v>
      </c>
      <c r="N52" s="257">
        <f t="shared" si="11"/>
        <v>2.805192E-5</v>
      </c>
      <c r="O52" s="257">
        <f t="shared" si="11"/>
        <v>2.805192E-5</v>
      </c>
      <c r="P52" s="257">
        <f t="shared" si="11"/>
        <v>2.805192E-5</v>
      </c>
      <c r="Q52" s="257">
        <f t="shared" si="11"/>
        <v>2.805192E-5</v>
      </c>
      <c r="R52" s="257">
        <f t="shared" si="11"/>
        <v>2.805192E-5</v>
      </c>
      <c r="S52" s="257">
        <f t="shared" si="11"/>
        <v>2.805192E-5</v>
      </c>
      <c r="T52" s="257">
        <f t="shared" si="11"/>
        <v>2.805192E-5</v>
      </c>
      <c r="U52" s="257">
        <f t="shared" si="11"/>
        <v>2.805192E-5</v>
      </c>
      <c r="V52" s="257">
        <f t="shared" si="11"/>
        <v>2.805192E-5</v>
      </c>
      <c r="W52" s="257">
        <f t="shared" si="11"/>
        <v>2.805192E-5</v>
      </c>
      <c r="X52" s="257">
        <f t="shared" si="11"/>
        <v>2.805192E-5</v>
      </c>
      <c r="Y52" s="257">
        <f t="shared" si="11"/>
        <v>2.805192E-5</v>
      </c>
      <c r="Z52" s="257">
        <f t="shared" si="11"/>
        <v>2.805192E-5</v>
      </c>
      <c r="AA52" s="257">
        <f t="shared" si="11"/>
        <v>2.805192E-5</v>
      </c>
      <c r="AB52" s="257">
        <f t="shared" si="11"/>
        <v>2.805192E-5</v>
      </c>
      <c r="AC52" s="257">
        <f t="shared" si="11"/>
        <v>2.805192E-5</v>
      </c>
      <c r="AD52" s="257">
        <f t="shared" si="11"/>
        <v>2.805192E-5</v>
      </c>
      <c r="AE52" s="257">
        <f t="shared" si="11"/>
        <v>2.805192E-5</v>
      </c>
      <c r="AF52" s="257">
        <f t="shared" si="11"/>
        <v>2.805192E-5</v>
      </c>
      <c r="AG52" s="257">
        <f t="shared" si="11"/>
        <v>2.805192E-5</v>
      </c>
      <c r="AH52" s="257">
        <f t="shared" si="11"/>
        <v>2.805192E-5</v>
      </c>
      <c r="AI52" s="257">
        <f t="shared" si="11"/>
        <v>2.805192E-5</v>
      </c>
      <c r="AJ52" s="257">
        <f t="shared" si="11"/>
        <v>2.805192E-5</v>
      </c>
    </row>
    <row r="53" spans="5:36" ht="12" x14ac:dyDescent="0.2">
      <c r="E53" t="s">
        <v>407</v>
      </c>
      <c r="F53" s="12">
        <f t="shared" ref="F53:AJ53" si="12">(F$49*$F$14)</f>
        <v>1.128816E-5</v>
      </c>
      <c r="G53" s="274">
        <f t="shared" si="12"/>
        <v>1.128816E-5</v>
      </c>
      <c r="H53" s="274">
        <f t="shared" si="12"/>
        <v>1.128816E-5</v>
      </c>
      <c r="I53" s="274">
        <f t="shared" si="12"/>
        <v>1.128816E-5</v>
      </c>
      <c r="J53" s="274">
        <f t="shared" si="12"/>
        <v>1.128816E-5</v>
      </c>
      <c r="K53" s="274">
        <f t="shared" si="12"/>
        <v>1.128816E-5</v>
      </c>
      <c r="L53" s="274">
        <f t="shared" si="12"/>
        <v>1.128816E-5</v>
      </c>
      <c r="M53" s="274">
        <f t="shared" si="12"/>
        <v>1.128816E-5</v>
      </c>
      <c r="N53" s="274">
        <f t="shared" si="12"/>
        <v>1.128816E-5</v>
      </c>
      <c r="O53" s="274">
        <f t="shared" si="12"/>
        <v>1.128816E-5</v>
      </c>
      <c r="P53" s="274">
        <f t="shared" si="12"/>
        <v>1.128816E-5</v>
      </c>
      <c r="Q53" s="274">
        <f t="shared" si="12"/>
        <v>1.128816E-5</v>
      </c>
      <c r="R53" s="274">
        <f t="shared" si="12"/>
        <v>1.128816E-5</v>
      </c>
      <c r="S53" s="274">
        <f t="shared" si="12"/>
        <v>1.128816E-5</v>
      </c>
      <c r="T53" s="274">
        <f t="shared" si="12"/>
        <v>1.128816E-5</v>
      </c>
      <c r="U53" s="274">
        <f t="shared" si="12"/>
        <v>1.128816E-5</v>
      </c>
      <c r="V53" s="274">
        <f t="shared" si="12"/>
        <v>1.128816E-5</v>
      </c>
      <c r="W53" s="274">
        <f t="shared" si="12"/>
        <v>1.128816E-5</v>
      </c>
      <c r="X53" s="274">
        <f t="shared" si="12"/>
        <v>1.128816E-5</v>
      </c>
      <c r="Y53" s="274">
        <f t="shared" si="12"/>
        <v>1.128816E-5</v>
      </c>
      <c r="Z53" s="274">
        <f t="shared" si="12"/>
        <v>1.128816E-5</v>
      </c>
      <c r="AA53" s="274">
        <f t="shared" si="12"/>
        <v>1.128816E-5</v>
      </c>
      <c r="AB53" s="274">
        <f t="shared" si="12"/>
        <v>1.128816E-5</v>
      </c>
      <c r="AC53" s="274">
        <f t="shared" si="12"/>
        <v>1.128816E-5</v>
      </c>
      <c r="AD53" s="274">
        <f t="shared" si="12"/>
        <v>1.128816E-5</v>
      </c>
      <c r="AE53" s="274">
        <f t="shared" si="12"/>
        <v>1.128816E-5</v>
      </c>
      <c r="AF53" s="274">
        <f t="shared" si="12"/>
        <v>1.128816E-5</v>
      </c>
      <c r="AG53" s="274">
        <f t="shared" si="12"/>
        <v>1.128816E-5</v>
      </c>
      <c r="AH53" s="274">
        <f t="shared" si="12"/>
        <v>1.128816E-5</v>
      </c>
      <c r="AI53" s="274">
        <f t="shared" si="12"/>
        <v>1.128816E-5</v>
      </c>
      <c r="AJ53" s="274">
        <f t="shared" si="12"/>
        <v>1.128816E-5</v>
      </c>
    </row>
    <row r="54" spans="5:36" ht="12" x14ac:dyDescent="0.2">
      <c r="E54" t="s">
        <v>408</v>
      </c>
      <c r="F54" s="20">
        <f t="shared" ref="F54:AJ54" si="13">(F$51+(F$52*$F$15)+(F$53*$F$16))</f>
        <v>2.9272044841441898</v>
      </c>
      <c r="G54" s="20">
        <f t="shared" si="13"/>
        <v>2.9272044841441898</v>
      </c>
      <c r="H54" s="20">
        <f t="shared" si="13"/>
        <v>2.9272044841441898</v>
      </c>
      <c r="I54" s="20">
        <f t="shared" si="13"/>
        <v>2.9272044841441898</v>
      </c>
      <c r="J54" s="20">
        <f t="shared" si="13"/>
        <v>2.9272044841441898</v>
      </c>
      <c r="K54" s="20">
        <f t="shared" si="13"/>
        <v>2.9272044841441898</v>
      </c>
      <c r="L54" s="20">
        <f t="shared" si="13"/>
        <v>2.9272044841441898</v>
      </c>
      <c r="M54" s="20">
        <f t="shared" si="13"/>
        <v>2.9272044841441898</v>
      </c>
      <c r="N54" s="20">
        <f t="shared" si="13"/>
        <v>2.9272044841441898</v>
      </c>
      <c r="O54" s="20">
        <f t="shared" si="13"/>
        <v>2.9272044841441898</v>
      </c>
      <c r="P54" s="20">
        <f t="shared" si="13"/>
        <v>2.9272044841441898</v>
      </c>
      <c r="Q54" s="20">
        <f t="shared" si="13"/>
        <v>2.9272044841441898</v>
      </c>
      <c r="R54" s="20">
        <f t="shared" si="13"/>
        <v>2.9272044841441898</v>
      </c>
      <c r="S54" s="20">
        <f t="shared" si="13"/>
        <v>2.9272044841441898</v>
      </c>
      <c r="T54" s="20">
        <f t="shared" si="13"/>
        <v>2.9272044841441898</v>
      </c>
      <c r="U54" s="20">
        <f t="shared" si="13"/>
        <v>2.9272044841441898</v>
      </c>
      <c r="V54" s="20">
        <f t="shared" si="13"/>
        <v>2.9272044841441898</v>
      </c>
      <c r="W54" s="20">
        <f t="shared" si="13"/>
        <v>2.9272044841441898</v>
      </c>
      <c r="X54" s="20">
        <f t="shared" si="13"/>
        <v>2.9272044841441898</v>
      </c>
      <c r="Y54" s="20">
        <f t="shared" si="13"/>
        <v>2.9272044841441898</v>
      </c>
      <c r="Z54" s="20">
        <f t="shared" si="13"/>
        <v>2.9272044841441898</v>
      </c>
      <c r="AA54" s="20">
        <f t="shared" si="13"/>
        <v>2.9272044841441898</v>
      </c>
      <c r="AB54" s="20">
        <f t="shared" si="13"/>
        <v>2.9272044841441898</v>
      </c>
      <c r="AC54" s="20">
        <f t="shared" si="13"/>
        <v>2.9272044841441898</v>
      </c>
      <c r="AD54" s="20">
        <f t="shared" si="13"/>
        <v>2.9272044841441898</v>
      </c>
      <c r="AE54" s="20">
        <f t="shared" si="13"/>
        <v>2.9272044841441898</v>
      </c>
      <c r="AF54" s="20">
        <f t="shared" si="13"/>
        <v>2.9272044841441898</v>
      </c>
      <c r="AG54" s="20">
        <f t="shared" si="13"/>
        <v>2.9272044841441898</v>
      </c>
      <c r="AH54" s="20">
        <f t="shared" si="13"/>
        <v>2.9272044841441898</v>
      </c>
      <c r="AI54" s="20">
        <f t="shared" si="13"/>
        <v>2.9272044841441898</v>
      </c>
      <c r="AJ54" s="20">
        <f t="shared" si="13"/>
        <v>2.9272044841441898</v>
      </c>
    </row>
    <row r="55" spans="5:36" ht="12" x14ac:dyDescent="0.25">
      <c r="E55" s="1" t="s">
        <v>386</v>
      </c>
    </row>
    <row r="56" spans="5:36" ht="12" x14ac:dyDescent="0.2">
      <c r="E56" t="s">
        <v>403</v>
      </c>
      <c r="F56" s="96">
        <v>0</v>
      </c>
      <c r="G56" s="96">
        <v>0</v>
      </c>
      <c r="H56" s="96">
        <v>0</v>
      </c>
      <c r="I56" s="96">
        <v>0</v>
      </c>
      <c r="J56" s="96">
        <v>0</v>
      </c>
      <c r="K56" s="96">
        <v>0</v>
      </c>
      <c r="L56" s="5">
        <f t="shared" ref="L56:AJ56" si="14">($F$44*$F$47)</f>
        <v>6240</v>
      </c>
      <c r="M56" s="96">
        <f t="shared" si="14"/>
        <v>6240</v>
      </c>
      <c r="N56" s="96">
        <f t="shared" si="14"/>
        <v>6240</v>
      </c>
      <c r="O56" s="96">
        <f t="shared" si="14"/>
        <v>6240</v>
      </c>
      <c r="P56" s="96">
        <f t="shared" si="14"/>
        <v>6240</v>
      </c>
      <c r="Q56" s="96">
        <f t="shared" si="14"/>
        <v>6240</v>
      </c>
      <c r="R56" s="96">
        <f t="shared" si="14"/>
        <v>6240</v>
      </c>
      <c r="S56" s="96">
        <f t="shared" si="14"/>
        <v>6240</v>
      </c>
      <c r="T56" s="96">
        <f t="shared" si="14"/>
        <v>6240</v>
      </c>
      <c r="U56" s="96">
        <f t="shared" si="14"/>
        <v>6240</v>
      </c>
      <c r="V56" s="96">
        <f t="shared" si="14"/>
        <v>6240</v>
      </c>
      <c r="W56" s="96">
        <f t="shared" si="14"/>
        <v>6240</v>
      </c>
      <c r="X56" s="96">
        <f t="shared" si="14"/>
        <v>6240</v>
      </c>
      <c r="Y56" s="96">
        <f t="shared" si="14"/>
        <v>6240</v>
      </c>
      <c r="Z56" s="96">
        <f t="shared" si="14"/>
        <v>6240</v>
      </c>
      <c r="AA56" s="96">
        <f t="shared" si="14"/>
        <v>6240</v>
      </c>
      <c r="AB56" s="96">
        <f t="shared" si="14"/>
        <v>6240</v>
      </c>
      <c r="AC56" s="96">
        <f t="shared" si="14"/>
        <v>6240</v>
      </c>
      <c r="AD56" s="96">
        <f t="shared" si="14"/>
        <v>6240</v>
      </c>
      <c r="AE56" s="96">
        <f t="shared" si="14"/>
        <v>6240</v>
      </c>
      <c r="AF56" s="96">
        <f t="shared" si="14"/>
        <v>6240</v>
      </c>
      <c r="AG56" s="96">
        <f t="shared" si="14"/>
        <v>6240</v>
      </c>
      <c r="AH56" s="96">
        <f t="shared" si="14"/>
        <v>6240</v>
      </c>
      <c r="AI56" s="96">
        <f t="shared" si="14"/>
        <v>6240</v>
      </c>
      <c r="AJ56" s="96">
        <f t="shared" si="14"/>
        <v>6240</v>
      </c>
    </row>
    <row r="57" spans="5:36" ht="12" x14ac:dyDescent="0.2">
      <c r="E57" t="s">
        <v>404</v>
      </c>
      <c r="F57" s="96">
        <v>0</v>
      </c>
      <c r="G57" s="96">
        <v>0</v>
      </c>
      <c r="H57" s="96">
        <v>0</v>
      </c>
      <c r="I57" s="96">
        <v>0</v>
      </c>
      <c r="J57" s="96">
        <v>0</v>
      </c>
      <c r="K57" s="96">
        <v>0</v>
      </c>
      <c r="L57">
        <f t="shared" ref="L57:AJ57" si="15">(L$56/$F$43)</f>
        <v>780</v>
      </c>
      <c r="M57" s="96">
        <f t="shared" si="15"/>
        <v>780</v>
      </c>
      <c r="N57" s="96">
        <f t="shared" si="15"/>
        <v>780</v>
      </c>
      <c r="O57" s="96">
        <f t="shared" si="15"/>
        <v>780</v>
      </c>
      <c r="P57" s="96">
        <f t="shared" si="15"/>
        <v>780</v>
      </c>
      <c r="Q57" s="96">
        <f t="shared" si="15"/>
        <v>780</v>
      </c>
      <c r="R57" s="96">
        <f t="shared" si="15"/>
        <v>780</v>
      </c>
      <c r="S57" s="96">
        <f t="shared" si="15"/>
        <v>780</v>
      </c>
      <c r="T57" s="96">
        <f t="shared" si="15"/>
        <v>780</v>
      </c>
      <c r="U57" s="96">
        <f t="shared" si="15"/>
        <v>780</v>
      </c>
      <c r="V57" s="96">
        <f t="shared" si="15"/>
        <v>780</v>
      </c>
      <c r="W57" s="96">
        <f t="shared" si="15"/>
        <v>780</v>
      </c>
      <c r="X57" s="96">
        <f t="shared" si="15"/>
        <v>780</v>
      </c>
      <c r="Y57" s="96">
        <f t="shared" si="15"/>
        <v>780</v>
      </c>
      <c r="Z57" s="96">
        <f t="shared" si="15"/>
        <v>780</v>
      </c>
      <c r="AA57" s="96">
        <f t="shared" si="15"/>
        <v>780</v>
      </c>
      <c r="AB57" s="96">
        <f t="shared" si="15"/>
        <v>780</v>
      </c>
      <c r="AC57" s="96">
        <f t="shared" si="15"/>
        <v>780</v>
      </c>
      <c r="AD57" s="96">
        <f t="shared" si="15"/>
        <v>780</v>
      </c>
      <c r="AE57" s="96">
        <f t="shared" si="15"/>
        <v>780</v>
      </c>
      <c r="AF57" s="96">
        <f t="shared" si="15"/>
        <v>780</v>
      </c>
      <c r="AG57" s="96">
        <f t="shared" si="15"/>
        <v>780</v>
      </c>
      <c r="AH57" s="96">
        <f t="shared" si="15"/>
        <v>780</v>
      </c>
      <c r="AI57" s="96">
        <f t="shared" si="15"/>
        <v>780</v>
      </c>
      <c r="AJ57" s="96">
        <f t="shared" si="15"/>
        <v>780</v>
      </c>
    </row>
    <row r="58" spans="5:36" ht="12" x14ac:dyDescent="0.2">
      <c r="E58" t="s">
        <v>405</v>
      </c>
      <c r="F58" s="96">
        <v>0</v>
      </c>
      <c r="G58" s="96">
        <v>0</v>
      </c>
      <c r="H58" s="96">
        <v>0</v>
      </c>
      <c r="I58" s="96">
        <v>0</v>
      </c>
      <c r="J58" s="96">
        <v>0</v>
      </c>
      <c r="K58" s="96">
        <v>0</v>
      </c>
      <c r="L58" s="20">
        <f t="shared" ref="L58:AJ58" si="16">(L$57*$F$12)</f>
        <v>6.8483999999999998</v>
      </c>
      <c r="M58" s="257">
        <f t="shared" si="16"/>
        <v>6.8483999999999998</v>
      </c>
      <c r="N58" s="257">
        <f t="shared" si="16"/>
        <v>6.8483999999999998</v>
      </c>
      <c r="O58" s="257">
        <f t="shared" si="16"/>
        <v>6.8483999999999998</v>
      </c>
      <c r="P58" s="257">
        <f t="shared" si="16"/>
        <v>6.8483999999999998</v>
      </c>
      <c r="Q58" s="257">
        <f t="shared" si="16"/>
        <v>6.8483999999999998</v>
      </c>
      <c r="R58" s="257">
        <f t="shared" si="16"/>
        <v>6.8483999999999998</v>
      </c>
      <c r="S58" s="257">
        <f t="shared" si="16"/>
        <v>6.8483999999999998</v>
      </c>
      <c r="T58" s="257">
        <f t="shared" si="16"/>
        <v>6.8483999999999998</v>
      </c>
      <c r="U58" s="257">
        <f t="shared" si="16"/>
        <v>6.8483999999999998</v>
      </c>
      <c r="V58" s="257">
        <f t="shared" si="16"/>
        <v>6.8483999999999998</v>
      </c>
      <c r="W58" s="257">
        <f t="shared" si="16"/>
        <v>6.8483999999999998</v>
      </c>
      <c r="X58" s="257">
        <f t="shared" si="16"/>
        <v>6.8483999999999998</v>
      </c>
      <c r="Y58" s="257">
        <f t="shared" si="16"/>
        <v>6.8483999999999998</v>
      </c>
      <c r="Z58" s="257">
        <f t="shared" si="16"/>
        <v>6.8483999999999998</v>
      </c>
      <c r="AA58" s="257">
        <f t="shared" si="16"/>
        <v>6.8483999999999998</v>
      </c>
      <c r="AB58" s="257">
        <f t="shared" si="16"/>
        <v>6.8483999999999998</v>
      </c>
      <c r="AC58" s="257">
        <f t="shared" si="16"/>
        <v>6.8483999999999998</v>
      </c>
      <c r="AD58" s="257">
        <f t="shared" si="16"/>
        <v>6.8483999999999998</v>
      </c>
      <c r="AE58" s="257">
        <f t="shared" si="16"/>
        <v>6.8483999999999998</v>
      </c>
      <c r="AF58" s="257">
        <f t="shared" si="16"/>
        <v>6.8483999999999998</v>
      </c>
      <c r="AG58" s="257">
        <f t="shared" si="16"/>
        <v>6.8483999999999998</v>
      </c>
      <c r="AH58" s="257">
        <f t="shared" si="16"/>
        <v>6.8483999999999998</v>
      </c>
      <c r="AI58" s="257">
        <f t="shared" si="16"/>
        <v>6.8483999999999998</v>
      </c>
      <c r="AJ58" s="257">
        <f t="shared" si="16"/>
        <v>6.8483999999999998</v>
      </c>
    </row>
    <row r="59" spans="5:36" ht="12" x14ac:dyDescent="0.2">
      <c r="E59" t="s">
        <v>406</v>
      </c>
      <c r="F59" s="96">
        <v>0</v>
      </c>
      <c r="G59" s="96">
        <v>0</v>
      </c>
      <c r="H59" s="96">
        <v>0</v>
      </c>
      <c r="I59" s="96">
        <v>0</v>
      </c>
      <c r="J59" s="96">
        <v>0</v>
      </c>
      <c r="K59" s="96">
        <v>0</v>
      </c>
      <c r="L59" s="20">
        <f>(L$56*$F$13)</f>
        <v>2.0779199999999999E-4</v>
      </c>
      <c r="M59" s="257">
        <f t="shared" ref="M59:AJ59" si="17">(M$56*$F$13)</f>
        <v>2.0779199999999999E-4</v>
      </c>
      <c r="N59" s="257">
        <f t="shared" si="17"/>
        <v>2.0779199999999999E-4</v>
      </c>
      <c r="O59" s="257">
        <f t="shared" si="17"/>
        <v>2.0779199999999999E-4</v>
      </c>
      <c r="P59" s="257">
        <f t="shared" si="17"/>
        <v>2.0779199999999999E-4</v>
      </c>
      <c r="Q59" s="257">
        <f t="shared" si="17"/>
        <v>2.0779199999999999E-4</v>
      </c>
      <c r="R59" s="257">
        <f t="shared" si="17"/>
        <v>2.0779199999999999E-4</v>
      </c>
      <c r="S59" s="257">
        <f t="shared" si="17"/>
        <v>2.0779199999999999E-4</v>
      </c>
      <c r="T59" s="257">
        <f t="shared" si="17"/>
        <v>2.0779199999999999E-4</v>
      </c>
      <c r="U59" s="257">
        <f t="shared" si="17"/>
        <v>2.0779199999999999E-4</v>
      </c>
      <c r="V59" s="257">
        <f t="shared" si="17"/>
        <v>2.0779199999999999E-4</v>
      </c>
      <c r="W59" s="257">
        <f t="shared" si="17"/>
        <v>2.0779199999999999E-4</v>
      </c>
      <c r="X59" s="257">
        <f t="shared" si="17"/>
        <v>2.0779199999999999E-4</v>
      </c>
      <c r="Y59" s="257">
        <f t="shared" si="17"/>
        <v>2.0779199999999999E-4</v>
      </c>
      <c r="Z59" s="257">
        <f t="shared" si="17"/>
        <v>2.0779199999999999E-4</v>
      </c>
      <c r="AA59" s="257">
        <f t="shared" si="17"/>
        <v>2.0779199999999999E-4</v>
      </c>
      <c r="AB59" s="257">
        <f t="shared" si="17"/>
        <v>2.0779199999999999E-4</v>
      </c>
      <c r="AC59" s="257">
        <f t="shared" si="17"/>
        <v>2.0779199999999999E-4</v>
      </c>
      <c r="AD59" s="257">
        <f t="shared" si="17"/>
        <v>2.0779199999999999E-4</v>
      </c>
      <c r="AE59" s="257">
        <f t="shared" si="17"/>
        <v>2.0779199999999999E-4</v>
      </c>
      <c r="AF59" s="257">
        <f t="shared" si="17"/>
        <v>2.0779199999999999E-4</v>
      </c>
      <c r="AG59" s="257">
        <f t="shared" si="17"/>
        <v>2.0779199999999999E-4</v>
      </c>
      <c r="AH59" s="257">
        <f t="shared" si="17"/>
        <v>2.0779199999999999E-4</v>
      </c>
      <c r="AI59" s="257">
        <f t="shared" si="17"/>
        <v>2.0779199999999999E-4</v>
      </c>
      <c r="AJ59" s="257">
        <f t="shared" si="17"/>
        <v>2.0779199999999999E-4</v>
      </c>
    </row>
    <row r="60" spans="5:36" ht="12" x14ac:dyDescent="0.2">
      <c r="E60" t="s">
        <v>407</v>
      </c>
      <c r="F60" s="96">
        <v>0</v>
      </c>
      <c r="G60" s="96">
        <v>0</v>
      </c>
      <c r="H60" s="96">
        <v>0</v>
      </c>
      <c r="I60" s="96">
        <v>0</v>
      </c>
      <c r="J60" s="96">
        <v>0</v>
      </c>
      <c r="K60" s="96">
        <v>0</v>
      </c>
      <c r="L60" s="20">
        <f t="shared" ref="L60:AJ60" si="18">(L$56*$F$14)</f>
        <v>8.3616000000000007E-5</v>
      </c>
      <c r="M60" s="257">
        <f t="shared" si="18"/>
        <v>8.3616000000000007E-5</v>
      </c>
      <c r="N60" s="257">
        <f t="shared" si="18"/>
        <v>8.3616000000000007E-5</v>
      </c>
      <c r="O60" s="257">
        <f t="shared" si="18"/>
        <v>8.3616000000000007E-5</v>
      </c>
      <c r="P60" s="257">
        <f t="shared" si="18"/>
        <v>8.3616000000000007E-5</v>
      </c>
      <c r="Q60" s="257">
        <f t="shared" si="18"/>
        <v>8.3616000000000007E-5</v>
      </c>
      <c r="R60" s="257">
        <f t="shared" si="18"/>
        <v>8.3616000000000007E-5</v>
      </c>
      <c r="S60" s="257">
        <f t="shared" si="18"/>
        <v>8.3616000000000007E-5</v>
      </c>
      <c r="T60" s="257">
        <f t="shared" si="18"/>
        <v>8.3616000000000007E-5</v>
      </c>
      <c r="U60" s="257">
        <f t="shared" si="18"/>
        <v>8.3616000000000007E-5</v>
      </c>
      <c r="V60" s="257">
        <f t="shared" si="18"/>
        <v>8.3616000000000007E-5</v>
      </c>
      <c r="W60" s="257">
        <f t="shared" si="18"/>
        <v>8.3616000000000007E-5</v>
      </c>
      <c r="X60" s="257">
        <f t="shared" si="18"/>
        <v>8.3616000000000007E-5</v>
      </c>
      <c r="Y60" s="257">
        <f t="shared" si="18"/>
        <v>8.3616000000000007E-5</v>
      </c>
      <c r="Z60" s="257">
        <f t="shared" si="18"/>
        <v>8.3616000000000007E-5</v>
      </c>
      <c r="AA60" s="257">
        <f t="shared" si="18"/>
        <v>8.3616000000000007E-5</v>
      </c>
      <c r="AB60" s="257">
        <f t="shared" si="18"/>
        <v>8.3616000000000007E-5</v>
      </c>
      <c r="AC60" s="257">
        <f t="shared" si="18"/>
        <v>8.3616000000000007E-5</v>
      </c>
      <c r="AD60" s="257">
        <f t="shared" si="18"/>
        <v>8.3616000000000007E-5</v>
      </c>
      <c r="AE60" s="257">
        <f t="shared" si="18"/>
        <v>8.3616000000000007E-5</v>
      </c>
      <c r="AF60" s="257">
        <f t="shared" si="18"/>
        <v>8.3616000000000007E-5</v>
      </c>
      <c r="AG60" s="257">
        <f t="shared" si="18"/>
        <v>8.3616000000000007E-5</v>
      </c>
      <c r="AH60" s="257">
        <f t="shared" si="18"/>
        <v>8.3616000000000007E-5</v>
      </c>
      <c r="AI60" s="257">
        <f t="shared" si="18"/>
        <v>8.3616000000000007E-5</v>
      </c>
      <c r="AJ60" s="257">
        <f t="shared" si="18"/>
        <v>8.3616000000000007E-5</v>
      </c>
    </row>
    <row r="61" spans="5:36" ht="12" x14ac:dyDescent="0.2">
      <c r="E61" t="s">
        <v>408</v>
      </c>
      <c r="F61" s="96">
        <v>0</v>
      </c>
      <c r="G61" s="96">
        <v>0</v>
      </c>
      <c r="H61" s="96">
        <v>0</v>
      </c>
      <c r="I61" s="96">
        <v>0</v>
      </c>
      <c r="J61" s="96">
        <v>0</v>
      </c>
      <c r="K61" s="96">
        <v>0</v>
      </c>
      <c r="L61" s="240">
        <f t="shared" ref="L61:AJ61" si="19">(L$58+(L$59*$F$15)+(L$60*$F$16))</f>
        <v>6.8763764160000003</v>
      </c>
      <c r="M61" s="240">
        <f t="shared" si="19"/>
        <v>6.8763764160000003</v>
      </c>
      <c r="N61" s="240">
        <f t="shared" si="19"/>
        <v>6.8763764160000003</v>
      </c>
      <c r="O61" s="240">
        <f t="shared" si="19"/>
        <v>6.8763764160000003</v>
      </c>
      <c r="P61" s="240">
        <f t="shared" si="19"/>
        <v>6.8763764160000003</v>
      </c>
      <c r="Q61" s="240">
        <f t="shared" si="19"/>
        <v>6.8763764160000003</v>
      </c>
      <c r="R61" s="240">
        <f t="shared" si="19"/>
        <v>6.8763764160000003</v>
      </c>
      <c r="S61" s="240">
        <f t="shared" si="19"/>
        <v>6.8763764160000003</v>
      </c>
      <c r="T61" s="240">
        <f t="shared" si="19"/>
        <v>6.8763764160000003</v>
      </c>
      <c r="U61" s="240">
        <f t="shared" si="19"/>
        <v>6.8763764160000003</v>
      </c>
      <c r="V61" s="240">
        <f t="shared" si="19"/>
        <v>6.8763764160000003</v>
      </c>
      <c r="W61" s="240">
        <f t="shared" si="19"/>
        <v>6.8763764160000003</v>
      </c>
      <c r="X61" s="240">
        <f t="shared" si="19"/>
        <v>6.8763764160000003</v>
      </c>
      <c r="Y61" s="240">
        <f t="shared" si="19"/>
        <v>6.8763764160000003</v>
      </c>
      <c r="Z61" s="240">
        <f t="shared" si="19"/>
        <v>6.8763764160000003</v>
      </c>
      <c r="AA61" s="240">
        <f t="shared" si="19"/>
        <v>6.8763764160000003</v>
      </c>
      <c r="AB61" s="240">
        <f t="shared" si="19"/>
        <v>6.8763764160000003</v>
      </c>
      <c r="AC61" s="240">
        <f t="shared" si="19"/>
        <v>6.8763764160000003</v>
      </c>
      <c r="AD61" s="240">
        <f t="shared" si="19"/>
        <v>6.8763764160000003</v>
      </c>
      <c r="AE61" s="240">
        <f t="shared" si="19"/>
        <v>6.8763764160000003</v>
      </c>
      <c r="AF61" s="240">
        <f t="shared" si="19"/>
        <v>6.8763764160000003</v>
      </c>
      <c r="AG61" s="240">
        <f t="shared" si="19"/>
        <v>6.8763764160000003</v>
      </c>
      <c r="AH61" s="240">
        <f t="shared" si="19"/>
        <v>6.8763764160000003</v>
      </c>
      <c r="AI61" s="240">
        <f t="shared" si="19"/>
        <v>6.8763764160000003</v>
      </c>
      <c r="AJ61" s="240">
        <f t="shared" si="19"/>
        <v>6.8763764160000003</v>
      </c>
    </row>
    <row r="62" spans="5:36" ht="12" x14ac:dyDescent="0.25">
      <c r="E62" s="1" t="s">
        <v>388</v>
      </c>
    </row>
    <row r="63" spans="5:36" ht="12" x14ac:dyDescent="0.2">
      <c r="E63" t="s">
        <v>403</v>
      </c>
      <c r="F63" s="96">
        <v>0</v>
      </c>
      <c r="G63" s="96">
        <v>0</v>
      </c>
      <c r="H63" s="96">
        <v>0</v>
      </c>
      <c r="I63" s="96">
        <v>0</v>
      </c>
      <c r="J63" s="96">
        <v>0</v>
      </c>
      <c r="K63" s="96">
        <v>0</v>
      </c>
      <c r="L63">
        <f t="shared" ref="L63:AJ63" si="20">($F$45*$F$47)</f>
        <v>6760</v>
      </c>
      <c r="M63" s="96">
        <f t="shared" si="20"/>
        <v>6760</v>
      </c>
      <c r="N63" s="96">
        <f t="shared" si="20"/>
        <v>6760</v>
      </c>
      <c r="O63" s="96">
        <f t="shared" si="20"/>
        <v>6760</v>
      </c>
      <c r="P63" s="96">
        <f t="shared" si="20"/>
        <v>6760</v>
      </c>
      <c r="Q63" s="96">
        <f t="shared" si="20"/>
        <v>6760</v>
      </c>
      <c r="R63" s="96">
        <f t="shared" si="20"/>
        <v>6760</v>
      </c>
      <c r="S63" s="96">
        <f t="shared" si="20"/>
        <v>6760</v>
      </c>
      <c r="T63" s="96">
        <f t="shared" si="20"/>
        <v>6760</v>
      </c>
      <c r="U63" s="96">
        <f t="shared" si="20"/>
        <v>6760</v>
      </c>
      <c r="V63" s="96">
        <f t="shared" si="20"/>
        <v>6760</v>
      </c>
      <c r="W63" s="96">
        <f t="shared" si="20"/>
        <v>6760</v>
      </c>
      <c r="X63" s="96">
        <f t="shared" si="20"/>
        <v>6760</v>
      </c>
      <c r="Y63" s="96">
        <f t="shared" si="20"/>
        <v>6760</v>
      </c>
      <c r="Z63" s="96">
        <f t="shared" si="20"/>
        <v>6760</v>
      </c>
      <c r="AA63" s="96">
        <f t="shared" si="20"/>
        <v>6760</v>
      </c>
      <c r="AB63" s="96">
        <f t="shared" si="20"/>
        <v>6760</v>
      </c>
      <c r="AC63" s="96">
        <f t="shared" si="20"/>
        <v>6760</v>
      </c>
      <c r="AD63" s="96">
        <f t="shared" si="20"/>
        <v>6760</v>
      </c>
      <c r="AE63" s="96">
        <f t="shared" si="20"/>
        <v>6760</v>
      </c>
      <c r="AF63" s="96">
        <f t="shared" si="20"/>
        <v>6760</v>
      </c>
      <c r="AG63" s="96">
        <f t="shared" si="20"/>
        <v>6760</v>
      </c>
      <c r="AH63" s="96">
        <f t="shared" si="20"/>
        <v>6760</v>
      </c>
      <c r="AI63" s="96">
        <f t="shared" si="20"/>
        <v>6760</v>
      </c>
      <c r="AJ63" s="96">
        <f t="shared" si="20"/>
        <v>6760</v>
      </c>
    </row>
    <row r="64" spans="5:36" ht="12" x14ac:dyDescent="0.2">
      <c r="E64" t="s">
        <v>404</v>
      </c>
      <c r="F64" s="96">
        <v>0</v>
      </c>
      <c r="G64" s="96">
        <v>0</v>
      </c>
      <c r="H64" s="96">
        <v>0</v>
      </c>
      <c r="I64" s="96">
        <v>0</v>
      </c>
      <c r="J64" s="96">
        <v>0</v>
      </c>
      <c r="K64" s="96">
        <v>0</v>
      </c>
      <c r="L64">
        <f t="shared" ref="L64:AJ64" si="21">($L$63/$F$43)</f>
        <v>845</v>
      </c>
      <c r="M64" s="96">
        <f t="shared" si="21"/>
        <v>845</v>
      </c>
      <c r="N64" s="96">
        <f t="shared" si="21"/>
        <v>845</v>
      </c>
      <c r="O64" s="96">
        <f t="shared" si="21"/>
        <v>845</v>
      </c>
      <c r="P64" s="96">
        <f t="shared" si="21"/>
        <v>845</v>
      </c>
      <c r="Q64" s="96">
        <f t="shared" si="21"/>
        <v>845</v>
      </c>
      <c r="R64" s="96">
        <f t="shared" si="21"/>
        <v>845</v>
      </c>
      <c r="S64" s="96">
        <f t="shared" si="21"/>
        <v>845</v>
      </c>
      <c r="T64" s="96">
        <f t="shared" si="21"/>
        <v>845</v>
      </c>
      <c r="U64" s="96">
        <f t="shared" si="21"/>
        <v>845</v>
      </c>
      <c r="V64" s="96">
        <f t="shared" si="21"/>
        <v>845</v>
      </c>
      <c r="W64" s="96">
        <f t="shared" si="21"/>
        <v>845</v>
      </c>
      <c r="X64" s="96">
        <f t="shared" si="21"/>
        <v>845</v>
      </c>
      <c r="Y64" s="96">
        <f t="shared" si="21"/>
        <v>845</v>
      </c>
      <c r="Z64" s="96">
        <f t="shared" si="21"/>
        <v>845</v>
      </c>
      <c r="AA64" s="96">
        <f t="shared" si="21"/>
        <v>845</v>
      </c>
      <c r="AB64" s="96">
        <f t="shared" si="21"/>
        <v>845</v>
      </c>
      <c r="AC64" s="96">
        <f t="shared" si="21"/>
        <v>845</v>
      </c>
      <c r="AD64" s="96">
        <f t="shared" si="21"/>
        <v>845</v>
      </c>
      <c r="AE64" s="96">
        <f t="shared" si="21"/>
        <v>845</v>
      </c>
      <c r="AF64" s="96">
        <f t="shared" si="21"/>
        <v>845</v>
      </c>
      <c r="AG64" s="96">
        <f t="shared" si="21"/>
        <v>845</v>
      </c>
      <c r="AH64" s="96">
        <f t="shared" si="21"/>
        <v>845</v>
      </c>
      <c r="AI64" s="96">
        <f t="shared" si="21"/>
        <v>845</v>
      </c>
      <c r="AJ64" s="96">
        <f t="shared" si="21"/>
        <v>845</v>
      </c>
    </row>
    <row r="65" spans="1:36" ht="12" x14ac:dyDescent="0.2">
      <c r="E65" t="s">
        <v>405</v>
      </c>
      <c r="F65" s="96">
        <v>0</v>
      </c>
      <c r="G65" s="96">
        <v>0</v>
      </c>
      <c r="H65" s="96">
        <v>0</v>
      </c>
      <c r="I65" s="96">
        <v>0</v>
      </c>
      <c r="J65" s="96">
        <v>0</v>
      </c>
      <c r="K65" s="96">
        <v>0</v>
      </c>
      <c r="L65" s="20">
        <f t="shared" ref="L65:AJ65" si="22">($F$12*L$64)</f>
        <v>7.4190999999999994</v>
      </c>
      <c r="M65" s="257">
        <f t="shared" si="22"/>
        <v>7.4190999999999994</v>
      </c>
      <c r="N65" s="257">
        <f t="shared" si="22"/>
        <v>7.4190999999999994</v>
      </c>
      <c r="O65" s="257">
        <f t="shared" si="22"/>
        <v>7.4190999999999994</v>
      </c>
      <c r="P65" s="257">
        <f t="shared" si="22"/>
        <v>7.4190999999999994</v>
      </c>
      <c r="Q65" s="257">
        <f t="shared" si="22"/>
        <v>7.4190999999999994</v>
      </c>
      <c r="R65" s="257">
        <f t="shared" si="22"/>
        <v>7.4190999999999994</v>
      </c>
      <c r="S65" s="257">
        <f t="shared" si="22"/>
        <v>7.4190999999999994</v>
      </c>
      <c r="T65" s="257">
        <f t="shared" si="22"/>
        <v>7.4190999999999994</v>
      </c>
      <c r="U65" s="257">
        <f t="shared" si="22"/>
        <v>7.4190999999999994</v>
      </c>
      <c r="V65" s="257">
        <f t="shared" si="22"/>
        <v>7.4190999999999994</v>
      </c>
      <c r="W65" s="257">
        <f t="shared" si="22"/>
        <v>7.4190999999999994</v>
      </c>
      <c r="X65" s="257">
        <f t="shared" si="22"/>
        <v>7.4190999999999994</v>
      </c>
      <c r="Y65" s="257">
        <f t="shared" si="22"/>
        <v>7.4190999999999994</v>
      </c>
      <c r="Z65" s="257">
        <f t="shared" si="22"/>
        <v>7.4190999999999994</v>
      </c>
      <c r="AA65" s="257">
        <f t="shared" si="22"/>
        <v>7.4190999999999994</v>
      </c>
      <c r="AB65" s="257">
        <f t="shared" si="22"/>
        <v>7.4190999999999994</v>
      </c>
      <c r="AC65" s="257">
        <f t="shared" si="22"/>
        <v>7.4190999999999994</v>
      </c>
      <c r="AD65" s="257">
        <f t="shared" si="22"/>
        <v>7.4190999999999994</v>
      </c>
      <c r="AE65" s="257">
        <f t="shared" si="22"/>
        <v>7.4190999999999994</v>
      </c>
      <c r="AF65" s="257">
        <f t="shared" si="22"/>
        <v>7.4190999999999994</v>
      </c>
      <c r="AG65" s="257">
        <f t="shared" si="22"/>
        <v>7.4190999999999994</v>
      </c>
      <c r="AH65" s="257">
        <f t="shared" si="22"/>
        <v>7.4190999999999994</v>
      </c>
      <c r="AI65" s="257">
        <f t="shared" si="22"/>
        <v>7.4190999999999994</v>
      </c>
      <c r="AJ65" s="257">
        <f t="shared" si="22"/>
        <v>7.4190999999999994</v>
      </c>
    </row>
    <row r="66" spans="1:36" ht="12" x14ac:dyDescent="0.2">
      <c r="E66" t="s">
        <v>406</v>
      </c>
      <c r="F66" s="96">
        <v>0</v>
      </c>
      <c r="G66" s="96">
        <v>0</v>
      </c>
      <c r="H66" s="96">
        <v>0</v>
      </c>
      <c r="I66" s="96">
        <v>0</v>
      </c>
      <c r="J66" s="96">
        <v>0</v>
      </c>
      <c r="K66" s="96">
        <v>0</v>
      </c>
      <c r="L66" s="20">
        <f t="shared" ref="L66:AJ66" si="23">(L$63*$F$13)</f>
        <v>2.2510800000000001E-4</v>
      </c>
      <c r="M66" s="257">
        <f t="shared" si="23"/>
        <v>2.2510800000000001E-4</v>
      </c>
      <c r="N66" s="257">
        <f t="shared" si="23"/>
        <v>2.2510800000000001E-4</v>
      </c>
      <c r="O66" s="257">
        <f t="shared" si="23"/>
        <v>2.2510800000000001E-4</v>
      </c>
      <c r="P66" s="257">
        <f t="shared" si="23"/>
        <v>2.2510800000000001E-4</v>
      </c>
      <c r="Q66" s="257">
        <f t="shared" si="23"/>
        <v>2.2510800000000001E-4</v>
      </c>
      <c r="R66" s="257">
        <f t="shared" si="23"/>
        <v>2.2510800000000001E-4</v>
      </c>
      <c r="S66" s="257">
        <f t="shared" si="23"/>
        <v>2.2510800000000001E-4</v>
      </c>
      <c r="T66" s="257">
        <f t="shared" si="23"/>
        <v>2.2510800000000001E-4</v>
      </c>
      <c r="U66" s="257">
        <f t="shared" si="23"/>
        <v>2.2510800000000001E-4</v>
      </c>
      <c r="V66" s="257">
        <f t="shared" si="23"/>
        <v>2.2510800000000001E-4</v>
      </c>
      <c r="W66" s="257">
        <f t="shared" si="23"/>
        <v>2.2510800000000001E-4</v>
      </c>
      <c r="X66" s="257">
        <f t="shared" si="23"/>
        <v>2.2510800000000001E-4</v>
      </c>
      <c r="Y66" s="257">
        <f t="shared" si="23"/>
        <v>2.2510800000000001E-4</v>
      </c>
      <c r="Z66" s="257">
        <f t="shared" si="23"/>
        <v>2.2510800000000001E-4</v>
      </c>
      <c r="AA66" s="257">
        <f t="shared" si="23"/>
        <v>2.2510800000000001E-4</v>
      </c>
      <c r="AB66" s="257">
        <f t="shared" si="23"/>
        <v>2.2510800000000001E-4</v>
      </c>
      <c r="AC66" s="257">
        <f t="shared" si="23"/>
        <v>2.2510800000000001E-4</v>
      </c>
      <c r="AD66" s="257">
        <f t="shared" si="23"/>
        <v>2.2510800000000001E-4</v>
      </c>
      <c r="AE66" s="257">
        <f t="shared" si="23"/>
        <v>2.2510800000000001E-4</v>
      </c>
      <c r="AF66" s="257">
        <f t="shared" si="23"/>
        <v>2.2510800000000001E-4</v>
      </c>
      <c r="AG66" s="257">
        <f t="shared" si="23"/>
        <v>2.2510800000000001E-4</v>
      </c>
      <c r="AH66" s="257">
        <f t="shared" si="23"/>
        <v>2.2510800000000001E-4</v>
      </c>
      <c r="AI66" s="257">
        <f t="shared" si="23"/>
        <v>2.2510800000000001E-4</v>
      </c>
      <c r="AJ66" s="257">
        <f t="shared" si="23"/>
        <v>2.2510800000000001E-4</v>
      </c>
    </row>
    <row r="67" spans="1:36" ht="12" x14ac:dyDescent="0.2">
      <c r="E67" t="s">
        <v>407</v>
      </c>
      <c r="F67" s="96">
        <v>0</v>
      </c>
      <c r="G67" s="96">
        <v>0</v>
      </c>
      <c r="H67" s="96">
        <v>0</v>
      </c>
      <c r="I67" s="96">
        <v>0</v>
      </c>
      <c r="J67" s="96">
        <v>0</v>
      </c>
      <c r="K67" s="96">
        <v>0</v>
      </c>
      <c r="L67" s="20">
        <f t="shared" ref="L67:AJ67" si="24">(L$63*$F$14)</f>
        <v>9.0584000000000012E-5</v>
      </c>
      <c r="M67" s="257">
        <f t="shared" si="24"/>
        <v>9.0584000000000012E-5</v>
      </c>
      <c r="N67" s="257">
        <f t="shared" si="24"/>
        <v>9.0584000000000012E-5</v>
      </c>
      <c r="O67" s="257">
        <f t="shared" si="24"/>
        <v>9.0584000000000012E-5</v>
      </c>
      <c r="P67" s="257">
        <f t="shared" si="24"/>
        <v>9.0584000000000012E-5</v>
      </c>
      <c r="Q67" s="257">
        <f t="shared" si="24"/>
        <v>9.0584000000000012E-5</v>
      </c>
      <c r="R67" s="257">
        <f t="shared" si="24"/>
        <v>9.0584000000000012E-5</v>
      </c>
      <c r="S67" s="257">
        <f t="shared" si="24"/>
        <v>9.0584000000000012E-5</v>
      </c>
      <c r="T67" s="257">
        <f t="shared" si="24"/>
        <v>9.0584000000000012E-5</v>
      </c>
      <c r="U67" s="257">
        <f t="shared" si="24"/>
        <v>9.0584000000000012E-5</v>
      </c>
      <c r="V67" s="257">
        <f t="shared" si="24"/>
        <v>9.0584000000000012E-5</v>
      </c>
      <c r="W67" s="257">
        <f t="shared" si="24"/>
        <v>9.0584000000000012E-5</v>
      </c>
      <c r="X67" s="257">
        <f t="shared" si="24"/>
        <v>9.0584000000000012E-5</v>
      </c>
      <c r="Y67" s="257">
        <f t="shared" si="24"/>
        <v>9.0584000000000012E-5</v>
      </c>
      <c r="Z67" s="257">
        <f t="shared" si="24"/>
        <v>9.0584000000000012E-5</v>
      </c>
      <c r="AA67" s="257">
        <f t="shared" si="24"/>
        <v>9.0584000000000012E-5</v>
      </c>
      <c r="AB67" s="257">
        <f t="shared" si="24"/>
        <v>9.0584000000000012E-5</v>
      </c>
      <c r="AC67" s="257">
        <f t="shared" si="24"/>
        <v>9.0584000000000012E-5</v>
      </c>
      <c r="AD67" s="257">
        <f t="shared" si="24"/>
        <v>9.0584000000000012E-5</v>
      </c>
      <c r="AE67" s="257">
        <f t="shared" si="24"/>
        <v>9.0584000000000012E-5</v>
      </c>
      <c r="AF67" s="257">
        <f t="shared" si="24"/>
        <v>9.0584000000000012E-5</v>
      </c>
      <c r="AG67" s="257">
        <f t="shared" si="24"/>
        <v>9.0584000000000012E-5</v>
      </c>
      <c r="AH67" s="257">
        <f t="shared" si="24"/>
        <v>9.0584000000000012E-5</v>
      </c>
      <c r="AI67" s="257">
        <f t="shared" si="24"/>
        <v>9.0584000000000012E-5</v>
      </c>
      <c r="AJ67" s="257">
        <f t="shared" si="24"/>
        <v>9.0584000000000012E-5</v>
      </c>
    </row>
    <row r="68" spans="1:36" ht="12" x14ac:dyDescent="0.2">
      <c r="E68" t="s">
        <v>408</v>
      </c>
      <c r="F68" s="96">
        <v>0</v>
      </c>
      <c r="G68" s="96">
        <v>0</v>
      </c>
      <c r="H68" s="96">
        <v>0</v>
      </c>
      <c r="I68" s="96">
        <v>0</v>
      </c>
      <c r="J68" s="96">
        <v>0</v>
      </c>
      <c r="K68" s="96">
        <v>0</v>
      </c>
      <c r="L68" s="240">
        <f t="shared" ref="L68:AJ68" si="25">(L$65+(L$66*$F$15)+(L$67*$F$16))</f>
        <v>7.4494077839999999</v>
      </c>
      <c r="M68" s="240">
        <f t="shared" si="25"/>
        <v>7.4494077839999999</v>
      </c>
      <c r="N68" s="240">
        <f t="shared" si="25"/>
        <v>7.4494077839999999</v>
      </c>
      <c r="O68" s="240">
        <f t="shared" si="25"/>
        <v>7.4494077839999999</v>
      </c>
      <c r="P68" s="240">
        <f t="shared" si="25"/>
        <v>7.4494077839999999</v>
      </c>
      <c r="Q68" s="240">
        <f t="shared" si="25"/>
        <v>7.4494077839999999</v>
      </c>
      <c r="R68" s="240">
        <f t="shared" si="25"/>
        <v>7.4494077839999999</v>
      </c>
      <c r="S68" s="240">
        <f t="shared" si="25"/>
        <v>7.4494077839999999</v>
      </c>
      <c r="T68" s="240">
        <f t="shared" si="25"/>
        <v>7.4494077839999999</v>
      </c>
      <c r="U68" s="240">
        <f t="shared" si="25"/>
        <v>7.4494077839999999</v>
      </c>
      <c r="V68" s="240">
        <f t="shared" si="25"/>
        <v>7.4494077839999999</v>
      </c>
      <c r="W68" s="240">
        <f t="shared" si="25"/>
        <v>7.4494077839999999</v>
      </c>
      <c r="X68" s="240">
        <f t="shared" si="25"/>
        <v>7.4494077839999999</v>
      </c>
      <c r="Y68" s="240">
        <f t="shared" si="25"/>
        <v>7.4494077839999999</v>
      </c>
      <c r="Z68" s="240">
        <f t="shared" si="25"/>
        <v>7.4494077839999999</v>
      </c>
      <c r="AA68" s="240">
        <f t="shared" si="25"/>
        <v>7.4494077839999999</v>
      </c>
      <c r="AB68" s="240">
        <f t="shared" si="25"/>
        <v>7.4494077839999999</v>
      </c>
      <c r="AC68" s="240">
        <f t="shared" si="25"/>
        <v>7.4494077839999999</v>
      </c>
      <c r="AD68" s="240">
        <f t="shared" si="25"/>
        <v>7.4494077839999999</v>
      </c>
      <c r="AE68" s="240">
        <f t="shared" si="25"/>
        <v>7.4494077839999999</v>
      </c>
      <c r="AF68" s="240">
        <f t="shared" si="25"/>
        <v>7.4494077839999999</v>
      </c>
      <c r="AG68" s="240">
        <f t="shared" si="25"/>
        <v>7.4494077839999999</v>
      </c>
      <c r="AH68" s="240">
        <f t="shared" si="25"/>
        <v>7.4494077839999999</v>
      </c>
      <c r="AI68" s="240">
        <f t="shared" si="25"/>
        <v>7.4494077839999999</v>
      </c>
      <c r="AJ68" s="240">
        <f t="shared" si="25"/>
        <v>7.4494077839999999</v>
      </c>
    </row>
    <row r="69" spans="1:36" ht="12" x14ac:dyDescent="0.25">
      <c r="F69" s="23" t="s">
        <v>156</v>
      </c>
      <c r="G69" s="23" t="s">
        <v>130</v>
      </c>
      <c r="H69" s="23" t="s">
        <v>157</v>
      </c>
    </row>
    <row r="70" spans="1:36" ht="12" x14ac:dyDescent="0.25">
      <c r="E70" s="1" t="s">
        <v>409</v>
      </c>
      <c r="F70" s="119">
        <f>AVERAGE(K70:AJ70)</f>
        <v>-3.9491719318558114</v>
      </c>
      <c r="G70" s="119">
        <f>SUM(K70:P70)</f>
        <v>-19.745859659279052</v>
      </c>
      <c r="H70" s="119">
        <f>SUM(K70:AJ70)</f>
        <v>-98.729298296395285</v>
      </c>
      <c r="I70" s="29" t="s">
        <v>142</v>
      </c>
      <c r="L70" s="240">
        <f>L54-L61</f>
        <v>-3.9491719318558105</v>
      </c>
      <c r="M70" s="240">
        <f t="shared" ref="M70:AJ70" si="26">M54-M61</f>
        <v>-3.9491719318558105</v>
      </c>
      <c r="N70" s="240">
        <f t="shared" si="26"/>
        <v>-3.9491719318558105</v>
      </c>
      <c r="O70" s="240">
        <f t="shared" si="26"/>
        <v>-3.9491719318558105</v>
      </c>
      <c r="P70" s="240">
        <f t="shared" si="26"/>
        <v>-3.9491719318558105</v>
      </c>
      <c r="Q70" s="240">
        <f t="shared" si="26"/>
        <v>-3.9491719318558105</v>
      </c>
      <c r="R70" s="240">
        <f t="shared" si="26"/>
        <v>-3.9491719318558105</v>
      </c>
      <c r="S70" s="240">
        <f t="shared" si="26"/>
        <v>-3.9491719318558105</v>
      </c>
      <c r="T70" s="240">
        <f t="shared" si="26"/>
        <v>-3.9491719318558105</v>
      </c>
      <c r="U70" s="240">
        <f t="shared" si="26"/>
        <v>-3.9491719318558105</v>
      </c>
      <c r="V70" s="240">
        <f t="shared" si="26"/>
        <v>-3.9491719318558105</v>
      </c>
      <c r="W70" s="240">
        <f t="shared" si="26"/>
        <v>-3.9491719318558105</v>
      </c>
      <c r="X70" s="240">
        <f t="shared" si="26"/>
        <v>-3.9491719318558105</v>
      </c>
      <c r="Y70" s="240">
        <f t="shared" si="26"/>
        <v>-3.9491719318558105</v>
      </c>
      <c r="Z70" s="240">
        <f t="shared" si="26"/>
        <v>-3.9491719318558105</v>
      </c>
      <c r="AA70" s="240">
        <f t="shared" si="26"/>
        <v>-3.9491719318558105</v>
      </c>
      <c r="AB70" s="240">
        <f t="shared" si="26"/>
        <v>-3.9491719318558105</v>
      </c>
      <c r="AC70" s="240">
        <f t="shared" si="26"/>
        <v>-3.9491719318558105</v>
      </c>
      <c r="AD70" s="240">
        <f t="shared" si="26"/>
        <v>-3.9491719318558105</v>
      </c>
      <c r="AE70" s="240">
        <f t="shared" si="26"/>
        <v>-3.9491719318558105</v>
      </c>
      <c r="AF70" s="240">
        <f t="shared" si="26"/>
        <v>-3.9491719318558105</v>
      </c>
      <c r="AG70" s="240">
        <f t="shared" si="26"/>
        <v>-3.9491719318558105</v>
      </c>
      <c r="AH70" s="240">
        <f t="shared" si="26"/>
        <v>-3.9491719318558105</v>
      </c>
      <c r="AI70" s="240">
        <f t="shared" si="26"/>
        <v>-3.9491719318558105</v>
      </c>
      <c r="AJ70" s="240">
        <f t="shared" si="26"/>
        <v>-3.9491719318558105</v>
      </c>
    </row>
    <row r="71" spans="1:36" ht="12" x14ac:dyDescent="0.25">
      <c r="E71" s="1" t="s">
        <v>410</v>
      </c>
      <c r="F71" s="119">
        <f>AVERAGE(K71:AJ71)</f>
        <v>-4.5222032998558133</v>
      </c>
      <c r="G71" s="119">
        <f>SUM(K71:P71)</f>
        <v>-22.611016499279053</v>
      </c>
      <c r="H71" s="119">
        <f>SUM(K71:AJ71)</f>
        <v>-113.05508249639533</v>
      </c>
      <c r="I71" s="29" t="s">
        <v>142</v>
      </c>
      <c r="L71" s="240">
        <f>L54-L68</f>
        <v>-4.5222032998558106</v>
      </c>
      <c r="M71" s="240">
        <f t="shared" ref="M71:AJ71" si="27">M54-M68</f>
        <v>-4.5222032998558106</v>
      </c>
      <c r="N71" s="240">
        <f t="shared" si="27"/>
        <v>-4.5222032998558106</v>
      </c>
      <c r="O71" s="240">
        <f t="shared" si="27"/>
        <v>-4.5222032998558106</v>
      </c>
      <c r="P71" s="240">
        <f t="shared" si="27"/>
        <v>-4.5222032998558106</v>
      </c>
      <c r="Q71" s="240">
        <f t="shared" si="27"/>
        <v>-4.5222032998558106</v>
      </c>
      <c r="R71" s="240">
        <f t="shared" si="27"/>
        <v>-4.5222032998558106</v>
      </c>
      <c r="S71" s="240">
        <f t="shared" si="27"/>
        <v>-4.5222032998558106</v>
      </c>
      <c r="T71" s="240">
        <f t="shared" si="27"/>
        <v>-4.5222032998558106</v>
      </c>
      <c r="U71" s="240">
        <f t="shared" si="27"/>
        <v>-4.5222032998558106</v>
      </c>
      <c r="V71" s="240">
        <f t="shared" si="27"/>
        <v>-4.5222032998558106</v>
      </c>
      <c r="W71" s="240">
        <f t="shared" si="27"/>
        <v>-4.5222032998558106</v>
      </c>
      <c r="X71" s="240">
        <f t="shared" si="27"/>
        <v>-4.5222032998558106</v>
      </c>
      <c r="Y71" s="240">
        <f t="shared" si="27"/>
        <v>-4.5222032998558106</v>
      </c>
      <c r="Z71" s="240">
        <f t="shared" si="27"/>
        <v>-4.5222032998558106</v>
      </c>
      <c r="AA71" s="240">
        <f t="shared" si="27"/>
        <v>-4.5222032998558106</v>
      </c>
      <c r="AB71" s="240">
        <f t="shared" si="27"/>
        <v>-4.5222032998558106</v>
      </c>
      <c r="AC71" s="240">
        <f t="shared" si="27"/>
        <v>-4.5222032998558106</v>
      </c>
      <c r="AD71" s="240">
        <f t="shared" si="27"/>
        <v>-4.5222032998558106</v>
      </c>
      <c r="AE71" s="240">
        <f t="shared" si="27"/>
        <v>-4.5222032998558106</v>
      </c>
      <c r="AF71" s="240">
        <f t="shared" si="27"/>
        <v>-4.5222032998558106</v>
      </c>
      <c r="AG71" s="240">
        <f t="shared" si="27"/>
        <v>-4.5222032998558106</v>
      </c>
      <c r="AH71" s="240">
        <f t="shared" si="27"/>
        <v>-4.5222032998558106</v>
      </c>
      <c r="AI71" s="240">
        <f t="shared" si="27"/>
        <v>-4.5222032998558106</v>
      </c>
      <c r="AJ71" s="240">
        <f t="shared" si="27"/>
        <v>-4.5222032998558106</v>
      </c>
    </row>
    <row r="72" spans="1:36" ht="12" x14ac:dyDescent="0.25">
      <c r="E72" s="1"/>
      <c r="F72" s="119"/>
      <c r="G72" s="119"/>
      <c r="H72" s="119"/>
      <c r="I72" s="29"/>
      <c r="L72" s="240"/>
      <c r="M72" s="240"/>
      <c r="N72" s="240"/>
      <c r="O72" s="240"/>
      <c r="P72" s="240"/>
      <c r="Q72" s="240"/>
      <c r="R72" s="240"/>
      <c r="S72" s="240"/>
      <c r="T72" s="240"/>
      <c r="U72" s="240"/>
      <c r="V72" s="240"/>
      <c r="W72" s="240"/>
      <c r="X72" s="240"/>
      <c r="Y72" s="240"/>
      <c r="Z72" s="240"/>
      <c r="AA72" s="240"/>
      <c r="AB72" s="240"/>
      <c r="AC72" s="240"/>
      <c r="AD72" s="240"/>
      <c r="AE72" s="240"/>
      <c r="AF72" s="240"/>
      <c r="AG72" s="240"/>
      <c r="AH72" s="240"/>
      <c r="AI72" s="240"/>
      <c r="AJ72" s="240"/>
    </row>
    <row r="73" spans="1:36" ht="12" x14ac:dyDescent="0.25">
      <c r="A73" s="141"/>
      <c r="B73" s="141"/>
      <c r="C73" s="141"/>
      <c r="D73" s="107"/>
      <c r="E73" s="114" t="s">
        <v>411</v>
      </c>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row>
    <row r="75" spans="1:36" ht="12" x14ac:dyDescent="0.25">
      <c r="C75" s="141"/>
      <c r="D75" s="33"/>
      <c r="E75" s="34" t="s">
        <v>378</v>
      </c>
      <c r="F75" s="33"/>
      <c r="G75" s="58" t="s">
        <v>412</v>
      </c>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row>
    <row r="76" spans="1:36" x14ac:dyDescent="0.2">
      <c r="C76" s="141"/>
      <c r="E76" s="5" t="s">
        <v>413</v>
      </c>
      <c r="G76" s="24"/>
    </row>
    <row r="77" spans="1:36" ht="12" x14ac:dyDescent="0.25">
      <c r="E77" s="1"/>
      <c r="F77" s="119"/>
      <c r="G77" s="119"/>
      <c r="H77" s="119"/>
      <c r="I77" s="29"/>
      <c r="L77" s="240"/>
      <c r="M77" s="240"/>
      <c r="N77" s="240"/>
      <c r="O77" s="240"/>
      <c r="P77" s="240"/>
      <c r="Q77" s="240"/>
      <c r="R77" s="240"/>
      <c r="S77" s="240"/>
      <c r="T77" s="240"/>
      <c r="U77" s="240"/>
      <c r="V77" s="240"/>
      <c r="W77" s="240"/>
      <c r="X77" s="240"/>
      <c r="Y77" s="240"/>
      <c r="Z77" s="240"/>
      <c r="AA77" s="240"/>
      <c r="AB77" s="240"/>
      <c r="AC77" s="240"/>
      <c r="AD77" s="240"/>
      <c r="AE77" s="240"/>
      <c r="AF77" s="240"/>
      <c r="AG77" s="240"/>
      <c r="AH77" s="240"/>
      <c r="AI77" s="240"/>
      <c r="AJ77" s="240"/>
    </row>
    <row r="78" spans="1:36" ht="12" x14ac:dyDescent="0.25">
      <c r="A78" s="141"/>
      <c r="B78" s="141"/>
      <c r="C78" s="141"/>
      <c r="D78" s="107"/>
      <c r="E78" s="114" t="s">
        <v>414</v>
      </c>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7"/>
      <c r="AG78" s="107"/>
      <c r="AH78" s="107"/>
      <c r="AI78" s="107"/>
      <c r="AJ78" s="107"/>
    </row>
    <row r="80" spans="1:36" ht="12" x14ac:dyDescent="0.25">
      <c r="C80" s="141"/>
      <c r="D80" s="33"/>
      <c r="E80" s="34" t="s">
        <v>378</v>
      </c>
      <c r="F80" s="33"/>
      <c r="G80" s="58" t="s">
        <v>415</v>
      </c>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row>
    <row r="81" spans="1:36" ht="12" x14ac:dyDescent="0.25">
      <c r="C81" s="141"/>
      <c r="E81" s="113" t="s">
        <v>286</v>
      </c>
      <c r="G81" s="24"/>
    </row>
    <row r="82" spans="1:36" x14ac:dyDescent="0.2">
      <c r="E82" t="s">
        <v>416</v>
      </c>
      <c r="F82" s="30">
        <v>-0.15</v>
      </c>
      <c r="G82" s="30" t="s">
        <v>417</v>
      </c>
    </row>
    <row r="83" spans="1:36" x14ac:dyDescent="0.2">
      <c r="E83" t="s">
        <v>418</v>
      </c>
      <c r="F83">
        <v>200</v>
      </c>
      <c r="G83" t="s">
        <v>419</v>
      </c>
      <c r="H83" s="96" t="s">
        <v>381</v>
      </c>
    </row>
    <row r="84" spans="1:36" ht="12" x14ac:dyDescent="0.25">
      <c r="E84" s="1" t="s">
        <v>251</v>
      </c>
      <c r="F84" s="96">
        <f t="shared" ref="F84:AJ84" si="28">(-1*$F$82*$F$83)</f>
        <v>30</v>
      </c>
      <c r="G84" s="96">
        <f t="shared" si="28"/>
        <v>30</v>
      </c>
      <c r="H84" s="96">
        <f t="shared" si="28"/>
        <v>30</v>
      </c>
      <c r="I84" s="96">
        <f t="shared" si="28"/>
        <v>30</v>
      </c>
      <c r="J84" s="96">
        <f t="shared" si="28"/>
        <v>30</v>
      </c>
      <c r="K84">
        <f t="shared" si="28"/>
        <v>30</v>
      </c>
      <c r="L84">
        <f t="shared" si="28"/>
        <v>30</v>
      </c>
      <c r="M84">
        <f t="shared" si="28"/>
        <v>30</v>
      </c>
      <c r="N84">
        <f t="shared" si="28"/>
        <v>30</v>
      </c>
      <c r="O84">
        <f t="shared" si="28"/>
        <v>30</v>
      </c>
      <c r="P84">
        <f t="shared" si="28"/>
        <v>30</v>
      </c>
      <c r="Q84">
        <f t="shared" si="28"/>
        <v>30</v>
      </c>
      <c r="R84">
        <f t="shared" si="28"/>
        <v>30</v>
      </c>
      <c r="S84">
        <f t="shared" si="28"/>
        <v>30</v>
      </c>
      <c r="T84">
        <f t="shared" si="28"/>
        <v>30</v>
      </c>
      <c r="U84">
        <f t="shared" si="28"/>
        <v>30</v>
      </c>
      <c r="V84">
        <f t="shared" si="28"/>
        <v>30</v>
      </c>
      <c r="W84">
        <f t="shared" si="28"/>
        <v>30</v>
      </c>
      <c r="X84">
        <f t="shared" si="28"/>
        <v>30</v>
      </c>
      <c r="Y84">
        <f t="shared" si="28"/>
        <v>30</v>
      </c>
      <c r="Z84">
        <f t="shared" si="28"/>
        <v>30</v>
      </c>
      <c r="AA84">
        <f t="shared" si="28"/>
        <v>30</v>
      </c>
      <c r="AB84">
        <f t="shared" si="28"/>
        <v>30</v>
      </c>
      <c r="AC84">
        <f t="shared" si="28"/>
        <v>30</v>
      </c>
      <c r="AD84">
        <f t="shared" si="28"/>
        <v>30</v>
      </c>
      <c r="AE84">
        <f t="shared" si="28"/>
        <v>30</v>
      </c>
      <c r="AF84">
        <f t="shared" si="28"/>
        <v>30</v>
      </c>
      <c r="AG84">
        <f t="shared" si="28"/>
        <v>30</v>
      </c>
      <c r="AH84">
        <f t="shared" si="28"/>
        <v>30</v>
      </c>
      <c r="AI84">
        <f t="shared" si="28"/>
        <v>30</v>
      </c>
      <c r="AJ84">
        <f t="shared" si="28"/>
        <v>30</v>
      </c>
    </row>
    <row r="85" spans="1:36" ht="12" x14ac:dyDescent="0.25">
      <c r="E85" s="1" t="s">
        <v>289</v>
      </c>
      <c r="F85" s="278"/>
      <c r="G85" s="278"/>
      <c r="H85" s="278"/>
      <c r="I85" s="278"/>
      <c r="J85" s="278"/>
    </row>
    <row r="86" spans="1:36" ht="12" x14ac:dyDescent="0.25">
      <c r="E86" s="1"/>
      <c r="F86" s="23" t="s">
        <v>156</v>
      </c>
      <c r="G86" s="23" t="s">
        <v>130</v>
      </c>
      <c r="H86" s="23" t="s">
        <v>157</v>
      </c>
    </row>
    <row r="87" spans="1:36" ht="12" x14ac:dyDescent="0.25">
      <c r="E87" s="1" t="s">
        <v>420</v>
      </c>
      <c r="F87" s="284">
        <f>AVERAGE(K87:AJ87)</f>
        <v>-30</v>
      </c>
      <c r="G87" s="284">
        <f>SUM(K87:P87)</f>
        <v>-180</v>
      </c>
      <c r="H87" s="284">
        <f>SUM(K87:AJ87)</f>
        <v>-780</v>
      </c>
      <c r="I87" s="268" t="s">
        <v>142</v>
      </c>
      <c r="K87" s="278">
        <f t="shared" ref="K87:AJ87" si="29">($F$83*$F$82)</f>
        <v>-30</v>
      </c>
      <c r="L87" s="278">
        <f t="shared" si="29"/>
        <v>-30</v>
      </c>
      <c r="M87" s="278">
        <f t="shared" si="29"/>
        <v>-30</v>
      </c>
      <c r="N87" s="278">
        <f t="shared" si="29"/>
        <v>-30</v>
      </c>
      <c r="O87" s="278">
        <f t="shared" si="29"/>
        <v>-30</v>
      </c>
      <c r="P87" s="278">
        <f t="shared" si="29"/>
        <v>-30</v>
      </c>
      <c r="Q87" s="278">
        <f t="shared" si="29"/>
        <v>-30</v>
      </c>
      <c r="R87" s="278">
        <f t="shared" si="29"/>
        <v>-30</v>
      </c>
      <c r="S87" s="278">
        <f t="shared" si="29"/>
        <v>-30</v>
      </c>
      <c r="T87" s="278">
        <f t="shared" si="29"/>
        <v>-30</v>
      </c>
      <c r="U87" s="278">
        <f t="shared" si="29"/>
        <v>-30</v>
      </c>
      <c r="V87" s="278">
        <f t="shared" si="29"/>
        <v>-30</v>
      </c>
      <c r="W87" s="278">
        <f t="shared" si="29"/>
        <v>-30</v>
      </c>
      <c r="X87" s="278">
        <f t="shared" si="29"/>
        <v>-30</v>
      </c>
      <c r="Y87" s="278">
        <f t="shared" si="29"/>
        <v>-30</v>
      </c>
      <c r="Z87" s="278">
        <f t="shared" si="29"/>
        <v>-30</v>
      </c>
      <c r="AA87" s="278">
        <f t="shared" si="29"/>
        <v>-30</v>
      </c>
      <c r="AB87" s="278">
        <f t="shared" si="29"/>
        <v>-30</v>
      </c>
      <c r="AC87" s="278">
        <f t="shared" si="29"/>
        <v>-30</v>
      </c>
      <c r="AD87" s="278">
        <f t="shared" si="29"/>
        <v>-30</v>
      </c>
      <c r="AE87" s="278">
        <f t="shared" si="29"/>
        <v>-30</v>
      </c>
      <c r="AF87" s="278">
        <f t="shared" si="29"/>
        <v>-30</v>
      </c>
      <c r="AG87" s="278">
        <f t="shared" si="29"/>
        <v>-30</v>
      </c>
      <c r="AH87" s="278">
        <f t="shared" si="29"/>
        <v>-30</v>
      </c>
      <c r="AI87" s="278">
        <f t="shared" si="29"/>
        <v>-30</v>
      </c>
      <c r="AJ87" s="278">
        <f t="shared" si="29"/>
        <v>-30</v>
      </c>
    </row>
    <row r="89" spans="1:36" ht="12" x14ac:dyDescent="0.25">
      <c r="A89" s="141"/>
      <c r="B89" s="141"/>
      <c r="C89" s="141"/>
      <c r="D89" s="107"/>
      <c r="E89" s="114" t="s">
        <v>421</v>
      </c>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row>
    <row r="91" spans="1:36" ht="12" x14ac:dyDescent="0.25">
      <c r="C91" s="141"/>
      <c r="D91" s="33"/>
      <c r="E91" s="34" t="s">
        <v>378</v>
      </c>
      <c r="F91" s="33"/>
      <c r="G91" s="58" t="s">
        <v>422</v>
      </c>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row>
    <row r="92" spans="1:36" ht="12" x14ac:dyDescent="0.25">
      <c r="C92" s="141"/>
      <c r="E92" s="113" t="s">
        <v>286</v>
      </c>
      <c r="G92" s="24"/>
    </row>
    <row r="93" spans="1:36" x14ac:dyDescent="0.2">
      <c r="C93" s="141"/>
      <c r="E93" s="5" t="s">
        <v>423</v>
      </c>
      <c r="F93" s="21">
        <v>4139.0303759999997</v>
      </c>
      <c r="G93" s="5" t="s">
        <v>424</v>
      </c>
      <c r="H93" s="96" t="s">
        <v>381</v>
      </c>
    </row>
    <row r="94" spans="1:36" x14ac:dyDescent="0.2">
      <c r="C94" s="141"/>
      <c r="E94" s="5" t="s">
        <v>425</v>
      </c>
      <c r="F94" s="21">
        <v>12417.091129</v>
      </c>
      <c r="G94" s="5" t="s">
        <v>424</v>
      </c>
      <c r="H94" s="96" t="s">
        <v>381</v>
      </c>
      <c r="K94" s="283" t="s">
        <v>426</v>
      </c>
    </row>
    <row r="95" spans="1:36" x14ac:dyDescent="0.2">
      <c r="C95" s="141"/>
      <c r="E95" s="5" t="s">
        <v>427</v>
      </c>
      <c r="J95" s="278"/>
      <c r="K95" s="279">
        <v>-140.72999999999999</v>
      </c>
      <c r="L95" s="279">
        <v>-140.72999999999999</v>
      </c>
      <c r="M95" s="279">
        <v>-140.72999999999999</v>
      </c>
      <c r="N95" s="279">
        <v>-140.72999999999999</v>
      </c>
      <c r="O95" s="279">
        <v>-140.72999999999999</v>
      </c>
      <c r="P95" s="279">
        <v>-140.72999999999999</v>
      </c>
      <c r="Q95" s="279">
        <v>-140.72999999999999</v>
      </c>
      <c r="R95" s="279">
        <v>-140.72999999999999</v>
      </c>
      <c r="S95" s="279">
        <v>-140.72999999999999</v>
      </c>
      <c r="T95" s="279">
        <v>-140.72999999999999</v>
      </c>
      <c r="U95" s="279">
        <v>-140.72999999999999</v>
      </c>
      <c r="V95" s="279">
        <v>-140.72999999999999</v>
      </c>
      <c r="W95" s="279">
        <v>-140.72999999999999</v>
      </c>
      <c r="X95" s="279">
        <v>-140.72999999999999</v>
      </c>
      <c r="Y95" s="279">
        <v>-140.72999999999999</v>
      </c>
      <c r="Z95" s="279">
        <v>-140.72999999999999</v>
      </c>
      <c r="AA95" s="279">
        <v>-140.72999999999999</v>
      </c>
      <c r="AB95" s="279">
        <v>-140.72999999999999</v>
      </c>
      <c r="AC95" s="279">
        <v>-140.72999999999999</v>
      </c>
      <c r="AD95" s="279">
        <v>-140.72999999999999</v>
      </c>
      <c r="AE95" s="279">
        <v>-140.72999999999999</v>
      </c>
      <c r="AF95" s="279">
        <v>-140.72999999999999</v>
      </c>
      <c r="AG95" s="279">
        <v>-140.72999999999999</v>
      </c>
      <c r="AH95" s="279">
        <v>-140.72999999999999</v>
      </c>
      <c r="AI95" s="279">
        <v>-140.72999999999999</v>
      </c>
      <c r="AJ95" s="279">
        <v>-140.72999999999999</v>
      </c>
    </row>
    <row r="96" spans="1:36" x14ac:dyDescent="0.2">
      <c r="C96" s="141"/>
      <c r="E96" s="5" t="s">
        <v>428</v>
      </c>
      <c r="J96" s="278"/>
      <c r="K96" s="279">
        <v>-422.18</v>
      </c>
      <c r="L96" s="279">
        <v>-422.18</v>
      </c>
      <c r="M96" s="279">
        <v>-422.18</v>
      </c>
      <c r="N96" s="279">
        <v>-422.18</v>
      </c>
      <c r="O96" s="279">
        <v>-422.18</v>
      </c>
      <c r="P96" s="279">
        <v>-422.18</v>
      </c>
      <c r="Q96" s="279">
        <v>-422.18</v>
      </c>
      <c r="R96" s="279">
        <v>-422.18</v>
      </c>
      <c r="S96" s="279">
        <v>-422.18</v>
      </c>
      <c r="T96" s="279">
        <v>-422.18</v>
      </c>
      <c r="U96" s="279">
        <v>-422.18</v>
      </c>
      <c r="V96" s="279">
        <v>-422.18</v>
      </c>
      <c r="W96" s="279">
        <v>-422.18</v>
      </c>
      <c r="X96" s="279">
        <v>-422.18</v>
      </c>
      <c r="Y96" s="279">
        <v>-422.18</v>
      </c>
      <c r="Z96" s="279">
        <v>-422.18</v>
      </c>
      <c r="AA96" s="279">
        <v>-422.18</v>
      </c>
      <c r="AB96" s="279">
        <v>-422.18</v>
      </c>
      <c r="AC96" s="279">
        <v>-422.18</v>
      </c>
      <c r="AD96" s="279">
        <v>-422.18</v>
      </c>
      <c r="AE96" s="279">
        <v>-422.18</v>
      </c>
      <c r="AF96" s="279">
        <v>-422.18</v>
      </c>
      <c r="AG96" s="279">
        <v>-422.18</v>
      </c>
      <c r="AH96" s="279">
        <v>-422.18</v>
      </c>
      <c r="AI96" s="279">
        <v>-422.18</v>
      </c>
      <c r="AJ96" s="279">
        <v>-422.18</v>
      </c>
    </row>
    <row r="97" spans="1:36" ht="12" x14ac:dyDescent="0.25">
      <c r="C97" s="141"/>
      <c r="E97" s="113" t="s">
        <v>289</v>
      </c>
      <c r="I97" s="282"/>
    </row>
    <row r="98" spans="1:36" ht="12" x14ac:dyDescent="0.25">
      <c r="C98" s="141"/>
      <c r="E98" s="113"/>
      <c r="F98" s="23" t="s">
        <v>156</v>
      </c>
      <c r="G98" s="23" t="s">
        <v>130</v>
      </c>
      <c r="H98" s="23" t="s">
        <v>157</v>
      </c>
      <c r="I98" s="282"/>
    </row>
    <row r="99" spans="1:36" ht="12" x14ac:dyDescent="0.25">
      <c r="C99" s="141"/>
      <c r="E99" s="113" t="s">
        <v>429</v>
      </c>
      <c r="F99" s="269">
        <f>AVERAGE(K99:AJ99)</f>
        <v>140.72999999999999</v>
      </c>
      <c r="G99" s="269">
        <f>SUM(K99:P99)</f>
        <v>844.38</v>
      </c>
      <c r="H99" s="269">
        <f>SUM(K99:AJ99)</f>
        <v>3658.98</v>
      </c>
      <c r="I99" s="268" t="s">
        <v>142</v>
      </c>
      <c r="J99" s="278"/>
      <c r="K99" s="285">
        <f t="shared" ref="K99:AJ99" si="30">(-1*K$95)</f>
        <v>140.72999999999999</v>
      </c>
      <c r="L99" s="285">
        <f t="shared" si="30"/>
        <v>140.72999999999999</v>
      </c>
      <c r="M99" s="285">
        <f t="shared" si="30"/>
        <v>140.72999999999999</v>
      </c>
      <c r="N99" s="285">
        <f t="shared" si="30"/>
        <v>140.72999999999999</v>
      </c>
      <c r="O99" s="285">
        <f t="shared" si="30"/>
        <v>140.72999999999999</v>
      </c>
      <c r="P99" s="285">
        <f t="shared" si="30"/>
        <v>140.72999999999999</v>
      </c>
      <c r="Q99" s="285">
        <f t="shared" si="30"/>
        <v>140.72999999999999</v>
      </c>
      <c r="R99" s="285">
        <f t="shared" si="30"/>
        <v>140.72999999999999</v>
      </c>
      <c r="S99" s="285">
        <f t="shared" si="30"/>
        <v>140.72999999999999</v>
      </c>
      <c r="T99" s="285">
        <f t="shared" si="30"/>
        <v>140.72999999999999</v>
      </c>
      <c r="U99" s="285">
        <f t="shared" si="30"/>
        <v>140.72999999999999</v>
      </c>
      <c r="V99" s="285">
        <f t="shared" si="30"/>
        <v>140.72999999999999</v>
      </c>
      <c r="W99" s="285">
        <f t="shared" si="30"/>
        <v>140.72999999999999</v>
      </c>
      <c r="X99" s="285">
        <f t="shared" si="30"/>
        <v>140.72999999999999</v>
      </c>
      <c r="Y99" s="285">
        <f t="shared" si="30"/>
        <v>140.72999999999999</v>
      </c>
      <c r="Z99" s="285">
        <f t="shared" si="30"/>
        <v>140.72999999999999</v>
      </c>
      <c r="AA99" s="285">
        <f t="shared" si="30"/>
        <v>140.72999999999999</v>
      </c>
      <c r="AB99" s="285">
        <f t="shared" si="30"/>
        <v>140.72999999999999</v>
      </c>
      <c r="AC99" s="285">
        <f t="shared" si="30"/>
        <v>140.72999999999999</v>
      </c>
      <c r="AD99" s="285">
        <f t="shared" si="30"/>
        <v>140.72999999999999</v>
      </c>
      <c r="AE99" s="285">
        <f t="shared" si="30"/>
        <v>140.72999999999999</v>
      </c>
      <c r="AF99" s="285">
        <f t="shared" si="30"/>
        <v>140.72999999999999</v>
      </c>
      <c r="AG99" s="285">
        <f t="shared" si="30"/>
        <v>140.72999999999999</v>
      </c>
      <c r="AH99" s="285">
        <f t="shared" si="30"/>
        <v>140.72999999999999</v>
      </c>
      <c r="AI99" s="285">
        <f t="shared" si="30"/>
        <v>140.72999999999999</v>
      </c>
      <c r="AJ99" s="285">
        <f t="shared" si="30"/>
        <v>140.72999999999999</v>
      </c>
    </row>
    <row r="100" spans="1:36" ht="12" x14ac:dyDescent="0.25">
      <c r="C100" s="141"/>
      <c r="E100" s="113" t="s">
        <v>430</v>
      </c>
      <c r="F100" s="269">
        <f>AVERAGE(K100:AJ100)</f>
        <v>422.18000000000018</v>
      </c>
      <c r="G100" s="269">
        <f>SUM(K100:P100)</f>
        <v>2533.08</v>
      </c>
      <c r="H100" s="269">
        <f>SUM(K100:AJ100)</f>
        <v>10976.680000000004</v>
      </c>
      <c r="I100" s="268" t="s">
        <v>142</v>
      </c>
      <c r="J100" s="278"/>
      <c r="K100" s="285">
        <f t="shared" ref="K100:AJ100" si="31">(-1*K$96)</f>
        <v>422.18</v>
      </c>
      <c r="L100" s="285">
        <f t="shared" si="31"/>
        <v>422.18</v>
      </c>
      <c r="M100" s="285">
        <f t="shared" si="31"/>
        <v>422.18</v>
      </c>
      <c r="N100" s="285">
        <f t="shared" si="31"/>
        <v>422.18</v>
      </c>
      <c r="O100" s="285">
        <f t="shared" si="31"/>
        <v>422.18</v>
      </c>
      <c r="P100" s="285">
        <f t="shared" si="31"/>
        <v>422.18</v>
      </c>
      <c r="Q100" s="285">
        <f t="shared" si="31"/>
        <v>422.18</v>
      </c>
      <c r="R100" s="285">
        <f t="shared" si="31"/>
        <v>422.18</v>
      </c>
      <c r="S100" s="285">
        <f t="shared" si="31"/>
        <v>422.18</v>
      </c>
      <c r="T100" s="285">
        <f t="shared" si="31"/>
        <v>422.18</v>
      </c>
      <c r="U100" s="285">
        <f t="shared" si="31"/>
        <v>422.18</v>
      </c>
      <c r="V100" s="285">
        <f t="shared" si="31"/>
        <v>422.18</v>
      </c>
      <c r="W100" s="285">
        <f t="shared" si="31"/>
        <v>422.18</v>
      </c>
      <c r="X100" s="285">
        <f t="shared" si="31"/>
        <v>422.18</v>
      </c>
      <c r="Y100" s="285">
        <f t="shared" si="31"/>
        <v>422.18</v>
      </c>
      <c r="Z100" s="285">
        <f t="shared" si="31"/>
        <v>422.18</v>
      </c>
      <c r="AA100" s="285">
        <f t="shared" si="31"/>
        <v>422.18</v>
      </c>
      <c r="AB100" s="285">
        <f t="shared" si="31"/>
        <v>422.18</v>
      </c>
      <c r="AC100" s="285">
        <f t="shared" si="31"/>
        <v>422.18</v>
      </c>
      <c r="AD100" s="285">
        <f t="shared" si="31"/>
        <v>422.18</v>
      </c>
      <c r="AE100" s="285">
        <f t="shared" si="31"/>
        <v>422.18</v>
      </c>
      <c r="AF100" s="285">
        <f t="shared" si="31"/>
        <v>422.18</v>
      </c>
      <c r="AG100" s="285">
        <f t="shared" si="31"/>
        <v>422.18</v>
      </c>
      <c r="AH100" s="285">
        <f t="shared" si="31"/>
        <v>422.18</v>
      </c>
      <c r="AI100" s="285">
        <f t="shared" si="31"/>
        <v>422.18</v>
      </c>
      <c r="AJ100" s="285">
        <f t="shared" si="31"/>
        <v>422.18</v>
      </c>
    </row>
    <row r="101" spans="1:36" ht="12" x14ac:dyDescent="0.25">
      <c r="C101" s="141"/>
      <c r="E101" s="113"/>
      <c r="F101" s="280"/>
      <c r="G101" s="280"/>
      <c r="H101" s="280"/>
      <c r="I101" s="268"/>
      <c r="J101" s="96"/>
    </row>
    <row r="102" spans="1:36" ht="12" x14ac:dyDescent="0.25">
      <c r="D102" s="107"/>
      <c r="E102" s="114" t="s">
        <v>431</v>
      </c>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c r="AC102" s="107"/>
      <c r="AD102" s="107"/>
      <c r="AE102" s="107"/>
      <c r="AF102" s="107"/>
      <c r="AG102" s="107"/>
      <c r="AH102" s="107"/>
      <c r="AI102" s="107"/>
      <c r="AJ102" s="107"/>
    </row>
    <row r="104" spans="1:36" ht="12" x14ac:dyDescent="0.25">
      <c r="A104" s="141" t="str">
        <f>E104</f>
        <v>INDIANAPOLIS AREA RENEWABLE ENERGY AND WASTE REDUCTION</v>
      </c>
      <c r="B104" s="133" t="s">
        <v>119</v>
      </c>
      <c r="C104" s="141"/>
      <c r="D104" s="33"/>
      <c r="E104" s="34" t="s">
        <v>20</v>
      </c>
      <c r="F104" s="33"/>
      <c r="G104" s="58" t="s">
        <v>432</v>
      </c>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33"/>
      <c r="AF104" s="33"/>
      <c r="AG104" s="33"/>
      <c r="AH104" s="33"/>
      <c r="AI104" s="33"/>
      <c r="AJ104" s="33"/>
    </row>
    <row r="105" spans="1:36" ht="12" x14ac:dyDescent="0.25">
      <c r="A105" s="141" t="str">
        <f>A104</f>
        <v>INDIANAPOLIS AREA RENEWABLE ENERGY AND WASTE REDUCTION</v>
      </c>
      <c r="B105" s="141" t="str">
        <f>(B104)</f>
        <v>RE/Waste</v>
      </c>
      <c r="C105" s="141" t="s">
        <v>64</v>
      </c>
      <c r="F105" s="23" t="s">
        <v>156</v>
      </c>
      <c r="G105" s="23" t="s">
        <v>130</v>
      </c>
      <c r="H105" s="23" t="s">
        <v>157</v>
      </c>
    </row>
    <row r="106" spans="1:36" ht="12" x14ac:dyDescent="0.25">
      <c r="A106" s="141" t="str">
        <f t="shared" ref="A106:A108" si="32">A105</f>
        <v>INDIANAPOLIS AREA RENEWABLE ENERGY AND WASTE REDUCTION</v>
      </c>
      <c r="B106" s="141" t="str">
        <f>B105</f>
        <v>RE/Waste</v>
      </c>
      <c r="C106" s="141" t="s">
        <v>64</v>
      </c>
      <c r="D106" s="45"/>
      <c r="E106" s="1" t="s">
        <v>433</v>
      </c>
      <c r="F106" s="119">
        <f>AVERAGE(K106:AJ106)</f>
        <v>7370.5208280681409</v>
      </c>
      <c r="G106" s="119">
        <f>SUM(K106:P106)</f>
        <v>22111.562484204431</v>
      </c>
      <c r="H106" s="119">
        <f>SUM(K106:AJ106)</f>
        <v>169521.97904556725</v>
      </c>
      <c r="I106" s="29" t="s">
        <v>142</v>
      </c>
      <c r="L106" s="242"/>
      <c r="M106" s="242"/>
      <c r="N106" s="242">
        <f t="shared" ref="N106:AJ106" si="33">(N$36+N$70+N$87+N$99)</f>
        <v>7370.5208280681436</v>
      </c>
      <c r="O106" s="242">
        <f t="shared" si="33"/>
        <v>7370.5208280681436</v>
      </c>
      <c r="P106" s="242">
        <f t="shared" si="33"/>
        <v>7370.5208280681436</v>
      </c>
      <c r="Q106" s="242">
        <f t="shared" si="33"/>
        <v>7370.5208280681436</v>
      </c>
      <c r="R106" s="242">
        <f t="shared" si="33"/>
        <v>7370.5208280681436</v>
      </c>
      <c r="S106" s="242">
        <f t="shared" si="33"/>
        <v>7370.5208280681436</v>
      </c>
      <c r="T106" s="242">
        <f t="shared" si="33"/>
        <v>7370.5208280681436</v>
      </c>
      <c r="U106" s="242">
        <f t="shared" si="33"/>
        <v>7370.5208280681436</v>
      </c>
      <c r="V106" s="242">
        <f t="shared" si="33"/>
        <v>7370.5208280681436</v>
      </c>
      <c r="W106" s="242">
        <f t="shared" si="33"/>
        <v>7370.5208280681436</v>
      </c>
      <c r="X106" s="242">
        <f t="shared" si="33"/>
        <v>7370.5208280681436</v>
      </c>
      <c r="Y106" s="242">
        <f t="shared" si="33"/>
        <v>7370.5208280681436</v>
      </c>
      <c r="Z106" s="242">
        <f t="shared" si="33"/>
        <v>7370.5208280681436</v>
      </c>
      <c r="AA106" s="242">
        <f t="shared" si="33"/>
        <v>7370.5208280681436</v>
      </c>
      <c r="AB106" s="242">
        <f t="shared" si="33"/>
        <v>7370.5208280681436</v>
      </c>
      <c r="AC106" s="242">
        <f t="shared" si="33"/>
        <v>7370.5208280681436</v>
      </c>
      <c r="AD106" s="242">
        <f t="shared" si="33"/>
        <v>7370.5208280681436</v>
      </c>
      <c r="AE106" s="242">
        <f t="shared" si="33"/>
        <v>7370.5208280681436</v>
      </c>
      <c r="AF106" s="242">
        <f t="shared" si="33"/>
        <v>7370.5208280681436</v>
      </c>
      <c r="AG106" s="242">
        <f t="shared" si="33"/>
        <v>7370.5208280681436</v>
      </c>
      <c r="AH106" s="242">
        <f t="shared" si="33"/>
        <v>7370.5208280681436</v>
      </c>
      <c r="AI106" s="242">
        <f t="shared" si="33"/>
        <v>7370.5208280681436</v>
      </c>
      <c r="AJ106" s="242">
        <f t="shared" si="33"/>
        <v>7370.5208280681436</v>
      </c>
    </row>
    <row r="107" spans="1:36" ht="12" x14ac:dyDescent="0.25">
      <c r="A107" s="141" t="str">
        <f t="shared" si="32"/>
        <v>INDIANAPOLIS AREA RENEWABLE ENERGY AND WASTE REDUCTION</v>
      </c>
      <c r="B107" s="141" t="str">
        <f>B106</f>
        <v>RE/Waste</v>
      </c>
      <c r="C107" s="141" t="s">
        <v>64</v>
      </c>
      <c r="E107" s="1" t="s">
        <v>434</v>
      </c>
      <c r="F107" s="119">
        <f>AVERAGE(K107:AJ107)</f>
        <v>2805.3697967001431</v>
      </c>
      <c r="G107" s="119">
        <f>SUM(K107:P107)</f>
        <v>8416.1093901004315</v>
      </c>
      <c r="H107" s="119">
        <f>SUM(K107:AJ107)</f>
        <v>64523.505324103287</v>
      </c>
      <c r="I107" s="29" t="s">
        <v>142</v>
      </c>
      <c r="L107" s="242"/>
      <c r="M107" s="242"/>
      <c r="N107" s="242">
        <f t="shared" ref="N107:AJ107" si="34">(N$37+N$71+N$87+N$100)</f>
        <v>2805.369796700144</v>
      </c>
      <c r="O107" s="242">
        <f t="shared" si="34"/>
        <v>2805.369796700144</v>
      </c>
      <c r="P107" s="242">
        <f t="shared" si="34"/>
        <v>2805.369796700144</v>
      </c>
      <c r="Q107" s="242">
        <f t="shared" si="34"/>
        <v>2805.369796700144</v>
      </c>
      <c r="R107" s="242">
        <f t="shared" si="34"/>
        <v>2805.369796700144</v>
      </c>
      <c r="S107" s="242">
        <f t="shared" si="34"/>
        <v>2805.369796700144</v>
      </c>
      <c r="T107" s="242">
        <f t="shared" si="34"/>
        <v>2805.369796700144</v>
      </c>
      <c r="U107" s="242">
        <f t="shared" si="34"/>
        <v>2805.369796700144</v>
      </c>
      <c r="V107" s="242">
        <f t="shared" si="34"/>
        <v>2805.369796700144</v>
      </c>
      <c r="W107" s="242">
        <f t="shared" si="34"/>
        <v>2805.369796700144</v>
      </c>
      <c r="X107" s="242">
        <f t="shared" si="34"/>
        <v>2805.369796700144</v>
      </c>
      <c r="Y107" s="242">
        <f t="shared" si="34"/>
        <v>2805.369796700144</v>
      </c>
      <c r="Z107" s="242">
        <f t="shared" si="34"/>
        <v>2805.369796700144</v>
      </c>
      <c r="AA107" s="242">
        <f t="shared" si="34"/>
        <v>2805.369796700144</v>
      </c>
      <c r="AB107" s="242">
        <f t="shared" si="34"/>
        <v>2805.369796700144</v>
      </c>
      <c r="AC107" s="242">
        <f t="shared" si="34"/>
        <v>2805.369796700144</v>
      </c>
      <c r="AD107" s="242">
        <f t="shared" si="34"/>
        <v>2805.369796700144</v>
      </c>
      <c r="AE107" s="242">
        <f t="shared" si="34"/>
        <v>2805.369796700144</v>
      </c>
      <c r="AF107" s="242">
        <f t="shared" si="34"/>
        <v>2805.369796700144</v>
      </c>
      <c r="AG107" s="242">
        <f t="shared" si="34"/>
        <v>2805.369796700144</v>
      </c>
      <c r="AH107" s="242">
        <f t="shared" si="34"/>
        <v>2805.369796700144</v>
      </c>
      <c r="AI107" s="242">
        <f t="shared" si="34"/>
        <v>2805.369796700144</v>
      </c>
      <c r="AJ107" s="242">
        <f t="shared" si="34"/>
        <v>2805.369796700144</v>
      </c>
    </row>
    <row r="108" spans="1:36" ht="12" x14ac:dyDescent="0.25">
      <c r="A108" s="141" t="str">
        <f t="shared" si="32"/>
        <v>INDIANAPOLIS AREA RENEWABLE ENERGY AND WASTE REDUCTION</v>
      </c>
      <c r="B108" s="141" t="str">
        <f>B107</f>
        <v>RE/Waste</v>
      </c>
      <c r="C108" s="141" t="s">
        <v>140</v>
      </c>
      <c r="D108" s="337" t="s">
        <v>541</v>
      </c>
      <c r="E108" s="1" t="s">
        <v>434</v>
      </c>
      <c r="F108" s="119">
        <f>AVERAGE(K108:AJ108)</f>
        <v>5087.9453123841413</v>
      </c>
      <c r="G108" s="119">
        <f>SUM(K108:P108)</f>
        <v>15263.835937152431</v>
      </c>
      <c r="H108" s="119">
        <f>SUM(K108:AJ108)</f>
        <v>117022.74218483525</v>
      </c>
      <c r="I108" s="29" t="s">
        <v>142</v>
      </c>
      <c r="J108" s="29"/>
      <c r="L108" s="287"/>
      <c r="M108" s="287"/>
      <c r="N108" s="287">
        <f t="shared" ref="N108:AJ108" si="35">AVERAGE(N107,N106)</f>
        <v>5087.945312384144</v>
      </c>
      <c r="O108" s="287">
        <f t="shared" si="35"/>
        <v>5087.945312384144</v>
      </c>
      <c r="P108" s="287">
        <f t="shared" si="35"/>
        <v>5087.945312384144</v>
      </c>
      <c r="Q108" s="287">
        <f t="shared" si="35"/>
        <v>5087.945312384144</v>
      </c>
      <c r="R108" s="287">
        <f t="shared" si="35"/>
        <v>5087.945312384144</v>
      </c>
      <c r="S108" s="287">
        <f t="shared" si="35"/>
        <v>5087.945312384144</v>
      </c>
      <c r="T108" s="287">
        <f t="shared" si="35"/>
        <v>5087.945312384144</v>
      </c>
      <c r="U108" s="287">
        <f t="shared" si="35"/>
        <v>5087.945312384144</v>
      </c>
      <c r="V108" s="287">
        <f t="shared" si="35"/>
        <v>5087.945312384144</v>
      </c>
      <c r="W108" s="287">
        <f t="shared" si="35"/>
        <v>5087.945312384144</v>
      </c>
      <c r="X108" s="287">
        <f t="shared" si="35"/>
        <v>5087.945312384144</v>
      </c>
      <c r="Y108" s="287">
        <f t="shared" si="35"/>
        <v>5087.945312384144</v>
      </c>
      <c r="Z108" s="287">
        <f t="shared" si="35"/>
        <v>5087.945312384144</v>
      </c>
      <c r="AA108" s="287">
        <f t="shared" si="35"/>
        <v>5087.945312384144</v>
      </c>
      <c r="AB108" s="287">
        <f t="shared" si="35"/>
        <v>5087.945312384144</v>
      </c>
      <c r="AC108" s="287">
        <f t="shared" si="35"/>
        <v>5087.945312384144</v>
      </c>
      <c r="AD108" s="287">
        <f t="shared" si="35"/>
        <v>5087.945312384144</v>
      </c>
      <c r="AE108" s="287">
        <f t="shared" si="35"/>
        <v>5087.945312384144</v>
      </c>
      <c r="AF108" s="287">
        <f t="shared" si="35"/>
        <v>5087.945312384144</v>
      </c>
      <c r="AG108" s="287">
        <f t="shared" si="35"/>
        <v>5087.945312384144</v>
      </c>
      <c r="AH108" s="287">
        <f t="shared" si="35"/>
        <v>5087.945312384144</v>
      </c>
      <c r="AI108" s="287">
        <f t="shared" si="35"/>
        <v>5087.945312384144</v>
      </c>
      <c r="AJ108" s="287">
        <f t="shared" si="35"/>
        <v>5087.945312384144</v>
      </c>
    </row>
    <row r="109" spans="1:36" ht="12" x14ac:dyDescent="0.25">
      <c r="A109" s="141"/>
      <c r="B109" s="141"/>
      <c r="C109" s="141"/>
      <c r="F109" s="335"/>
      <c r="G109" s="335"/>
      <c r="H109" s="335"/>
      <c r="I109" s="29"/>
      <c r="K109" s="333"/>
      <c r="L109" s="333"/>
      <c r="M109" s="333"/>
      <c r="N109" s="333"/>
      <c r="O109" s="333"/>
      <c r="P109" s="333"/>
      <c r="Q109" s="333"/>
      <c r="R109" s="333"/>
      <c r="S109" s="333"/>
      <c r="T109" s="333"/>
      <c r="U109" s="333"/>
      <c r="V109" s="333"/>
      <c r="W109" s="333"/>
      <c r="X109" s="333"/>
      <c r="Y109" s="333"/>
      <c r="Z109" s="333"/>
      <c r="AA109" s="333"/>
      <c r="AB109" s="333"/>
      <c r="AC109" s="333"/>
      <c r="AD109" s="333"/>
      <c r="AE109" s="333"/>
      <c r="AF109" s="333"/>
      <c r="AG109" s="333"/>
      <c r="AH109" s="333"/>
      <c r="AI109" s="333"/>
      <c r="AJ109" s="333"/>
    </row>
  </sheetData>
  <phoneticPr fontId="26" type="noConversion"/>
  <hyperlinks>
    <hyperlink ref="P3" r:id="rId1" display="https://afdc.energy.gov/data/search?q=refuse" xr:uid="{ECC406FB-2B79-415C-A8F3-BDA0AFBF2FC8}"/>
    <hyperlink ref="P4" r:id="rId2" display="https://www.eia.gov/todayinenergy/detail.php?id=26832" xr:uid="{33A020AB-A576-4A95-92D6-F47CF9183311}"/>
    <hyperlink ref="P5" r:id="rId3" display="https://www.epa.gov/sites/default/files/2018-03/documents/emission-factors_mar_2018_0.pdf" xr:uid="{725E7A8A-DAB3-4729-BB4A-331F605B9D0F}"/>
    <hyperlink ref="Y3" r:id="rId4" location=":~:text=What%20is%20the%20Local%20Greenhouse,and%20waste%20and%20water%20management." display="https://www.epa.gov/statelocalenergy/local-greenhouse-gas-inventory-tool - :~:text=What%20is%20the%20Local%20Greenhouse,and%20waste%20and%20water%20management." xr:uid="{BE5A7ECC-1BEC-4F05-B0CB-08F30D4ADD35}"/>
  </hyperlink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75EF079-E469-4C14-BCEC-2D52A5744BD1}">
          <x14:formula1>
            <xm:f>Lists!$D$3:$D$20</xm:f>
          </x14:formula1>
          <xm:sqref>B104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B9FA7-6271-48C6-AD46-3B5837E37194}">
  <sheetPr>
    <tabColor theme="0" tint="-0.499984740745262"/>
  </sheetPr>
  <dimension ref="A1"/>
  <sheetViews>
    <sheetView workbookViewId="0"/>
  </sheetViews>
  <sheetFormatPr defaultRowHeight="11.4" x14ac:dyDescent="0.2"/>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5FBF6-77A6-48B0-AB83-0B409F744B04}">
  <dimension ref="A1:AJ44"/>
  <sheetViews>
    <sheetView zoomScaleNormal="100" workbookViewId="0">
      <pane xSplit="5" ySplit="8" topLeftCell="F9" activePane="bottomRight" state="frozen"/>
      <selection pane="topRight" activeCell="C1" sqref="C1"/>
      <selection pane="bottomLeft" activeCell="A9" sqref="A9"/>
      <selection pane="bottomRight" activeCell="A2" sqref="A2"/>
    </sheetView>
  </sheetViews>
  <sheetFormatPr defaultRowHeight="11.4" x14ac:dyDescent="0.2"/>
  <cols>
    <col min="1" max="1" width="6.375" customWidth="1"/>
    <col min="2" max="2" width="7.875" customWidth="1"/>
    <col min="3" max="3" width="5.375" customWidth="1"/>
    <col min="4" max="4" width="10.875" customWidth="1"/>
    <col min="5" max="5" width="49.625" customWidth="1"/>
    <col min="6" max="7" width="8.75" customWidth="1"/>
    <col min="8" max="8" width="9.125" customWidth="1"/>
    <col min="9" max="36" width="7.125" customWidth="1"/>
  </cols>
  <sheetData>
    <row r="1" spans="1:36" ht="12" x14ac:dyDescent="0.25">
      <c r="A1" s="1" t="s">
        <v>435</v>
      </c>
      <c r="D1" s="1"/>
      <c r="G1" s="1" t="s">
        <v>122</v>
      </c>
    </row>
    <row r="2" spans="1:36" ht="12" x14ac:dyDescent="0.25">
      <c r="E2" s="1"/>
      <c r="F2" s="1"/>
      <c r="G2" s="8" t="s">
        <v>436</v>
      </c>
    </row>
    <row r="3" spans="1:36" ht="12" x14ac:dyDescent="0.2">
      <c r="E3" s="2"/>
      <c r="G3" s="2" t="s">
        <v>437</v>
      </c>
    </row>
    <row r="4" spans="1:36" ht="12" x14ac:dyDescent="0.2">
      <c r="G4" s="2"/>
    </row>
    <row r="5" spans="1:36" ht="12" x14ac:dyDescent="0.25">
      <c r="E5" s="1" t="s">
        <v>374</v>
      </c>
      <c r="F5" s="275">
        <v>28</v>
      </c>
      <c r="G5" s="276" t="s">
        <v>438</v>
      </c>
    </row>
    <row r="6" spans="1:36" ht="12" x14ac:dyDescent="0.25">
      <c r="E6" s="1" t="s">
        <v>376</v>
      </c>
      <c r="F6" s="275">
        <v>265</v>
      </c>
      <c r="G6" s="276" t="s">
        <v>438</v>
      </c>
    </row>
    <row r="7" spans="1:36" ht="12" x14ac:dyDescent="0.2">
      <c r="A7" s="96"/>
      <c r="G7" s="27"/>
    </row>
    <row r="8" spans="1:36" ht="12" x14ac:dyDescent="0.25">
      <c r="A8" s="96"/>
      <c r="B8" s="96"/>
      <c r="C8" s="96"/>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E9" s="9" t="s">
        <v>439</v>
      </c>
    </row>
    <row r="10" spans="1:36" ht="12" x14ac:dyDescent="0.2">
      <c r="D10" s="3"/>
      <c r="E10" s="5" t="s">
        <v>440</v>
      </c>
      <c r="F10" s="5"/>
      <c r="G10" s="5"/>
      <c r="H10" s="25">
        <v>0.21660237260779774</v>
      </c>
      <c r="I10" s="25">
        <v>0.23397039612511059</v>
      </c>
      <c r="J10" s="25">
        <v>0.26422790943004409</v>
      </c>
      <c r="K10" s="25">
        <v>0.28350002367390131</v>
      </c>
      <c r="L10" s="25">
        <v>0.38220619608328366</v>
      </c>
      <c r="M10" s="25">
        <v>0.48608286097412512</v>
      </c>
      <c r="N10" s="25">
        <v>0.51938065187092908</v>
      </c>
      <c r="O10" s="25">
        <v>0.577331372483181</v>
      </c>
      <c r="P10" s="25">
        <v>0.6308842175942514</v>
      </c>
      <c r="Q10" s="25">
        <v>0.64451164355078749</v>
      </c>
      <c r="R10" s="25">
        <v>0.6616383971227523</v>
      </c>
      <c r="S10" s="25">
        <v>0.67343065192553508</v>
      </c>
      <c r="T10" s="25">
        <v>0.68732379102345376</v>
      </c>
      <c r="U10" s="25">
        <v>0.68994587946379982</v>
      </c>
      <c r="V10" s="25">
        <v>0.67739221348148893</v>
      </c>
      <c r="W10" s="25">
        <v>0.67418052155459463</v>
      </c>
      <c r="X10" s="25">
        <v>0.66540364301519062</v>
      </c>
      <c r="Y10" s="25">
        <v>0.6718732596058522</v>
      </c>
      <c r="Z10" s="25">
        <v>0.6726704887943189</v>
      </c>
      <c r="AA10" s="25">
        <v>0.67014372692497592</v>
      </c>
      <c r="AB10" s="25">
        <v>0.66893853350660537</v>
      </c>
      <c r="AC10" s="25">
        <v>0.67013718724887916</v>
      </c>
      <c r="AD10" s="25">
        <v>0.66779920308789442</v>
      </c>
      <c r="AE10" s="25">
        <v>0.67411915151642809</v>
      </c>
      <c r="AF10" s="25">
        <v>0.68372448156981125</v>
      </c>
      <c r="AG10" s="25">
        <v>0.67772987099775017</v>
      </c>
      <c r="AH10" s="25">
        <v>0.6772569505148035</v>
      </c>
      <c r="AI10" s="25">
        <v>0.67922537817698159</v>
      </c>
      <c r="AJ10" s="25">
        <v>0.68908610875069365</v>
      </c>
    </row>
    <row r="11" spans="1:36" ht="12" x14ac:dyDescent="0.2">
      <c r="D11" s="3"/>
      <c r="E11" s="5" t="s">
        <v>441</v>
      </c>
      <c r="F11" s="5"/>
      <c r="G11" s="5"/>
      <c r="H11" s="25">
        <v>0.2185230478056942</v>
      </c>
      <c r="I11" s="25">
        <v>0.20521995360584244</v>
      </c>
      <c r="J11" s="25">
        <v>0.19961786461549255</v>
      </c>
      <c r="K11" s="25">
        <v>0.18588062520023019</v>
      </c>
      <c r="L11" s="25">
        <v>0.15942528716231189</v>
      </c>
      <c r="M11" s="25">
        <v>0.15134357504006352</v>
      </c>
      <c r="N11" s="25">
        <v>0.15858101592733712</v>
      </c>
      <c r="O11" s="25">
        <v>0.14635364695051328</v>
      </c>
      <c r="P11" s="25">
        <v>0.15014378740080855</v>
      </c>
      <c r="Q11" s="25">
        <v>0.14569634715924779</v>
      </c>
      <c r="R11" s="25">
        <v>0.14552320442362054</v>
      </c>
      <c r="S11" s="25">
        <v>0.13451018712426191</v>
      </c>
      <c r="T11" s="25">
        <v>0.13458800182799591</v>
      </c>
      <c r="U11" s="25">
        <v>0.13436552698434168</v>
      </c>
      <c r="V11" s="25">
        <v>0.1345557902209753</v>
      </c>
      <c r="W11" s="25">
        <v>0.12885200510992662</v>
      </c>
      <c r="X11" s="25">
        <v>0.13688179872854128</v>
      </c>
      <c r="Y11" s="25">
        <v>0.1385443684519598</v>
      </c>
      <c r="Z11" s="25">
        <v>0.14251242336461137</v>
      </c>
      <c r="AA11" s="25">
        <v>0.14128274743377572</v>
      </c>
      <c r="AB11" s="25">
        <v>0.14210988531547059</v>
      </c>
      <c r="AC11" s="25">
        <v>0.14358550152425059</v>
      </c>
      <c r="AD11" s="25">
        <v>0.14671002610643974</v>
      </c>
      <c r="AE11" s="25">
        <v>0.1567608506293291</v>
      </c>
      <c r="AF11" s="25">
        <v>0.15484175769449338</v>
      </c>
      <c r="AG11" s="25">
        <v>0.16332151142624429</v>
      </c>
      <c r="AH11" s="25">
        <v>0.1690776753568366</v>
      </c>
      <c r="AI11" s="25">
        <v>0.17086749705885121</v>
      </c>
      <c r="AJ11" s="25">
        <v>0.17327999360937985</v>
      </c>
    </row>
    <row r="12" spans="1:36" ht="12" x14ac:dyDescent="0.2">
      <c r="D12" s="3"/>
      <c r="E12" s="5" t="s">
        <v>442</v>
      </c>
      <c r="F12" s="5"/>
      <c r="G12" s="5"/>
      <c r="H12" s="25">
        <v>0.564874579586508</v>
      </c>
      <c r="I12" s="25">
        <v>0.56080965026904694</v>
      </c>
      <c r="J12" s="25">
        <v>0.53615422595446338</v>
      </c>
      <c r="K12" s="25">
        <v>0.53061935112586844</v>
      </c>
      <c r="L12" s="25">
        <v>0.45836851675440432</v>
      </c>
      <c r="M12" s="25">
        <v>0.36257356398581125</v>
      </c>
      <c r="N12" s="25">
        <v>0.32203833220173378</v>
      </c>
      <c r="O12" s="25">
        <v>0.27631498056630555</v>
      </c>
      <c r="P12" s="25">
        <v>0.21897199500493997</v>
      </c>
      <c r="Q12" s="25">
        <v>0.20979200928996461</v>
      </c>
      <c r="R12" s="25">
        <v>0.1928383984536271</v>
      </c>
      <c r="S12" s="25">
        <v>0.19205916095020298</v>
      </c>
      <c r="T12" s="25">
        <v>0.17808820714855023</v>
      </c>
      <c r="U12" s="25">
        <v>0.17568859355185845</v>
      </c>
      <c r="V12" s="25">
        <v>0.18805199629753569</v>
      </c>
      <c r="W12" s="25">
        <v>0.19696747333547865</v>
      </c>
      <c r="X12" s="25">
        <v>0.19771455825626805</v>
      </c>
      <c r="Y12" s="25">
        <v>0.18958237194218786</v>
      </c>
      <c r="Z12" s="25">
        <v>0.18481708784106973</v>
      </c>
      <c r="AA12" s="25">
        <v>0.18857352564124835</v>
      </c>
      <c r="AB12" s="25">
        <v>0.18895158117792393</v>
      </c>
      <c r="AC12" s="25">
        <v>0.18627731122687011</v>
      </c>
      <c r="AD12" s="25">
        <v>0.18549077080566576</v>
      </c>
      <c r="AE12" s="25">
        <v>0.16911999785424281</v>
      </c>
      <c r="AF12" s="25">
        <v>0.16143376073569521</v>
      </c>
      <c r="AG12" s="25">
        <v>0.1589486175760054</v>
      </c>
      <c r="AH12" s="25">
        <v>0.15366537412835979</v>
      </c>
      <c r="AI12" s="25">
        <v>0.14990712476416718</v>
      </c>
      <c r="AJ12" s="25">
        <v>0.13763389763992648</v>
      </c>
    </row>
    <row r="13" spans="1:36" ht="12" x14ac:dyDescent="0.25">
      <c r="E13" s="1" t="s">
        <v>443</v>
      </c>
    </row>
    <row r="14" spans="1:36" ht="12" x14ac:dyDescent="0.2">
      <c r="E14" t="s">
        <v>444</v>
      </c>
      <c r="F14" s="19">
        <f>F15+(F16*$F$5)+(F17*$F$6)</f>
        <v>476.61335000000003</v>
      </c>
      <c r="G14" s="18">
        <f t="shared" ref="G14:V17" si="0">F14</f>
        <v>476.61335000000003</v>
      </c>
      <c r="H14" s="18">
        <f t="shared" si="0"/>
        <v>476.61335000000003</v>
      </c>
      <c r="I14" s="18">
        <f t="shared" si="0"/>
        <v>476.61335000000003</v>
      </c>
      <c r="J14" s="18">
        <f t="shared" si="0"/>
        <v>476.61335000000003</v>
      </c>
      <c r="K14" s="18">
        <f t="shared" si="0"/>
        <v>476.61335000000003</v>
      </c>
      <c r="L14" s="18">
        <f t="shared" si="0"/>
        <v>476.61335000000003</v>
      </c>
      <c r="M14" s="18">
        <f t="shared" si="0"/>
        <v>476.61335000000003</v>
      </c>
      <c r="N14" s="18">
        <f t="shared" si="0"/>
        <v>476.61335000000003</v>
      </c>
      <c r="O14" s="18">
        <f t="shared" si="0"/>
        <v>476.61335000000003</v>
      </c>
      <c r="P14" s="18">
        <f t="shared" si="0"/>
        <v>476.61335000000003</v>
      </c>
      <c r="Q14" s="18">
        <f t="shared" si="0"/>
        <v>476.61335000000003</v>
      </c>
      <c r="R14" s="18">
        <f t="shared" si="0"/>
        <v>476.61335000000003</v>
      </c>
      <c r="S14" s="18">
        <f t="shared" si="0"/>
        <v>476.61335000000003</v>
      </c>
      <c r="T14" s="18">
        <f t="shared" si="0"/>
        <v>476.61335000000003</v>
      </c>
      <c r="U14" s="18">
        <f t="shared" si="0"/>
        <v>476.61335000000003</v>
      </c>
      <c r="V14" s="18">
        <f t="shared" si="0"/>
        <v>476.61335000000003</v>
      </c>
      <c r="W14" s="18">
        <f t="shared" ref="W14:AJ17" si="1">V14</f>
        <v>476.61335000000003</v>
      </c>
      <c r="X14" s="18">
        <f t="shared" si="1"/>
        <v>476.61335000000003</v>
      </c>
      <c r="Y14" s="18">
        <f t="shared" si="1"/>
        <v>476.61335000000003</v>
      </c>
      <c r="Z14" s="18">
        <f t="shared" si="1"/>
        <v>476.61335000000003</v>
      </c>
      <c r="AA14" s="18">
        <f t="shared" si="1"/>
        <v>476.61335000000003</v>
      </c>
      <c r="AB14" s="18">
        <f t="shared" si="1"/>
        <v>476.61335000000003</v>
      </c>
      <c r="AC14" s="18">
        <f t="shared" si="1"/>
        <v>476.61335000000003</v>
      </c>
      <c r="AD14" s="18">
        <f t="shared" si="1"/>
        <v>476.61335000000003</v>
      </c>
      <c r="AE14" s="18">
        <f t="shared" si="1"/>
        <v>476.61335000000003</v>
      </c>
      <c r="AF14" s="18">
        <f t="shared" si="1"/>
        <v>476.61335000000003</v>
      </c>
      <c r="AG14" s="18">
        <f t="shared" si="1"/>
        <v>476.61335000000003</v>
      </c>
      <c r="AH14" s="18">
        <f t="shared" si="1"/>
        <v>476.61335000000003</v>
      </c>
      <c r="AI14" s="18">
        <f t="shared" si="1"/>
        <v>476.61335000000003</v>
      </c>
      <c r="AJ14" s="18">
        <f t="shared" si="1"/>
        <v>476.61335000000003</v>
      </c>
    </row>
    <row r="15" spans="1:36" ht="12" x14ac:dyDescent="0.2">
      <c r="E15" t="s">
        <v>445</v>
      </c>
      <c r="F15" s="16">
        <v>450</v>
      </c>
      <c r="G15" s="18">
        <f t="shared" si="0"/>
        <v>450</v>
      </c>
      <c r="H15" s="18">
        <f t="shared" si="0"/>
        <v>450</v>
      </c>
      <c r="I15" s="18">
        <f t="shared" si="0"/>
        <v>450</v>
      </c>
      <c r="J15" s="18">
        <f t="shared" si="0"/>
        <v>450</v>
      </c>
      <c r="K15" s="18">
        <f t="shared" si="0"/>
        <v>450</v>
      </c>
      <c r="L15" s="18">
        <f t="shared" si="0"/>
        <v>450</v>
      </c>
      <c r="M15" s="18">
        <f t="shared" si="0"/>
        <v>450</v>
      </c>
      <c r="N15" s="18">
        <f t="shared" si="0"/>
        <v>450</v>
      </c>
      <c r="O15" s="18">
        <f t="shared" si="0"/>
        <v>450</v>
      </c>
      <c r="P15" s="18">
        <f t="shared" si="0"/>
        <v>450</v>
      </c>
      <c r="Q15" s="18">
        <f t="shared" si="0"/>
        <v>450</v>
      </c>
      <c r="R15" s="18">
        <f t="shared" si="0"/>
        <v>450</v>
      </c>
      <c r="S15" s="18">
        <f t="shared" si="0"/>
        <v>450</v>
      </c>
      <c r="T15" s="18">
        <f t="shared" si="0"/>
        <v>450</v>
      </c>
      <c r="U15" s="18">
        <f t="shared" si="0"/>
        <v>450</v>
      </c>
      <c r="V15" s="18">
        <f t="shared" si="0"/>
        <v>450</v>
      </c>
      <c r="W15" s="18">
        <f t="shared" si="1"/>
        <v>450</v>
      </c>
      <c r="X15" s="18">
        <f t="shared" si="1"/>
        <v>450</v>
      </c>
      <c r="Y15" s="18">
        <f t="shared" si="1"/>
        <v>450</v>
      </c>
      <c r="Z15" s="18">
        <f t="shared" si="1"/>
        <v>450</v>
      </c>
      <c r="AA15" s="18">
        <f t="shared" si="1"/>
        <v>450</v>
      </c>
      <c r="AB15" s="18">
        <f t="shared" si="1"/>
        <v>450</v>
      </c>
      <c r="AC15" s="18">
        <f t="shared" si="1"/>
        <v>450</v>
      </c>
      <c r="AD15" s="18">
        <f t="shared" si="1"/>
        <v>450</v>
      </c>
      <c r="AE15" s="18">
        <f t="shared" si="1"/>
        <v>450</v>
      </c>
      <c r="AF15" s="18">
        <f t="shared" si="1"/>
        <v>450</v>
      </c>
      <c r="AG15" s="18">
        <f t="shared" si="1"/>
        <v>450</v>
      </c>
      <c r="AH15" s="18">
        <f t="shared" si="1"/>
        <v>450</v>
      </c>
      <c r="AI15" s="18">
        <f t="shared" si="1"/>
        <v>450</v>
      </c>
      <c r="AJ15" s="18">
        <f t="shared" si="1"/>
        <v>450</v>
      </c>
    </row>
    <row r="16" spans="1:36" ht="12" x14ac:dyDescent="0.2">
      <c r="E16" t="s">
        <v>446</v>
      </c>
      <c r="F16" s="15">
        <v>0.89</v>
      </c>
      <c r="G16" s="17">
        <f t="shared" si="0"/>
        <v>0.89</v>
      </c>
      <c r="H16" s="17">
        <f t="shared" si="0"/>
        <v>0.89</v>
      </c>
      <c r="I16" s="17">
        <f t="shared" si="0"/>
        <v>0.89</v>
      </c>
      <c r="J16" s="17">
        <f t="shared" si="0"/>
        <v>0.89</v>
      </c>
      <c r="K16" s="17">
        <f t="shared" si="0"/>
        <v>0.89</v>
      </c>
      <c r="L16" s="17">
        <f t="shared" si="0"/>
        <v>0.89</v>
      </c>
      <c r="M16" s="17">
        <f t="shared" si="0"/>
        <v>0.89</v>
      </c>
      <c r="N16" s="17">
        <f t="shared" si="0"/>
        <v>0.89</v>
      </c>
      <c r="O16" s="17">
        <f t="shared" si="0"/>
        <v>0.89</v>
      </c>
      <c r="P16" s="17">
        <f t="shared" si="0"/>
        <v>0.89</v>
      </c>
      <c r="Q16" s="17">
        <f t="shared" si="0"/>
        <v>0.89</v>
      </c>
      <c r="R16" s="17">
        <f t="shared" si="0"/>
        <v>0.89</v>
      </c>
      <c r="S16" s="17">
        <f t="shared" si="0"/>
        <v>0.89</v>
      </c>
      <c r="T16" s="17">
        <f t="shared" si="0"/>
        <v>0.89</v>
      </c>
      <c r="U16" s="17">
        <f t="shared" si="0"/>
        <v>0.89</v>
      </c>
      <c r="V16" s="17">
        <f t="shared" si="0"/>
        <v>0.89</v>
      </c>
      <c r="W16" s="17">
        <f t="shared" si="1"/>
        <v>0.89</v>
      </c>
      <c r="X16" s="17">
        <f t="shared" si="1"/>
        <v>0.89</v>
      </c>
      <c r="Y16" s="17">
        <f t="shared" si="1"/>
        <v>0.89</v>
      </c>
      <c r="Z16" s="17">
        <f t="shared" si="1"/>
        <v>0.89</v>
      </c>
      <c r="AA16" s="17">
        <f t="shared" si="1"/>
        <v>0.89</v>
      </c>
      <c r="AB16" s="17">
        <f t="shared" si="1"/>
        <v>0.89</v>
      </c>
      <c r="AC16" s="17">
        <f t="shared" si="1"/>
        <v>0.89</v>
      </c>
      <c r="AD16" s="17">
        <f t="shared" si="1"/>
        <v>0.89</v>
      </c>
      <c r="AE16" s="17">
        <f t="shared" si="1"/>
        <v>0.89</v>
      </c>
      <c r="AF16" s="17">
        <f t="shared" si="1"/>
        <v>0.89</v>
      </c>
      <c r="AG16" s="17">
        <f t="shared" si="1"/>
        <v>0.89</v>
      </c>
      <c r="AH16" s="17">
        <f t="shared" si="1"/>
        <v>0.89</v>
      </c>
      <c r="AI16" s="17">
        <f t="shared" si="1"/>
        <v>0.89</v>
      </c>
      <c r="AJ16" s="17">
        <f t="shared" si="1"/>
        <v>0.89</v>
      </c>
    </row>
    <row r="17" spans="1:36" ht="12" x14ac:dyDescent="0.2">
      <c r="E17" t="s">
        <v>447</v>
      </c>
      <c r="F17" s="15">
        <v>6.3899999999999998E-3</v>
      </c>
      <c r="G17" s="17">
        <f t="shared" si="0"/>
        <v>6.3899999999999998E-3</v>
      </c>
      <c r="H17" s="17">
        <f t="shared" si="0"/>
        <v>6.3899999999999998E-3</v>
      </c>
      <c r="I17" s="17">
        <f t="shared" si="0"/>
        <v>6.3899999999999998E-3</v>
      </c>
      <c r="J17" s="17">
        <f t="shared" si="0"/>
        <v>6.3899999999999998E-3</v>
      </c>
      <c r="K17" s="17">
        <f t="shared" si="0"/>
        <v>6.3899999999999998E-3</v>
      </c>
      <c r="L17" s="17">
        <f t="shared" si="0"/>
        <v>6.3899999999999998E-3</v>
      </c>
      <c r="M17" s="17">
        <f t="shared" si="0"/>
        <v>6.3899999999999998E-3</v>
      </c>
      <c r="N17" s="17">
        <f t="shared" si="0"/>
        <v>6.3899999999999998E-3</v>
      </c>
      <c r="O17" s="17">
        <f t="shared" si="0"/>
        <v>6.3899999999999998E-3</v>
      </c>
      <c r="P17" s="17">
        <f t="shared" si="0"/>
        <v>6.3899999999999998E-3</v>
      </c>
      <c r="Q17" s="17">
        <f t="shared" si="0"/>
        <v>6.3899999999999998E-3</v>
      </c>
      <c r="R17" s="17">
        <f t="shared" si="0"/>
        <v>6.3899999999999998E-3</v>
      </c>
      <c r="S17" s="17">
        <f t="shared" si="0"/>
        <v>6.3899999999999998E-3</v>
      </c>
      <c r="T17" s="17">
        <f t="shared" si="0"/>
        <v>6.3899999999999998E-3</v>
      </c>
      <c r="U17" s="17">
        <f t="shared" si="0"/>
        <v>6.3899999999999998E-3</v>
      </c>
      <c r="V17" s="17">
        <f t="shared" si="0"/>
        <v>6.3899999999999998E-3</v>
      </c>
      <c r="W17" s="17">
        <f t="shared" si="1"/>
        <v>6.3899999999999998E-3</v>
      </c>
      <c r="X17" s="17">
        <f t="shared" si="1"/>
        <v>6.3899999999999998E-3</v>
      </c>
      <c r="Y17" s="17">
        <f t="shared" si="1"/>
        <v>6.3899999999999998E-3</v>
      </c>
      <c r="Z17" s="17">
        <f t="shared" si="1"/>
        <v>6.3899999999999998E-3</v>
      </c>
      <c r="AA17" s="17">
        <f t="shared" si="1"/>
        <v>6.3899999999999998E-3</v>
      </c>
      <c r="AB17" s="17">
        <f t="shared" si="1"/>
        <v>6.3899999999999998E-3</v>
      </c>
      <c r="AC17" s="17">
        <f t="shared" si="1"/>
        <v>6.3899999999999998E-3</v>
      </c>
      <c r="AD17" s="17">
        <f t="shared" si="1"/>
        <v>6.3899999999999998E-3</v>
      </c>
      <c r="AE17" s="17">
        <f t="shared" si="1"/>
        <v>6.3899999999999998E-3</v>
      </c>
      <c r="AF17" s="17">
        <f t="shared" si="1"/>
        <v>6.3899999999999998E-3</v>
      </c>
      <c r="AG17" s="17">
        <f t="shared" si="1"/>
        <v>6.3899999999999998E-3</v>
      </c>
      <c r="AH17" s="17">
        <f t="shared" si="1"/>
        <v>6.3899999999999998E-3</v>
      </c>
      <c r="AI17" s="17">
        <f t="shared" si="1"/>
        <v>6.3899999999999998E-3</v>
      </c>
      <c r="AJ17" s="17">
        <f t="shared" si="1"/>
        <v>6.3899999999999998E-3</v>
      </c>
    </row>
    <row r="18" spans="1:36" ht="12" x14ac:dyDescent="0.2">
      <c r="E18" t="s">
        <v>448</v>
      </c>
      <c r="F18" s="19">
        <f>F19+(F20*$F$5)+(F21*$F$6)</f>
        <v>1104.0765999999999</v>
      </c>
      <c r="G18" s="18">
        <f>F18</f>
        <v>1104.0765999999999</v>
      </c>
      <c r="H18" s="18">
        <f t="shared" ref="H18:AJ21" si="2">G18</f>
        <v>1104.0765999999999</v>
      </c>
      <c r="I18" s="18">
        <f t="shared" si="2"/>
        <v>1104.0765999999999</v>
      </c>
      <c r="J18" s="18">
        <f t="shared" si="2"/>
        <v>1104.0765999999999</v>
      </c>
      <c r="K18" s="18">
        <f t="shared" si="2"/>
        <v>1104.0765999999999</v>
      </c>
      <c r="L18" s="18">
        <f t="shared" si="2"/>
        <v>1104.0765999999999</v>
      </c>
      <c r="M18" s="18">
        <f t="shared" si="2"/>
        <v>1104.0765999999999</v>
      </c>
      <c r="N18" s="18">
        <f t="shared" si="2"/>
        <v>1104.0765999999999</v>
      </c>
      <c r="O18" s="18">
        <f t="shared" si="2"/>
        <v>1104.0765999999999</v>
      </c>
      <c r="P18" s="18">
        <f t="shared" si="2"/>
        <v>1104.0765999999999</v>
      </c>
      <c r="Q18" s="18">
        <f t="shared" si="2"/>
        <v>1104.0765999999999</v>
      </c>
      <c r="R18" s="18">
        <f t="shared" si="2"/>
        <v>1104.0765999999999</v>
      </c>
      <c r="S18" s="18">
        <f t="shared" si="2"/>
        <v>1104.0765999999999</v>
      </c>
      <c r="T18" s="18">
        <f t="shared" si="2"/>
        <v>1104.0765999999999</v>
      </c>
      <c r="U18" s="18">
        <f t="shared" si="2"/>
        <v>1104.0765999999999</v>
      </c>
      <c r="V18" s="18">
        <f t="shared" si="2"/>
        <v>1104.0765999999999</v>
      </c>
      <c r="W18" s="18">
        <f t="shared" si="2"/>
        <v>1104.0765999999999</v>
      </c>
      <c r="X18" s="18">
        <f t="shared" si="2"/>
        <v>1104.0765999999999</v>
      </c>
      <c r="Y18" s="18">
        <f t="shared" si="2"/>
        <v>1104.0765999999999</v>
      </c>
      <c r="Z18" s="18">
        <f t="shared" si="2"/>
        <v>1104.0765999999999</v>
      </c>
      <c r="AA18" s="18">
        <f t="shared" si="2"/>
        <v>1104.0765999999999</v>
      </c>
      <c r="AB18" s="18">
        <f t="shared" si="2"/>
        <v>1104.0765999999999</v>
      </c>
      <c r="AC18" s="18">
        <f t="shared" si="2"/>
        <v>1104.0765999999999</v>
      </c>
      <c r="AD18" s="18">
        <f t="shared" si="2"/>
        <v>1104.0765999999999</v>
      </c>
      <c r="AE18" s="18">
        <f t="shared" si="2"/>
        <v>1104.0765999999999</v>
      </c>
      <c r="AF18" s="18">
        <f t="shared" si="2"/>
        <v>1104.0765999999999</v>
      </c>
      <c r="AG18" s="18">
        <f t="shared" si="2"/>
        <v>1104.0765999999999</v>
      </c>
      <c r="AH18" s="18">
        <f t="shared" si="2"/>
        <v>1104.0765999999999</v>
      </c>
      <c r="AI18" s="18">
        <f t="shared" si="2"/>
        <v>1104.0765999999999</v>
      </c>
      <c r="AJ18" s="18">
        <f t="shared" si="2"/>
        <v>1104.0765999999999</v>
      </c>
    </row>
    <row r="19" spans="1:36" ht="12" x14ac:dyDescent="0.2">
      <c r="E19" t="s">
        <v>449</v>
      </c>
      <c r="F19" s="16">
        <v>1050</v>
      </c>
      <c r="G19" s="18">
        <f>F19</f>
        <v>1050</v>
      </c>
      <c r="H19" s="18">
        <f t="shared" si="2"/>
        <v>1050</v>
      </c>
      <c r="I19" s="18">
        <f t="shared" si="2"/>
        <v>1050</v>
      </c>
      <c r="J19" s="18">
        <f t="shared" si="2"/>
        <v>1050</v>
      </c>
      <c r="K19" s="18">
        <f t="shared" si="2"/>
        <v>1050</v>
      </c>
      <c r="L19" s="18">
        <f t="shared" si="2"/>
        <v>1050</v>
      </c>
      <c r="M19" s="18">
        <f t="shared" si="2"/>
        <v>1050</v>
      </c>
      <c r="N19" s="18">
        <f t="shared" si="2"/>
        <v>1050</v>
      </c>
      <c r="O19" s="18">
        <f t="shared" si="2"/>
        <v>1050</v>
      </c>
      <c r="P19" s="18">
        <f t="shared" si="2"/>
        <v>1050</v>
      </c>
      <c r="Q19" s="18">
        <f t="shared" si="2"/>
        <v>1050</v>
      </c>
      <c r="R19" s="18">
        <f t="shared" si="2"/>
        <v>1050</v>
      </c>
      <c r="S19" s="18">
        <f t="shared" si="2"/>
        <v>1050</v>
      </c>
      <c r="T19" s="18">
        <f t="shared" si="2"/>
        <v>1050</v>
      </c>
      <c r="U19" s="18">
        <f t="shared" si="2"/>
        <v>1050</v>
      </c>
      <c r="V19" s="18">
        <f t="shared" si="2"/>
        <v>1050</v>
      </c>
      <c r="W19" s="18">
        <f t="shared" si="2"/>
        <v>1050</v>
      </c>
      <c r="X19" s="18">
        <f t="shared" si="2"/>
        <v>1050</v>
      </c>
      <c r="Y19" s="18">
        <f t="shared" si="2"/>
        <v>1050</v>
      </c>
      <c r="Z19" s="18">
        <f t="shared" si="2"/>
        <v>1050</v>
      </c>
      <c r="AA19" s="18">
        <f t="shared" si="2"/>
        <v>1050</v>
      </c>
      <c r="AB19" s="18">
        <f t="shared" si="2"/>
        <v>1050</v>
      </c>
      <c r="AC19" s="18">
        <f t="shared" si="2"/>
        <v>1050</v>
      </c>
      <c r="AD19" s="18">
        <f t="shared" si="2"/>
        <v>1050</v>
      </c>
      <c r="AE19" s="18">
        <f t="shared" si="2"/>
        <v>1050</v>
      </c>
      <c r="AF19" s="18">
        <f t="shared" si="2"/>
        <v>1050</v>
      </c>
      <c r="AG19" s="18">
        <f t="shared" si="2"/>
        <v>1050</v>
      </c>
      <c r="AH19" s="18">
        <f t="shared" si="2"/>
        <v>1050</v>
      </c>
      <c r="AI19" s="18">
        <f t="shared" si="2"/>
        <v>1050</v>
      </c>
      <c r="AJ19" s="18">
        <f t="shared" si="2"/>
        <v>1050</v>
      </c>
    </row>
    <row r="20" spans="1:36" ht="12" x14ac:dyDescent="0.2">
      <c r="E20" t="s">
        <v>450</v>
      </c>
      <c r="F20" s="15">
        <v>1.7</v>
      </c>
      <c r="G20" s="17">
        <f>F20</f>
        <v>1.7</v>
      </c>
      <c r="H20" s="17">
        <f t="shared" si="2"/>
        <v>1.7</v>
      </c>
      <c r="I20" s="17">
        <f t="shared" si="2"/>
        <v>1.7</v>
      </c>
      <c r="J20" s="17">
        <f t="shared" si="2"/>
        <v>1.7</v>
      </c>
      <c r="K20" s="17">
        <f t="shared" si="2"/>
        <v>1.7</v>
      </c>
      <c r="L20" s="17">
        <f t="shared" si="2"/>
        <v>1.7</v>
      </c>
      <c r="M20" s="17">
        <f t="shared" si="2"/>
        <v>1.7</v>
      </c>
      <c r="N20" s="17">
        <f t="shared" si="2"/>
        <v>1.7</v>
      </c>
      <c r="O20" s="17">
        <f t="shared" si="2"/>
        <v>1.7</v>
      </c>
      <c r="P20" s="17">
        <f t="shared" si="2"/>
        <v>1.7</v>
      </c>
      <c r="Q20" s="17">
        <f t="shared" si="2"/>
        <v>1.7</v>
      </c>
      <c r="R20" s="17">
        <f t="shared" si="2"/>
        <v>1.7</v>
      </c>
      <c r="S20" s="17">
        <f t="shared" si="2"/>
        <v>1.7</v>
      </c>
      <c r="T20" s="17">
        <f t="shared" si="2"/>
        <v>1.7</v>
      </c>
      <c r="U20" s="17">
        <f t="shared" si="2"/>
        <v>1.7</v>
      </c>
      <c r="V20" s="17">
        <f t="shared" si="2"/>
        <v>1.7</v>
      </c>
      <c r="W20" s="17">
        <f t="shared" si="2"/>
        <v>1.7</v>
      </c>
      <c r="X20" s="17">
        <f t="shared" si="2"/>
        <v>1.7</v>
      </c>
      <c r="Y20" s="17">
        <f t="shared" si="2"/>
        <v>1.7</v>
      </c>
      <c r="Z20" s="17">
        <f t="shared" si="2"/>
        <v>1.7</v>
      </c>
      <c r="AA20" s="17">
        <f t="shared" si="2"/>
        <v>1.7</v>
      </c>
      <c r="AB20" s="17">
        <f t="shared" si="2"/>
        <v>1.7</v>
      </c>
      <c r="AC20" s="17">
        <f t="shared" si="2"/>
        <v>1.7</v>
      </c>
      <c r="AD20" s="17">
        <f t="shared" si="2"/>
        <v>1.7</v>
      </c>
      <c r="AE20" s="17">
        <f t="shared" si="2"/>
        <v>1.7</v>
      </c>
      <c r="AF20" s="17">
        <f t="shared" si="2"/>
        <v>1.7</v>
      </c>
      <c r="AG20" s="17">
        <f t="shared" si="2"/>
        <v>1.7</v>
      </c>
      <c r="AH20" s="17">
        <f t="shared" si="2"/>
        <v>1.7</v>
      </c>
      <c r="AI20" s="17">
        <f t="shared" si="2"/>
        <v>1.7</v>
      </c>
      <c r="AJ20" s="17">
        <f t="shared" si="2"/>
        <v>1.7</v>
      </c>
    </row>
    <row r="21" spans="1:36" ht="12" x14ac:dyDescent="0.2">
      <c r="E21" t="s">
        <v>451</v>
      </c>
      <c r="F21" s="15">
        <v>2.444E-2</v>
      </c>
      <c r="G21" s="17">
        <f>F21</f>
        <v>2.444E-2</v>
      </c>
      <c r="H21" s="17">
        <f t="shared" si="2"/>
        <v>2.444E-2</v>
      </c>
      <c r="I21" s="17">
        <f t="shared" si="2"/>
        <v>2.444E-2</v>
      </c>
      <c r="J21" s="17">
        <f t="shared" si="2"/>
        <v>2.444E-2</v>
      </c>
      <c r="K21" s="17">
        <f t="shared" si="2"/>
        <v>2.444E-2</v>
      </c>
      <c r="L21" s="17">
        <f t="shared" si="2"/>
        <v>2.444E-2</v>
      </c>
      <c r="M21" s="17">
        <f t="shared" si="2"/>
        <v>2.444E-2</v>
      </c>
      <c r="N21" s="17">
        <f t="shared" si="2"/>
        <v>2.444E-2</v>
      </c>
      <c r="O21" s="17">
        <f t="shared" si="2"/>
        <v>2.444E-2</v>
      </c>
      <c r="P21" s="17">
        <f t="shared" si="2"/>
        <v>2.444E-2</v>
      </c>
      <c r="Q21" s="17">
        <f t="shared" si="2"/>
        <v>2.444E-2</v>
      </c>
      <c r="R21" s="17">
        <f t="shared" si="2"/>
        <v>2.444E-2</v>
      </c>
      <c r="S21" s="17">
        <f t="shared" si="2"/>
        <v>2.444E-2</v>
      </c>
      <c r="T21" s="17">
        <f t="shared" si="2"/>
        <v>2.444E-2</v>
      </c>
      <c r="U21" s="17">
        <f t="shared" si="2"/>
        <v>2.444E-2</v>
      </c>
      <c r="V21" s="17">
        <f t="shared" si="2"/>
        <v>2.444E-2</v>
      </c>
      <c r="W21" s="17">
        <f t="shared" si="2"/>
        <v>2.444E-2</v>
      </c>
      <c r="X21" s="17">
        <f t="shared" si="2"/>
        <v>2.444E-2</v>
      </c>
      <c r="Y21" s="17">
        <f t="shared" si="2"/>
        <v>2.444E-2</v>
      </c>
      <c r="Z21" s="17">
        <f t="shared" si="2"/>
        <v>2.444E-2</v>
      </c>
      <c r="AA21" s="17">
        <f t="shared" si="2"/>
        <v>2.444E-2</v>
      </c>
      <c r="AB21" s="17">
        <f t="shared" si="2"/>
        <v>2.444E-2</v>
      </c>
      <c r="AC21" s="17">
        <f t="shared" si="2"/>
        <v>2.444E-2</v>
      </c>
      <c r="AD21" s="17">
        <f t="shared" si="2"/>
        <v>2.444E-2</v>
      </c>
      <c r="AE21" s="17">
        <f t="shared" si="2"/>
        <v>2.444E-2</v>
      </c>
      <c r="AF21" s="17">
        <f t="shared" si="2"/>
        <v>2.444E-2</v>
      </c>
      <c r="AG21" s="17">
        <f t="shared" si="2"/>
        <v>2.444E-2</v>
      </c>
      <c r="AH21" s="17">
        <f t="shared" si="2"/>
        <v>2.444E-2</v>
      </c>
      <c r="AI21" s="17">
        <f t="shared" si="2"/>
        <v>2.444E-2</v>
      </c>
      <c r="AJ21" s="17">
        <f t="shared" si="2"/>
        <v>2.444E-2</v>
      </c>
    </row>
    <row r="22" spans="1:36" ht="12" x14ac:dyDescent="0.25">
      <c r="A22" s="141"/>
      <c r="B22" s="141"/>
      <c r="C22" s="141"/>
      <c r="E22" s="1" t="s">
        <v>452</v>
      </c>
    </row>
    <row r="23" spans="1:36" ht="12" x14ac:dyDescent="0.2">
      <c r="A23" s="289" t="s">
        <v>453</v>
      </c>
      <c r="B23" s="141"/>
      <c r="C23" s="141"/>
      <c r="E23" t="s">
        <v>140</v>
      </c>
      <c r="F23" s="49"/>
      <c r="G23" s="49"/>
      <c r="H23" s="21">
        <f t="shared" ref="H23:AJ23" si="3">(H$10*0)+(H$11*H14)+(H$12*H18)</f>
        <v>727.81580712318316</v>
      </c>
      <c r="I23" s="21">
        <f t="shared" si="3"/>
        <v>716.98738149116343</v>
      </c>
      <c r="J23" s="21">
        <f t="shared" si="3"/>
        <v>687.09587404167189</v>
      </c>
      <c r="K23" s="21">
        <f t="shared" si="3"/>
        <v>674.4375965620311</v>
      </c>
      <c r="L23" s="21">
        <f t="shared" si="3"/>
        <v>582.05817371438718</v>
      </c>
      <c r="M23" s="21">
        <f t="shared" si="3"/>
        <v>472.44135607615794</v>
      </c>
      <c r="N23" s="21">
        <f t="shared" si="3"/>
        <v>431.13681613449222</v>
      </c>
      <c r="O23" s="21">
        <f t="shared" si="3"/>
        <v>374.82700623051409</v>
      </c>
      <c r="P23" s="21">
        <f t="shared" si="3"/>
        <v>313.32238923505827</v>
      </c>
      <c r="Q23" s="21">
        <f t="shared" si="3"/>
        <v>301.06727242636458</v>
      </c>
      <c r="R23" s="21">
        <f t="shared" si="3"/>
        <v>282.26666527720243</v>
      </c>
      <c r="S23" s="21">
        <f t="shared" si="3"/>
        <v>276.15737631517419</v>
      </c>
      <c r="T23" s="21">
        <f t="shared" si="3"/>
        <v>260.76946066971425</v>
      </c>
      <c r="U23" s="21">
        <f t="shared" si="3"/>
        <v>258.01406896804025</v>
      </c>
      <c r="V23" s="21">
        <f t="shared" si="3"/>
        <v>271.75489463451208</v>
      </c>
      <c r="W23" s="21">
        <f t="shared" si="3"/>
        <v>278.87976408048519</v>
      </c>
      <c r="X23" s="21">
        <f t="shared" si="3"/>
        <v>283.53170989611812</v>
      </c>
      <c r="Y23" s="21">
        <f t="shared" si="3"/>
        <v>275.34555620538902</v>
      </c>
      <c r="Z23" s="21">
        <f t="shared" si="3"/>
        <v>271.97554548189527</v>
      </c>
      <c r="AA23" s="21">
        <f t="shared" si="3"/>
        <v>275.53686059161805</v>
      </c>
      <c r="AB23" s="21">
        <f t="shared" si="3"/>
        <v>276.34848781986847</v>
      </c>
      <c r="AC23" s="21">
        <f t="shared" si="3"/>
        <v>274.09918732940775</v>
      </c>
      <c r="AD23" s="21">
        <f t="shared" si="3"/>
        <v>274.71997658367638</v>
      </c>
      <c r="AE23" s="21">
        <f t="shared" si="3"/>
        <v>261.43574639021381</v>
      </c>
      <c r="AF23" s="21">
        <f t="shared" si="3"/>
        <v>252.03488653294062</v>
      </c>
      <c r="AG23" s="21">
        <f t="shared" si="3"/>
        <v>253.33266195594183</v>
      </c>
      <c r="AH23" s="21">
        <f t="shared" si="3"/>
        <v>250.24302106740177</v>
      </c>
      <c r="AI23" s="21">
        <f t="shared" si="3"/>
        <v>246.94667880473168</v>
      </c>
      <c r="AJ23" s="21">
        <f t="shared" si="3"/>
        <v>234.54592399318315</v>
      </c>
    </row>
    <row r="24" spans="1:36" ht="12" x14ac:dyDescent="0.2">
      <c r="A24" s="289"/>
      <c r="B24" s="141"/>
      <c r="C24" s="141"/>
      <c r="E24" s="96" t="s">
        <v>186</v>
      </c>
      <c r="F24" s="294"/>
      <c r="G24" s="294"/>
      <c r="H24" s="267">
        <f>(H$10*0)+(H$11*H15)+(H$12*H19)</f>
        <v>691.45368007839579</v>
      </c>
      <c r="I24" s="267">
        <f t="shared" ref="I24:AJ24" si="4">(I$10*0)+(I$11*I15)+(I$12*I19)</f>
        <v>681.19911190512835</v>
      </c>
      <c r="J24" s="267">
        <f t="shared" si="4"/>
        <v>652.78997632915821</v>
      </c>
      <c r="K24" s="267">
        <f t="shared" si="4"/>
        <v>640.79660002226535</v>
      </c>
      <c r="L24" s="267">
        <f t="shared" si="4"/>
        <v>553.02832181516487</v>
      </c>
      <c r="M24" s="267">
        <f t="shared" si="4"/>
        <v>448.80685095313038</v>
      </c>
      <c r="N24" s="267">
        <f t="shared" si="4"/>
        <v>409.50170597912216</v>
      </c>
      <c r="O24" s="267">
        <f t="shared" si="4"/>
        <v>355.98987072235184</v>
      </c>
      <c r="P24" s="267">
        <f t="shared" si="4"/>
        <v>297.48529908555082</v>
      </c>
      <c r="Q24" s="267">
        <f t="shared" si="4"/>
        <v>285.84496597612434</v>
      </c>
      <c r="R24" s="267">
        <f t="shared" si="4"/>
        <v>267.96576036693767</v>
      </c>
      <c r="S24" s="267">
        <f t="shared" si="4"/>
        <v>262.19170320363099</v>
      </c>
      <c r="T24" s="267">
        <f t="shared" si="4"/>
        <v>247.55721832857589</v>
      </c>
      <c r="U24" s="267">
        <f t="shared" si="4"/>
        <v>244.93751037240514</v>
      </c>
      <c r="V24" s="267">
        <f t="shared" si="4"/>
        <v>258.00470171185134</v>
      </c>
      <c r="W24" s="267">
        <f t="shared" si="4"/>
        <v>264.79924930171956</v>
      </c>
      <c r="X24" s="267">
        <f t="shared" si="4"/>
        <v>269.19709559692501</v>
      </c>
      <c r="Y24" s="267">
        <f t="shared" si="4"/>
        <v>261.40645634267912</v>
      </c>
      <c r="Z24" s="267">
        <f t="shared" si="4"/>
        <v>258.18853274719834</v>
      </c>
      <c r="AA24" s="267">
        <f t="shared" si="4"/>
        <v>261.57943826850982</v>
      </c>
      <c r="AB24" s="267">
        <f t="shared" si="4"/>
        <v>262.3486086287819</v>
      </c>
      <c r="AC24" s="267">
        <f t="shared" si="4"/>
        <v>260.20465247412636</v>
      </c>
      <c r="AD24" s="267">
        <f t="shared" si="4"/>
        <v>260.78482109384692</v>
      </c>
      <c r="AE24" s="267">
        <f t="shared" si="4"/>
        <v>248.11838053015305</v>
      </c>
      <c r="AF24" s="267">
        <f t="shared" si="4"/>
        <v>239.184239735002</v>
      </c>
      <c r="AG24" s="267">
        <f t="shared" si="4"/>
        <v>240.39072859661562</v>
      </c>
      <c r="AH24" s="267">
        <f t="shared" si="4"/>
        <v>237.43359674535427</v>
      </c>
      <c r="AI24" s="267">
        <f t="shared" si="4"/>
        <v>234.29285467885859</v>
      </c>
      <c r="AJ24" s="267">
        <f t="shared" si="4"/>
        <v>222.49158964614372</v>
      </c>
    </row>
    <row r="25" spans="1:36" ht="12" x14ac:dyDescent="0.25">
      <c r="A25" s="141"/>
      <c r="B25" s="141"/>
      <c r="C25" s="141"/>
      <c r="E25" s="46" t="s">
        <v>454</v>
      </c>
      <c r="H25" s="51">
        <f>H23*(0.00220462*1000)</f>
        <v>1604.5572846999119</v>
      </c>
      <c r="I25" s="47">
        <f t="shared" ref="I25:AJ25" si="5">I23*(0.00220462*1000)</f>
        <v>1580.6847209830487</v>
      </c>
      <c r="J25" s="47">
        <f t="shared" si="5"/>
        <v>1514.7853058297505</v>
      </c>
      <c r="K25" s="47">
        <f t="shared" si="5"/>
        <v>1486.878614132585</v>
      </c>
      <c r="L25" s="47">
        <f t="shared" si="5"/>
        <v>1283.2170909342121</v>
      </c>
      <c r="M25" s="47">
        <f t="shared" si="5"/>
        <v>1041.5536624326191</v>
      </c>
      <c r="N25" s="47">
        <f t="shared" si="5"/>
        <v>950.4928475864242</v>
      </c>
      <c r="O25" s="47">
        <f t="shared" si="5"/>
        <v>826.35111447591589</v>
      </c>
      <c r="P25" s="47">
        <f t="shared" si="5"/>
        <v>690.75680575539411</v>
      </c>
      <c r="Q25" s="47">
        <f t="shared" si="5"/>
        <v>663.73893013661177</v>
      </c>
      <c r="R25" s="47">
        <f t="shared" si="5"/>
        <v>622.29073560342601</v>
      </c>
      <c r="S25" s="47">
        <f t="shared" si="5"/>
        <v>608.8220749719593</v>
      </c>
      <c r="T25" s="47">
        <f t="shared" si="5"/>
        <v>574.89756838166534</v>
      </c>
      <c r="U25" s="47">
        <f t="shared" si="5"/>
        <v>568.8229767283209</v>
      </c>
      <c r="V25" s="47">
        <f t="shared" si="5"/>
        <v>599.11627580913796</v>
      </c>
      <c r="W25" s="47">
        <f t="shared" si="5"/>
        <v>614.82390548711919</v>
      </c>
      <c r="X25" s="47">
        <f t="shared" si="5"/>
        <v>625.07967827117989</v>
      </c>
      <c r="Y25" s="47">
        <f t="shared" si="5"/>
        <v>607.03232012152466</v>
      </c>
      <c r="Z25" s="47">
        <f t="shared" si="5"/>
        <v>599.60272708029584</v>
      </c>
      <c r="AA25" s="47">
        <f t="shared" si="5"/>
        <v>607.45407359749288</v>
      </c>
      <c r="AB25" s="47">
        <f t="shared" si="5"/>
        <v>609.24340321743841</v>
      </c>
      <c r="AC25" s="47">
        <f t="shared" si="5"/>
        <v>604.28455037015885</v>
      </c>
      <c r="AD25" s="47">
        <f t="shared" si="5"/>
        <v>605.65315477590457</v>
      </c>
      <c r="AE25" s="47">
        <f t="shared" si="5"/>
        <v>576.3664752067931</v>
      </c>
      <c r="AF25" s="47">
        <f t="shared" si="5"/>
        <v>555.64115154825151</v>
      </c>
      <c r="AG25" s="47">
        <f t="shared" si="5"/>
        <v>558.50225320130846</v>
      </c>
      <c r="AH25" s="47">
        <f t="shared" si="5"/>
        <v>551.69076910561523</v>
      </c>
      <c r="AI25" s="47">
        <f t="shared" si="5"/>
        <v>544.42358702648755</v>
      </c>
      <c r="AJ25" s="47">
        <f t="shared" si="5"/>
        <v>517.08463495385138</v>
      </c>
    </row>
    <row r="26" spans="1:36" ht="12" x14ac:dyDescent="0.2">
      <c r="A26" s="141"/>
      <c r="B26" s="141"/>
      <c r="C26" s="141"/>
    </row>
    <row r="27" spans="1:36" ht="12" x14ac:dyDescent="0.2">
      <c r="A27" s="141"/>
      <c r="B27" s="141"/>
      <c r="C27" s="141"/>
    </row>
    <row r="28" spans="1:36" ht="12" x14ac:dyDescent="0.2">
      <c r="A28" s="141"/>
      <c r="B28" s="141"/>
      <c r="C28" s="141"/>
    </row>
    <row r="29" spans="1:36" ht="12" x14ac:dyDescent="0.2">
      <c r="A29" s="141"/>
      <c r="B29" s="141"/>
      <c r="C29" s="141"/>
    </row>
    <row r="30" spans="1:36" ht="12" x14ac:dyDescent="0.2">
      <c r="A30" s="142"/>
      <c r="B30" s="142"/>
      <c r="C30" s="142"/>
    </row>
    <row r="31" spans="1:36" ht="12" x14ac:dyDescent="0.2">
      <c r="A31" s="142"/>
      <c r="B31" s="142"/>
      <c r="C31" s="142"/>
    </row>
    <row r="32" spans="1:36" ht="12" x14ac:dyDescent="0.2">
      <c r="A32" s="142"/>
      <c r="B32" s="142"/>
      <c r="C32" s="142"/>
    </row>
    <row r="33" spans="1:3" ht="12" x14ac:dyDescent="0.2">
      <c r="A33" s="142"/>
      <c r="B33" s="142"/>
      <c r="C33" s="142"/>
    </row>
    <row r="34" spans="1:3" ht="12" x14ac:dyDescent="0.2">
      <c r="A34" s="142"/>
      <c r="B34" s="142"/>
      <c r="C34" s="142"/>
    </row>
    <row r="35" spans="1:3" ht="12" x14ac:dyDescent="0.2">
      <c r="A35" s="142"/>
      <c r="B35" s="142"/>
      <c r="C35" s="142"/>
    </row>
    <row r="36" spans="1:3" ht="12" x14ac:dyDescent="0.2">
      <c r="A36" s="142"/>
      <c r="B36" s="142"/>
      <c r="C36" s="142"/>
    </row>
    <row r="37" spans="1:3" ht="12" x14ac:dyDescent="0.2">
      <c r="A37" s="142"/>
      <c r="B37" s="142"/>
      <c r="C37" s="142"/>
    </row>
    <row r="38" spans="1:3" ht="12" x14ac:dyDescent="0.2">
      <c r="A38" s="142"/>
      <c r="B38" s="142"/>
      <c r="C38" s="142"/>
    </row>
    <row r="39" spans="1:3" ht="12" x14ac:dyDescent="0.2">
      <c r="A39" s="142"/>
      <c r="B39" s="142"/>
      <c r="C39" s="142"/>
    </row>
    <row r="40" spans="1:3" ht="12" x14ac:dyDescent="0.2">
      <c r="A40" s="142"/>
      <c r="B40" s="142"/>
      <c r="C40" s="142"/>
    </row>
    <row r="41" spans="1:3" ht="12" x14ac:dyDescent="0.2">
      <c r="A41" s="142"/>
      <c r="B41" s="142"/>
      <c r="C41" s="142"/>
    </row>
    <row r="42" spans="1:3" ht="12" x14ac:dyDescent="0.2">
      <c r="A42" s="142"/>
      <c r="B42" s="142"/>
      <c r="C42" s="142"/>
    </row>
    <row r="43" spans="1:3" ht="12" x14ac:dyDescent="0.2">
      <c r="A43" s="142"/>
      <c r="B43" s="142"/>
      <c r="C43" s="142"/>
    </row>
    <row r="44" spans="1:3" ht="12" x14ac:dyDescent="0.2">
      <c r="A44" s="142"/>
      <c r="B44" s="142"/>
      <c r="C44" s="142"/>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FA860-CBB0-48A5-9C67-0B1046C8440B}">
  <dimension ref="A1:AG64"/>
  <sheetViews>
    <sheetView workbookViewId="0">
      <selection activeCell="A2" sqref="A2"/>
    </sheetView>
  </sheetViews>
  <sheetFormatPr defaultRowHeight="11.4" x14ac:dyDescent="0.2"/>
  <cols>
    <col min="1" max="1" width="10.875" customWidth="1"/>
    <col min="2" max="2" width="49.625" customWidth="1"/>
    <col min="3" max="3" width="6.875" style="80" customWidth="1"/>
    <col min="4" max="4" width="7.125" customWidth="1"/>
    <col min="5" max="7" width="6.75" bestFit="1" customWidth="1"/>
    <col min="8" max="8" width="7.125" customWidth="1"/>
    <col min="9" max="33" width="6.75" bestFit="1" customWidth="1"/>
  </cols>
  <sheetData>
    <row r="1" spans="1:33" ht="12" x14ac:dyDescent="0.25">
      <c r="A1" s="1" t="s">
        <v>455</v>
      </c>
    </row>
    <row r="2" spans="1:33" ht="12" x14ac:dyDescent="0.25">
      <c r="B2" s="1"/>
      <c r="C2" s="81" t="s">
        <v>144</v>
      </c>
      <c r="D2" s="1" t="s">
        <v>122</v>
      </c>
      <c r="H2" s="1" t="s">
        <v>456</v>
      </c>
    </row>
    <row r="3" spans="1:33" ht="12" x14ac:dyDescent="0.2">
      <c r="B3" s="2"/>
      <c r="C3" s="82" t="s">
        <v>457</v>
      </c>
      <c r="D3" s="8" t="s">
        <v>458</v>
      </c>
      <c r="H3" s="94">
        <v>1000000</v>
      </c>
      <c r="I3" t="s">
        <v>459</v>
      </c>
    </row>
    <row r="4" spans="1:33" ht="12" x14ac:dyDescent="0.2">
      <c r="C4" s="82" t="s">
        <v>460</v>
      </c>
      <c r="D4" s="2" t="s">
        <v>461</v>
      </c>
      <c r="H4" s="94">
        <v>1000000000000</v>
      </c>
      <c r="I4" t="s">
        <v>462</v>
      </c>
    </row>
    <row r="5" spans="1:33" ht="12" x14ac:dyDescent="0.2">
      <c r="C5" s="82" t="s">
        <v>463</v>
      </c>
      <c r="D5" s="45" t="s">
        <v>464</v>
      </c>
    </row>
    <row r="6" spans="1:33" ht="12" x14ac:dyDescent="0.2">
      <c r="C6" s="82" t="s">
        <v>465</v>
      </c>
      <c r="D6" s="76" t="s">
        <v>466</v>
      </c>
    </row>
    <row r="7" spans="1:33" ht="12" x14ac:dyDescent="0.2">
      <c r="C7" s="82" t="s">
        <v>467</v>
      </c>
      <c r="D7" s="30" t="s">
        <v>468</v>
      </c>
    </row>
    <row r="8" spans="1:33" ht="12" x14ac:dyDescent="0.2">
      <c r="C8" s="82" t="s">
        <v>469</v>
      </c>
      <c r="D8" s="77" t="s">
        <v>470</v>
      </c>
    </row>
    <row r="9" spans="1:33" ht="12" x14ac:dyDescent="0.2">
      <c r="C9" s="82" t="s">
        <v>471</v>
      </c>
      <c r="D9" s="98" t="s">
        <v>472</v>
      </c>
    </row>
    <row r="10" spans="1:33" ht="12" x14ac:dyDescent="0.2">
      <c r="C10" s="7" t="s">
        <v>473</v>
      </c>
      <c r="D10" s="232" t="s">
        <v>474</v>
      </c>
    </row>
    <row r="11" spans="1:33" ht="12" x14ac:dyDescent="0.2">
      <c r="D11" s="24" t="s">
        <v>475</v>
      </c>
    </row>
    <row r="12" spans="1:33" ht="12" x14ac:dyDescent="0.25">
      <c r="C12" s="81"/>
      <c r="D12" s="1"/>
    </row>
    <row r="13" spans="1:33" s="69" customFormat="1" ht="12" x14ac:dyDescent="0.25">
      <c r="B13" s="70"/>
      <c r="C13" s="83">
        <v>2020</v>
      </c>
      <c r="D13" s="71">
        <v>2021</v>
      </c>
      <c r="E13" s="71">
        <v>2022</v>
      </c>
      <c r="F13" s="71">
        <v>2023</v>
      </c>
      <c r="G13" s="71">
        <v>2024</v>
      </c>
      <c r="H13" s="71">
        <v>2025</v>
      </c>
      <c r="I13" s="71">
        <v>2026</v>
      </c>
      <c r="J13" s="71">
        <v>2027</v>
      </c>
      <c r="K13" s="71">
        <v>2028</v>
      </c>
      <c r="L13" s="71">
        <v>2029</v>
      </c>
      <c r="M13" s="71">
        <v>2030</v>
      </c>
      <c r="N13" s="71">
        <v>2031</v>
      </c>
      <c r="O13" s="71">
        <v>2032</v>
      </c>
      <c r="P13" s="71">
        <v>2033</v>
      </c>
      <c r="Q13" s="71">
        <v>2034</v>
      </c>
      <c r="R13" s="71">
        <v>2035</v>
      </c>
      <c r="S13" s="71">
        <v>2036</v>
      </c>
      <c r="T13" s="71">
        <v>2037</v>
      </c>
      <c r="U13" s="71">
        <v>2038</v>
      </c>
      <c r="V13" s="71">
        <v>2039</v>
      </c>
      <c r="W13" s="71">
        <v>2040</v>
      </c>
      <c r="X13" s="71">
        <v>2041</v>
      </c>
      <c r="Y13" s="71">
        <v>2042</v>
      </c>
      <c r="Z13" s="71">
        <v>2043</v>
      </c>
      <c r="AA13" s="71">
        <v>2044</v>
      </c>
      <c r="AB13" s="71">
        <v>2045</v>
      </c>
      <c r="AC13" s="71">
        <v>2046</v>
      </c>
      <c r="AD13" s="71">
        <v>2047</v>
      </c>
      <c r="AE13" s="71">
        <v>2048</v>
      </c>
      <c r="AF13" s="71">
        <v>2049</v>
      </c>
      <c r="AG13" s="71">
        <v>2050</v>
      </c>
    </row>
    <row r="14" spans="1:33" ht="12" x14ac:dyDescent="0.25">
      <c r="B14" s="73" t="s">
        <v>476</v>
      </c>
    </row>
    <row r="15" spans="1:33" ht="12" x14ac:dyDescent="0.2">
      <c r="B15" s="72" t="s">
        <v>477</v>
      </c>
      <c r="C15" s="84">
        <v>603</v>
      </c>
      <c r="D15" s="78">
        <v>603</v>
      </c>
      <c r="E15" s="78">
        <v>603</v>
      </c>
      <c r="F15" s="78">
        <v>603</v>
      </c>
      <c r="G15" s="78">
        <v>603</v>
      </c>
      <c r="H15" s="78">
        <v>603</v>
      </c>
      <c r="I15" s="78">
        <v>603</v>
      </c>
      <c r="J15" s="78">
        <v>603</v>
      </c>
      <c r="K15" s="78">
        <v>603</v>
      </c>
      <c r="L15" s="78">
        <v>603</v>
      </c>
      <c r="M15" s="78">
        <v>603</v>
      </c>
      <c r="N15" s="78">
        <v>603</v>
      </c>
      <c r="O15" s="78">
        <v>603</v>
      </c>
      <c r="P15" s="78">
        <v>603</v>
      </c>
      <c r="Q15" s="78">
        <v>603</v>
      </c>
      <c r="R15" s="78">
        <v>603</v>
      </c>
      <c r="S15" s="78">
        <v>603</v>
      </c>
      <c r="T15" s="78">
        <v>603</v>
      </c>
      <c r="U15" s="78">
        <v>603</v>
      </c>
      <c r="V15" s="78">
        <v>603</v>
      </c>
      <c r="W15" s="78">
        <v>603</v>
      </c>
      <c r="X15" s="78">
        <v>603</v>
      </c>
      <c r="Y15" s="78">
        <v>603</v>
      </c>
      <c r="Z15" s="78">
        <v>603</v>
      </c>
      <c r="AA15" s="78">
        <v>603</v>
      </c>
      <c r="AB15" s="78">
        <v>603</v>
      </c>
      <c r="AC15" s="78">
        <v>603</v>
      </c>
      <c r="AD15" s="78">
        <v>603</v>
      </c>
      <c r="AE15" s="78">
        <v>603</v>
      </c>
      <c r="AF15" s="78">
        <v>603</v>
      </c>
      <c r="AG15" s="78">
        <v>603</v>
      </c>
    </row>
    <row r="16" spans="1:33" ht="12" x14ac:dyDescent="0.2">
      <c r="B16" t="s">
        <v>478</v>
      </c>
      <c r="C16" s="85">
        <v>694</v>
      </c>
      <c r="D16" s="74">
        <v>694</v>
      </c>
      <c r="E16" s="74">
        <v>694</v>
      </c>
      <c r="F16" s="74">
        <v>694</v>
      </c>
      <c r="G16" s="74">
        <v>694</v>
      </c>
      <c r="H16" s="74">
        <v>694</v>
      </c>
      <c r="I16" s="74">
        <v>694</v>
      </c>
      <c r="J16" s="74">
        <v>694</v>
      </c>
      <c r="K16" s="74">
        <v>694</v>
      </c>
      <c r="L16" s="74">
        <v>694</v>
      </c>
      <c r="M16" s="74">
        <v>694</v>
      </c>
      <c r="N16" s="74">
        <v>694</v>
      </c>
      <c r="O16" s="74">
        <v>694</v>
      </c>
      <c r="P16" s="74">
        <v>694</v>
      </c>
      <c r="Q16" s="74">
        <v>694</v>
      </c>
      <c r="R16" s="74">
        <v>694</v>
      </c>
      <c r="S16" s="74">
        <v>694</v>
      </c>
      <c r="T16" s="74">
        <v>694</v>
      </c>
      <c r="U16" s="74">
        <v>694</v>
      </c>
      <c r="V16" s="74">
        <v>694</v>
      </c>
      <c r="W16" s="74">
        <v>694</v>
      </c>
      <c r="X16" s="74">
        <v>694</v>
      </c>
      <c r="Y16" s="74">
        <v>694</v>
      </c>
      <c r="Z16" s="74">
        <v>694</v>
      </c>
      <c r="AA16" s="74">
        <v>694</v>
      </c>
      <c r="AB16" s="74">
        <v>694</v>
      </c>
      <c r="AC16" s="74">
        <v>694</v>
      </c>
      <c r="AD16" s="74">
        <v>694</v>
      </c>
      <c r="AE16" s="74">
        <v>694</v>
      </c>
      <c r="AF16" s="74">
        <v>694</v>
      </c>
      <c r="AG16" s="74">
        <v>694</v>
      </c>
    </row>
    <row r="17" spans="2:33" ht="12" x14ac:dyDescent="0.2">
      <c r="B17" t="s">
        <v>479</v>
      </c>
      <c r="C17" s="85">
        <v>1374</v>
      </c>
      <c r="D17" s="74">
        <v>1374</v>
      </c>
      <c r="E17" s="74">
        <v>1374</v>
      </c>
      <c r="F17" s="74">
        <v>1374</v>
      </c>
      <c r="G17" s="74">
        <v>1374</v>
      </c>
      <c r="H17" s="74">
        <v>1374</v>
      </c>
      <c r="I17" s="74">
        <v>1374</v>
      </c>
      <c r="J17" s="74">
        <v>1374</v>
      </c>
      <c r="K17" s="74">
        <v>1374</v>
      </c>
      <c r="L17" s="74">
        <v>1374</v>
      </c>
      <c r="M17" s="74">
        <v>1374</v>
      </c>
      <c r="N17" s="74">
        <v>1374</v>
      </c>
      <c r="O17" s="74">
        <v>1374</v>
      </c>
      <c r="P17" s="74">
        <v>1374</v>
      </c>
      <c r="Q17" s="74">
        <v>1374</v>
      </c>
      <c r="R17" s="74">
        <v>1374</v>
      </c>
      <c r="S17" s="74">
        <v>1374</v>
      </c>
      <c r="T17" s="74">
        <v>1374</v>
      </c>
      <c r="U17" s="74">
        <v>1374</v>
      </c>
      <c r="V17" s="74">
        <v>1374</v>
      </c>
      <c r="W17" s="74">
        <v>1374</v>
      </c>
      <c r="X17" s="74">
        <v>1374</v>
      </c>
      <c r="Y17" s="74">
        <v>1374</v>
      </c>
      <c r="Z17" s="74">
        <v>1374</v>
      </c>
      <c r="AA17" s="74">
        <v>1374</v>
      </c>
      <c r="AB17" s="74">
        <v>1374</v>
      </c>
      <c r="AC17" s="74">
        <v>1374</v>
      </c>
      <c r="AD17" s="74">
        <v>1374</v>
      </c>
      <c r="AE17" s="74">
        <v>1374</v>
      </c>
      <c r="AF17" s="74">
        <v>1374</v>
      </c>
      <c r="AG17" s="74">
        <v>1374</v>
      </c>
    </row>
    <row r="18" spans="2:33" ht="12" x14ac:dyDescent="0.25">
      <c r="B18" s="73" t="s">
        <v>480</v>
      </c>
    </row>
    <row r="19" spans="2:33" ht="12" x14ac:dyDescent="0.2">
      <c r="B19" t="s">
        <v>481</v>
      </c>
      <c r="C19" s="86">
        <v>14491</v>
      </c>
      <c r="D19" s="75">
        <v>14491</v>
      </c>
      <c r="E19" s="75">
        <v>14491</v>
      </c>
      <c r="F19" s="75">
        <v>14491</v>
      </c>
      <c r="G19" s="75">
        <v>14491</v>
      </c>
      <c r="H19" s="75">
        <v>14491</v>
      </c>
      <c r="I19" s="75">
        <v>14491</v>
      </c>
      <c r="J19" s="75">
        <v>14491</v>
      </c>
      <c r="K19" s="75">
        <v>14491</v>
      </c>
      <c r="L19" s="75">
        <v>14491</v>
      </c>
      <c r="M19" s="75">
        <v>14491</v>
      </c>
      <c r="N19" s="75">
        <v>14491</v>
      </c>
      <c r="O19" s="75">
        <v>14491</v>
      </c>
      <c r="P19" s="75">
        <v>14491</v>
      </c>
      <c r="Q19" s="75">
        <v>14491</v>
      </c>
      <c r="R19" s="75">
        <v>14491</v>
      </c>
      <c r="S19" s="75">
        <v>14491</v>
      </c>
      <c r="T19" s="75">
        <v>14491</v>
      </c>
      <c r="U19" s="75">
        <v>14491</v>
      </c>
      <c r="V19" s="75">
        <v>14491</v>
      </c>
      <c r="W19" s="75">
        <v>14491</v>
      </c>
      <c r="X19" s="75">
        <v>14491</v>
      </c>
      <c r="Y19" s="75">
        <v>14491</v>
      </c>
      <c r="Z19" s="75">
        <v>14491</v>
      </c>
      <c r="AA19" s="75">
        <v>14491</v>
      </c>
      <c r="AB19" s="75">
        <v>14491</v>
      </c>
      <c r="AC19" s="75">
        <v>14491</v>
      </c>
      <c r="AD19" s="75">
        <v>14491</v>
      </c>
      <c r="AE19" s="75">
        <v>14491</v>
      </c>
      <c r="AF19" s="75">
        <v>14491</v>
      </c>
      <c r="AG19" s="75">
        <v>14491</v>
      </c>
    </row>
    <row r="20" spans="2:33" ht="12" x14ac:dyDescent="0.2">
      <c r="B20" t="s">
        <v>482</v>
      </c>
      <c r="C20" s="86">
        <v>17374</v>
      </c>
      <c r="D20" s="75">
        <v>17374</v>
      </c>
      <c r="E20" s="75">
        <v>17374</v>
      </c>
      <c r="F20" s="75">
        <v>17374</v>
      </c>
      <c r="G20" s="75">
        <v>17374</v>
      </c>
      <c r="H20" s="75">
        <v>17374</v>
      </c>
      <c r="I20" s="75">
        <v>17374</v>
      </c>
      <c r="J20" s="75">
        <v>17374</v>
      </c>
      <c r="K20" s="75">
        <v>17374</v>
      </c>
      <c r="L20" s="75">
        <v>17374</v>
      </c>
      <c r="M20" s="75">
        <v>17374</v>
      </c>
      <c r="N20" s="75">
        <v>17374</v>
      </c>
      <c r="O20" s="75">
        <v>17374</v>
      </c>
      <c r="P20" s="75">
        <v>17374</v>
      </c>
      <c r="Q20" s="75">
        <v>17374</v>
      </c>
      <c r="R20" s="75">
        <v>17374</v>
      </c>
      <c r="S20" s="75">
        <v>17374</v>
      </c>
      <c r="T20" s="75">
        <v>17374</v>
      </c>
      <c r="U20" s="75">
        <v>17374</v>
      </c>
      <c r="V20" s="75">
        <v>17374</v>
      </c>
      <c r="W20" s="75">
        <v>17374</v>
      </c>
      <c r="X20" s="75">
        <v>17374</v>
      </c>
      <c r="Y20" s="75">
        <v>17374</v>
      </c>
      <c r="Z20" s="75">
        <v>17374</v>
      </c>
      <c r="AA20" s="75">
        <v>17374</v>
      </c>
      <c r="AB20" s="75">
        <v>17374</v>
      </c>
      <c r="AC20" s="75">
        <v>17374</v>
      </c>
      <c r="AD20" s="75">
        <v>17374</v>
      </c>
      <c r="AE20" s="75">
        <v>17374</v>
      </c>
      <c r="AF20" s="75">
        <v>17374</v>
      </c>
      <c r="AG20" s="75">
        <v>17374</v>
      </c>
    </row>
    <row r="21" spans="2:33" ht="12" x14ac:dyDescent="0.2">
      <c r="B21" t="s">
        <v>483</v>
      </c>
      <c r="C21" s="86">
        <v>17374</v>
      </c>
      <c r="D21" s="75">
        <v>17374</v>
      </c>
      <c r="E21" s="75">
        <v>17374</v>
      </c>
      <c r="F21" s="75">
        <v>17374</v>
      </c>
      <c r="G21" s="75">
        <v>17374</v>
      </c>
      <c r="H21" s="75">
        <v>17374</v>
      </c>
      <c r="I21" s="75">
        <v>17374</v>
      </c>
      <c r="J21" s="75">
        <v>17374</v>
      </c>
      <c r="K21" s="75">
        <v>17374</v>
      </c>
      <c r="L21" s="75">
        <v>17374</v>
      </c>
      <c r="M21" s="75">
        <v>17374</v>
      </c>
      <c r="N21" s="75">
        <v>17374</v>
      </c>
      <c r="O21" s="75">
        <v>17374</v>
      </c>
      <c r="P21" s="75">
        <v>17374</v>
      </c>
      <c r="Q21" s="75">
        <v>17374</v>
      </c>
      <c r="R21" s="75">
        <v>17374</v>
      </c>
      <c r="S21" s="75">
        <v>17374</v>
      </c>
      <c r="T21" s="75">
        <v>17374</v>
      </c>
      <c r="U21" s="75">
        <v>17374</v>
      </c>
      <c r="V21" s="75">
        <v>17374</v>
      </c>
      <c r="W21" s="75">
        <v>17374</v>
      </c>
      <c r="X21" s="75">
        <v>17374</v>
      </c>
      <c r="Y21" s="75">
        <v>17374</v>
      </c>
      <c r="Z21" s="75">
        <v>17374</v>
      </c>
      <c r="AA21" s="75">
        <v>17374</v>
      </c>
      <c r="AB21" s="75">
        <v>17374</v>
      </c>
      <c r="AC21" s="75">
        <v>17374</v>
      </c>
      <c r="AD21" s="75">
        <v>17374</v>
      </c>
      <c r="AE21" s="75">
        <v>17374</v>
      </c>
      <c r="AF21" s="75">
        <v>17374</v>
      </c>
      <c r="AG21" s="75">
        <v>17374</v>
      </c>
    </row>
    <row r="22" spans="2:33" ht="12" x14ac:dyDescent="0.25">
      <c r="B22" s="1" t="s">
        <v>484</v>
      </c>
    </row>
    <row r="23" spans="2:33" ht="12" x14ac:dyDescent="0.2">
      <c r="B23" t="s">
        <v>485</v>
      </c>
      <c r="C23" s="93">
        <f t="shared" ref="C23:AG23" si="0">(($C$15*$H$4)/($C$19*$H$3))</f>
        <v>41612.035056241803</v>
      </c>
      <c r="D23" s="74">
        <f t="shared" si="0"/>
        <v>41612.035056241803</v>
      </c>
      <c r="E23" s="75">
        <f t="shared" si="0"/>
        <v>41612.035056241803</v>
      </c>
      <c r="F23" s="75">
        <f t="shared" si="0"/>
        <v>41612.035056241803</v>
      </c>
      <c r="G23" s="75">
        <f t="shared" si="0"/>
        <v>41612.035056241803</v>
      </c>
      <c r="H23" s="75">
        <f t="shared" si="0"/>
        <v>41612.035056241803</v>
      </c>
      <c r="I23" s="75">
        <f t="shared" si="0"/>
        <v>41612.035056241803</v>
      </c>
      <c r="J23" s="75">
        <f t="shared" si="0"/>
        <v>41612.035056241803</v>
      </c>
      <c r="K23" s="75">
        <f t="shared" si="0"/>
        <v>41612.035056241803</v>
      </c>
      <c r="L23" s="75">
        <f t="shared" si="0"/>
        <v>41612.035056241803</v>
      </c>
      <c r="M23" s="75">
        <f t="shared" si="0"/>
        <v>41612.035056241803</v>
      </c>
      <c r="N23" s="75">
        <f t="shared" si="0"/>
        <v>41612.035056241803</v>
      </c>
      <c r="O23" s="75">
        <f t="shared" si="0"/>
        <v>41612.035056241803</v>
      </c>
      <c r="P23" s="75">
        <f t="shared" si="0"/>
        <v>41612.035056241803</v>
      </c>
      <c r="Q23" s="75">
        <f t="shared" si="0"/>
        <v>41612.035056241803</v>
      </c>
      <c r="R23" s="75">
        <f t="shared" si="0"/>
        <v>41612.035056241803</v>
      </c>
      <c r="S23" s="75">
        <f t="shared" si="0"/>
        <v>41612.035056241803</v>
      </c>
      <c r="T23" s="75">
        <f t="shared" si="0"/>
        <v>41612.035056241803</v>
      </c>
      <c r="U23" s="75">
        <f t="shared" si="0"/>
        <v>41612.035056241803</v>
      </c>
      <c r="V23" s="75">
        <f t="shared" si="0"/>
        <v>41612.035056241803</v>
      </c>
      <c r="W23" s="75">
        <f t="shared" si="0"/>
        <v>41612.035056241803</v>
      </c>
      <c r="X23" s="75">
        <f t="shared" si="0"/>
        <v>41612.035056241803</v>
      </c>
      <c r="Y23" s="75">
        <f t="shared" si="0"/>
        <v>41612.035056241803</v>
      </c>
      <c r="Z23" s="75">
        <f t="shared" si="0"/>
        <v>41612.035056241803</v>
      </c>
      <c r="AA23" s="75">
        <f t="shared" si="0"/>
        <v>41612.035056241803</v>
      </c>
      <c r="AB23" s="75">
        <f t="shared" si="0"/>
        <v>41612.035056241803</v>
      </c>
      <c r="AC23" s="75">
        <f t="shared" si="0"/>
        <v>41612.035056241803</v>
      </c>
      <c r="AD23" s="75">
        <f t="shared" si="0"/>
        <v>41612.035056241803</v>
      </c>
      <c r="AE23" s="75">
        <f t="shared" si="0"/>
        <v>41612.035056241803</v>
      </c>
      <c r="AF23" s="75">
        <f t="shared" si="0"/>
        <v>41612.035056241803</v>
      </c>
      <c r="AG23" s="75">
        <f t="shared" si="0"/>
        <v>41612.035056241803</v>
      </c>
    </row>
    <row r="24" spans="2:33" ht="12" x14ac:dyDescent="0.2">
      <c r="B24" t="s">
        <v>486</v>
      </c>
      <c r="C24" s="93">
        <f t="shared" ref="C24:AG24" si="1">(($C$16*$H$4)/($C$20*$H$3))</f>
        <v>39944.745021296192</v>
      </c>
      <c r="D24" s="74">
        <f t="shared" si="1"/>
        <v>39944.745021296192</v>
      </c>
      <c r="E24" s="75">
        <f t="shared" si="1"/>
        <v>39944.745021296192</v>
      </c>
      <c r="F24" s="75">
        <f t="shared" si="1"/>
        <v>39944.745021296192</v>
      </c>
      <c r="G24" s="75">
        <f t="shared" si="1"/>
        <v>39944.745021296192</v>
      </c>
      <c r="H24" s="75">
        <f t="shared" si="1"/>
        <v>39944.745021296192</v>
      </c>
      <c r="I24" s="75">
        <f t="shared" si="1"/>
        <v>39944.745021296192</v>
      </c>
      <c r="J24" s="75">
        <f t="shared" si="1"/>
        <v>39944.745021296192</v>
      </c>
      <c r="K24" s="75">
        <f t="shared" si="1"/>
        <v>39944.745021296192</v>
      </c>
      <c r="L24" s="75">
        <f t="shared" si="1"/>
        <v>39944.745021296192</v>
      </c>
      <c r="M24" s="75">
        <f t="shared" si="1"/>
        <v>39944.745021296192</v>
      </c>
      <c r="N24" s="75">
        <f t="shared" si="1"/>
        <v>39944.745021296192</v>
      </c>
      <c r="O24" s="75">
        <f t="shared" si="1"/>
        <v>39944.745021296192</v>
      </c>
      <c r="P24" s="75">
        <f t="shared" si="1"/>
        <v>39944.745021296192</v>
      </c>
      <c r="Q24" s="75">
        <f t="shared" si="1"/>
        <v>39944.745021296192</v>
      </c>
      <c r="R24" s="75">
        <f t="shared" si="1"/>
        <v>39944.745021296192</v>
      </c>
      <c r="S24" s="75">
        <f t="shared" si="1"/>
        <v>39944.745021296192</v>
      </c>
      <c r="T24" s="75">
        <f t="shared" si="1"/>
        <v>39944.745021296192</v>
      </c>
      <c r="U24" s="75">
        <f t="shared" si="1"/>
        <v>39944.745021296192</v>
      </c>
      <c r="V24" s="75">
        <f t="shared" si="1"/>
        <v>39944.745021296192</v>
      </c>
      <c r="W24" s="75">
        <f t="shared" si="1"/>
        <v>39944.745021296192</v>
      </c>
      <c r="X24" s="75">
        <f t="shared" si="1"/>
        <v>39944.745021296192</v>
      </c>
      <c r="Y24" s="75">
        <f t="shared" si="1"/>
        <v>39944.745021296192</v>
      </c>
      <c r="Z24" s="75">
        <f t="shared" si="1"/>
        <v>39944.745021296192</v>
      </c>
      <c r="AA24" s="75">
        <f t="shared" si="1"/>
        <v>39944.745021296192</v>
      </c>
      <c r="AB24" s="75">
        <f t="shared" si="1"/>
        <v>39944.745021296192</v>
      </c>
      <c r="AC24" s="75">
        <f t="shared" si="1"/>
        <v>39944.745021296192</v>
      </c>
      <c r="AD24" s="75">
        <f t="shared" si="1"/>
        <v>39944.745021296192</v>
      </c>
      <c r="AE24" s="75">
        <f t="shared" si="1"/>
        <v>39944.745021296192</v>
      </c>
      <c r="AF24" s="75">
        <f t="shared" si="1"/>
        <v>39944.745021296192</v>
      </c>
      <c r="AG24" s="75">
        <f t="shared" si="1"/>
        <v>39944.745021296192</v>
      </c>
    </row>
    <row r="25" spans="2:33" ht="12" x14ac:dyDescent="0.2">
      <c r="B25" t="s">
        <v>487</v>
      </c>
      <c r="C25" s="93">
        <f t="shared" ref="C25:AG25" si="2">(($C$17*$H$4)/($C$21*$H$3))</f>
        <v>79083.688269828475</v>
      </c>
      <c r="D25" s="74">
        <f t="shared" si="2"/>
        <v>79083.688269828475</v>
      </c>
      <c r="E25" s="75">
        <f t="shared" si="2"/>
        <v>79083.688269828475</v>
      </c>
      <c r="F25" s="75">
        <f t="shared" si="2"/>
        <v>79083.688269828475</v>
      </c>
      <c r="G25" s="75">
        <f t="shared" si="2"/>
        <v>79083.688269828475</v>
      </c>
      <c r="H25" s="75">
        <f t="shared" si="2"/>
        <v>79083.688269828475</v>
      </c>
      <c r="I25" s="75">
        <f t="shared" si="2"/>
        <v>79083.688269828475</v>
      </c>
      <c r="J25" s="75">
        <f t="shared" si="2"/>
        <v>79083.688269828475</v>
      </c>
      <c r="K25" s="75">
        <f t="shared" si="2"/>
        <v>79083.688269828475</v>
      </c>
      <c r="L25" s="75">
        <f t="shared" si="2"/>
        <v>79083.688269828475</v>
      </c>
      <c r="M25" s="75">
        <f t="shared" si="2"/>
        <v>79083.688269828475</v>
      </c>
      <c r="N25" s="75">
        <f t="shared" si="2"/>
        <v>79083.688269828475</v>
      </c>
      <c r="O25" s="75">
        <f t="shared" si="2"/>
        <v>79083.688269828475</v>
      </c>
      <c r="P25" s="75">
        <f t="shared" si="2"/>
        <v>79083.688269828475</v>
      </c>
      <c r="Q25" s="75">
        <f t="shared" si="2"/>
        <v>79083.688269828475</v>
      </c>
      <c r="R25" s="75">
        <f t="shared" si="2"/>
        <v>79083.688269828475</v>
      </c>
      <c r="S25" s="75">
        <f t="shared" si="2"/>
        <v>79083.688269828475</v>
      </c>
      <c r="T25" s="75">
        <f t="shared" si="2"/>
        <v>79083.688269828475</v>
      </c>
      <c r="U25" s="75">
        <f t="shared" si="2"/>
        <v>79083.688269828475</v>
      </c>
      <c r="V25" s="75">
        <f t="shared" si="2"/>
        <v>79083.688269828475</v>
      </c>
      <c r="W25" s="75">
        <f t="shared" si="2"/>
        <v>79083.688269828475</v>
      </c>
      <c r="X25" s="75">
        <f t="shared" si="2"/>
        <v>79083.688269828475</v>
      </c>
      <c r="Y25" s="75">
        <f t="shared" si="2"/>
        <v>79083.688269828475</v>
      </c>
      <c r="Z25" s="75">
        <f t="shared" si="2"/>
        <v>79083.688269828475</v>
      </c>
      <c r="AA25" s="75">
        <f t="shared" si="2"/>
        <v>79083.688269828475</v>
      </c>
      <c r="AB25" s="75">
        <f t="shared" si="2"/>
        <v>79083.688269828475</v>
      </c>
      <c r="AC25" s="75">
        <f t="shared" si="2"/>
        <v>79083.688269828475</v>
      </c>
      <c r="AD25" s="75">
        <f t="shared" si="2"/>
        <v>79083.688269828475</v>
      </c>
      <c r="AE25" s="75">
        <f t="shared" si="2"/>
        <v>79083.688269828475</v>
      </c>
      <c r="AF25" s="75">
        <f t="shared" si="2"/>
        <v>79083.688269828475</v>
      </c>
      <c r="AG25" s="75">
        <f t="shared" si="2"/>
        <v>79083.688269828475</v>
      </c>
    </row>
    <row r="26" spans="2:33" ht="12" x14ac:dyDescent="0.2">
      <c r="C26" s="93"/>
      <c r="D26" s="74"/>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c r="AE26" s="75"/>
      <c r="AF26" s="75"/>
      <c r="AG26" s="75"/>
    </row>
    <row r="27" spans="2:33" ht="12" x14ac:dyDescent="0.25">
      <c r="B27" s="1" t="s">
        <v>488</v>
      </c>
    </row>
    <row r="28" spans="2:33" ht="12" x14ac:dyDescent="0.2">
      <c r="B28" t="s">
        <v>489</v>
      </c>
      <c r="C28" s="87">
        <v>40000</v>
      </c>
      <c r="D28" s="78">
        <v>40000</v>
      </c>
      <c r="E28" s="78">
        <v>40000</v>
      </c>
      <c r="F28" s="78">
        <v>40000</v>
      </c>
      <c r="G28" s="78">
        <v>40000</v>
      </c>
      <c r="H28" s="78">
        <v>40000</v>
      </c>
      <c r="I28" s="78">
        <v>40000</v>
      </c>
      <c r="J28" s="78">
        <v>40000</v>
      </c>
      <c r="K28" s="78">
        <v>40000</v>
      </c>
      <c r="L28" s="78">
        <v>40000</v>
      </c>
      <c r="M28" s="78">
        <v>40000</v>
      </c>
      <c r="N28" s="78">
        <v>40000</v>
      </c>
      <c r="O28" s="78">
        <v>40000</v>
      </c>
      <c r="P28" s="78">
        <v>40000</v>
      </c>
      <c r="Q28" s="78">
        <v>40000</v>
      </c>
      <c r="R28" s="78">
        <v>40000</v>
      </c>
      <c r="S28" s="78">
        <v>40000</v>
      </c>
      <c r="T28" s="78">
        <v>40000</v>
      </c>
      <c r="U28" s="78">
        <v>40000</v>
      </c>
      <c r="V28" s="78">
        <v>40000</v>
      </c>
      <c r="W28" s="78">
        <v>40000</v>
      </c>
      <c r="X28" s="78">
        <v>40000</v>
      </c>
      <c r="Y28" s="78">
        <v>40000</v>
      </c>
      <c r="Z28" s="78">
        <v>40000</v>
      </c>
      <c r="AA28" s="78">
        <v>40000</v>
      </c>
      <c r="AB28" s="78">
        <v>40000</v>
      </c>
      <c r="AC28" s="78">
        <v>40000</v>
      </c>
      <c r="AD28" s="78">
        <v>40000</v>
      </c>
      <c r="AE28" s="78">
        <v>40000</v>
      </c>
      <c r="AF28" s="78">
        <v>40000</v>
      </c>
      <c r="AG28" s="78">
        <v>40000</v>
      </c>
    </row>
    <row r="29" spans="2:33" ht="12" x14ac:dyDescent="0.2">
      <c r="B29" t="s">
        <v>490</v>
      </c>
      <c r="C29" s="88">
        <v>13128</v>
      </c>
      <c r="D29" s="78">
        <v>13128</v>
      </c>
      <c r="E29" s="78">
        <v>13128</v>
      </c>
      <c r="F29" s="78">
        <v>13128</v>
      </c>
      <c r="G29" s="78">
        <v>13128</v>
      </c>
      <c r="H29" s="78">
        <v>13128</v>
      </c>
      <c r="I29" s="78">
        <v>13128</v>
      </c>
      <c r="J29" s="78">
        <v>13128</v>
      </c>
      <c r="K29" s="78">
        <v>13128</v>
      </c>
      <c r="L29" s="78">
        <v>13128</v>
      </c>
      <c r="M29" s="78">
        <v>13128</v>
      </c>
      <c r="N29" s="78">
        <v>13128</v>
      </c>
      <c r="O29" s="78">
        <v>13128</v>
      </c>
      <c r="P29" s="78">
        <v>13128</v>
      </c>
      <c r="Q29" s="78">
        <v>13128</v>
      </c>
      <c r="R29" s="78">
        <v>13128</v>
      </c>
      <c r="S29" s="78">
        <v>13128</v>
      </c>
      <c r="T29" s="78">
        <v>13128</v>
      </c>
      <c r="U29" s="78">
        <v>13128</v>
      </c>
      <c r="V29" s="78">
        <v>13128</v>
      </c>
      <c r="W29" s="78">
        <v>13128</v>
      </c>
      <c r="X29" s="78">
        <v>13128</v>
      </c>
      <c r="Y29" s="78">
        <v>13128</v>
      </c>
      <c r="Z29" s="78">
        <v>13128</v>
      </c>
      <c r="AA29" s="78">
        <v>13128</v>
      </c>
      <c r="AB29" s="78">
        <v>13128</v>
      </c>
      <c r="AC29" s="78">
        <v>13128</v>
      </c>
      <c r="AD29" s="78">
        <v>13128</v>
      </c>
      <c r="AE29" s="78">
        <v>13128</v>
      </c>
      <c r="AF29" s="78">
        <v>13128</v>
      </c>
      <c r="AG29" s="78">
        <v>13128</v>
      </c>
    </row>
    <row r="30" spans="2:33" ht="12" x14ac:dyDescent="0.2">
      <c r="B30" t="s">
        <v>491</v>
      </c>
      <c r="C30" s="89">
        <v>56628</v>
      </c>
      <c r="D30" s="75">
        <v>56628</v>
      </c>
      <c r="E30" s="75">
        <v>56628</v>
      </c>
      <c r="F30" s="75">
        <v>56628</v>
      </c>
      <c r="G30" s="75">
        <v>56628</v>
      </c>
      <c r="H30" s="75">
        <v>56628</v>
      </c>
      <c r="I30" s="75">
        <v>56628</v>
      </c>
      <c r="J30" s="75">
        <v>56628</v>
      </c>
      <c r="K30" s="75">
        <v>56628</v>
      </c>
      <c r="L30" s="75">
        <v>56628</v>
      </c>
      <c r="M30" s="75">
        <v>56628</v>
      </c>
      <c r="N30" s="75">
        <v>56628</v>
      </c>
      <c r="O30" s="75">
        <v>56628</v>
      </c>
      <c r="P30" s="75">
        <v>56628</v>
      </c>
      <c r="Q30" s="75">
        <v>56628</v>
      </c>
      <c r="R30" s="75">
        <v>56628</v>
      </c>
      <c r="S30" s="75">
        <v>56628</v>
      </c>
      <c r="T30" s="75">
        <v>56628</v>
      </c>
      <c r="U30" s="75">
        <v>56628</v>
      </c>
      <c r="V30" s="75">
        <v>56628</v>
      </c>
      <c r="W30" s="75">
        <v>56628</v>
      </c>
      <c r="X30" s="75">
        <v>56628</v>
      </c>
      <c r="Y30" s="75">
        <v>56628</v>
      </c>
      <c r="Z30" s="75">
        <v>56628</v>
      </c>
      <c r="AA30" s="75">
        <v>56628</v>
      </c>
      <c r="AB30" s="75">
        <v>56628</v>
      </c>
      <c r="AC30" s="75">
        <v>56628</v>
      </c>
      <c r="AD30" s="75">
        <v>56628</v>
      </c>
      <c r="AE30" s="75">
        <v>56628</v>
      </c>
      <c r="AF30" s="75">
        <v>56628</v>
      </c>
      <c r="AG30" s="75">
        <v>56628</v>
      </c>
    </row>
    <row r="31" spans="2:33" ht="12" x14ac:dyDescent="0.2">
      <c r="B31" t="s">
        <v>492</v>
      </c>
      <c r="C31" s="97">
        <f>(2435000000/53000)</f>
        <v>45943.396226415098</v>
      </c>
      <c r="D31" s="75">
        <f t="shared" ref="D31:AG31" si="3">(2435000000/53000)</f>
        <v>45943.396226415098</v>
      </c>
      <c r="E31" s="75">
        <f t="shared" si="3"/>
        <v>45943.396226415098</v>
      </c>
      <c r="F31" s="75">
        <f t="shared" si="3"/>
        <v>45943.396226415098</v>
      </c>
      <c r="G31" s="75">
        <f t="shared" si="3"/>
        <v>45943.396226415098</v>
      </c>
      <c r="H31" s="75">
        <f t="shared" si="3"/>
        <v>45943.396226415098</v>
      </c>
      <c r="I31" s="75">
        <f t="shared" si="3"/>
        <v>45943.396226415098</v>
      </c>
      <c r="J31" s="75">
        <f t="shared" si="3"/>
        <v>45943.396226415098</v>
      </c>
      <c r="K31" s="75">
        <f t="shared" si="3"/>
        <v>45943.396226415098</v>
      </c>
      <c r="L31" s="75">
        <f t="shared" si="3"/>
        <v>45943.396226415098</v>
      </c>
      <c r="M31" s="75">
        <f t="shared" si="3"/>
        <v>45943.396226415098</v>
      </c>
      <c r="N31" s="75">
        <f t="shared" si="3"/>
        <v>45943.396226415098</v>
      </c>
      <c r="O31" s="75">
        <f t="shared" si="3"/>
        <v>45943.396226415098</v>
      </c>
      <c r="P31" s="75">
        <f t="shared" si="3"/>
        <v>45943.396226415098</v>
      </c>
      <c r="Q31" s="75">
        <f t="shared" si="3"/>
        <v>45943.396226415098</v>
      </c>
      <c r="R31" s="75">
        <f t="shared" si="3"/>
        <v>45943.396226415098</v>
      </c>
      <c r="S31" s="75">
        <f t="shared" si="3"/>
        <v>45943.396226415098</v>
      </c>
      <c r="T31" s="75">
        <f t="shared" si="3"/>
        <v>45943.396226415098</v>
      </c>
      <c r="U31" s="75">
        <f t="shared" si="3"/>
        <v>45943.396226415098</v>
      </c>
      <c r="V31" s="75">
        <f t="shared" si="3"/>
        <v>45943.396226415098</v>
      </c>
      <c r="W31" s="75">
        <f t="shared" si="3"/>
        <v>45943.396226415098</v>
      </c>
      <c r="X31" s="75">
        <f t="shared" si="3"/>
        <v>45943.396226415098</v>
      </c>
      <c r="Y31" s="75">
        <f t="shared" si="3"/>
        <v>45943.396226415098</v>
      </c>
      <c r="Z31" s="75">
        <f t="shared" si="3"/>
        <v>45943.396226415098</v>
      </c>
      <c r="AA31" s="75">
        <f t="shared" si="3"/>
        <v>45943.396226415098</v>
      </c>
      <c r="AB31" s="75">
        <f t="shared" si="3"/>
        <v>45943.396226415098</v>
      </c>
      <c r="AC31" s="75">
        <f t="shared" si="3"/>
        <v>45943.396226415098</v>
      </c>
      <c r="AD31" s="75">
        <f t="shared" si="3"/>
        <v>45943.396226415098</v>
      </c>
      <c r="AE31" s="75">
        <f t="shared" si="3"/>
        <v>45943.396226415098</v>
      </c>
      <c r="AF31" s="75">
        <f t="shared" si="3"/>
        <v>45943.396226415098</v>
      </c>
      <c r="AG31" s="75">
        <f t="shared" si="3"/>
        <v>45943.396226415098</v>
      </c>
    </row>
    <row r="32" spans="2:33" ht="12" x14ac:dyDescent="0.2">
      <c r="B32" t="s">
        <v>493</v>
      </c>
      <c r="C32" s="233">
        <v>85335</v>
      </c>
      <c r="D32" s="230">
        <v>85335</v>
      </c>
      <c r="E32" s="230">
        <v>85335</v>
      </c>
      <c r="F32" s="230">
        <v>85335</v>
      </c>
      <c r="G32" s="230">
        <v>85335</v>
      </c>
      <c r="H32" s="230">
        <v>85335</v>
      </c>
      <c r="I32" s="230">
        <v>85335</v>
      </c>
      <c r="J32" s="230">
        <v>85335</v>
      </c>
      <c r="K32" s="230">
        <v>85335</v>
      </c>
      <c r="L32" s="230">
        <v>85335</v>
      </c>
      <c r="M32" s="230">
        <v>85335</v>
      </c>
      <c r="N32" s="230">
        <v>85335</v>
      </c>
      <c r="O32" s="230">
        <v>85335</v>
      </c>
      <c r="P32" s="230">
        <v>85335</v>
      </c>
      <c r="Q32" s="230">
        <v>85335</v>
      </c>
      <c r="R32" s="230">
        <v>85335</v>
      </c>
      <c r="S32" s="230">
        <v>85335</v>
      </c>
      <c r="T32" s="230">
        <v>85335</v>
      </c>
      <c r="U32" s="230">
        <v>85335</v>
      </c>
      <c r="V32" s="230">
        <v>85335</v>
      </c>
      <c r="W32" s="230">
        <v>85335</v>
      </c>
      <c r="X32" s="230">
        <v>85335</v>
      </c>
      <c r="Y32" s="230">
        <v>85335</v>
      </c>
      <c r="Z32" s="230">
        <v>85335</v>
      </c>
      <c r="AA32" s="230">
        <v>85335</v>
      </c>
      <c r="AB32" s="230">
        <v>85335</v>
      </c>
      <c r="AC32" s="230">
        <v>85335</v>
      </c>
      <c r="AD32" s="230">
        <v>85335</v>
      </c>
      <c r="AE32" s="230">
        <v>85335</v>
      </c>
      <c r="AF32" s="230">
        <v>85335</v>
      </c>
      <c r="AG32" s="230">
        <v>85335</v>
      </c>
    </row>
    <row r="33" spans="1:33" ht="12" x14ac:dyDescent="0.2">
      <c r="B33" t="s">
        <v>494</v>
      </c>
      <c r="C33" s="235">
        <v>15800</v>
      </c>
      <c r="D33" s="236">
        <v>15800</v>
      </c>
      <c r="E33" s="236">
        <v>15800</v>
      </c>
      <c r="F33" s="236">
        <v>15800</v>
      </c>
      <c r="G33" s="236">
        <v>15800</v>
      </c>
      <c r="H33" s="236">
        <v>15800</v>
      </c>
      <c r="I33" s="236">
        <v>15800</v>
      </c>
      <c r="J33" s="236">
        <v>15800</v>
      </c>
      <c r="K33" s="236">
        <v>15800</v>
      </c>
      <c r="L33" s="236">
        <v>15800</v>
      </c>
      <c r="M33" s="236">
        <v>15800</v>
      </c>
      <c r="N33" s="236">
        <v>15800</v>
      </c>
      <c r="O33" s="236">
        <v>15800</v>
      </c>
      <c r="P33" s="236">
        <v>15800</v>
      </c>
      <c r="Q33" s="236">
        <v>15800</v>
      </c>
      <c r="R33" s="236">
        <v>15800</v>
      </c>
      <c r="S33" s="236">
        <v>15800</v>
      </c>
      <c r="T33" s="236">
        <v>15800</v>
      </c>
      <c r="U33" s="236">
        <v>15800</v>
      </c>
      <c r="V33" s="236">
        <v>15800</v>
      </c>
      <c r="W33" s="236">
        <v>15800</v>
      </c>
      <c r="X33" s="236">
        <v>15800</v>
      </c>
      <c r="Y33" s="236">
        <v>15800</v>
      </c>
      <c r="Z33" s="236">
        <v>15800</v>
      </c>
      <c r="AA33" s="236">
        <v>15800</v>
      </c>
      <c r="AB33" s="236">
        <v>15800</v>
      </c>
      <c r="AC33" s="236">
        <v>15800</v>
      </c>
      <c r="AD33" s="236">
        <v>15800</v>
      </c>
      <c r="AE33" s="236">
        <v>15800</v>
      </c>
      <c r="AF33" s="236">
        <v>15800</v>
      </c>
      <c r="AG33" s="236">
        <v>15800</v>
      </c>
    </row>
    <row r="35" spans="1:33" ht="12" x14ac:dyDescent="0.25">
      <c r="B35" s="79" t="s">
        <v>495</v>
      </c>
    </row>
    <row r="36" spans="1:33" ht="12" x14ac:dyDescent="0.25">
      <c r="A36" s="33"/>
      <c r="B36" s="34" t="s">
        <v>496</v>
      </c>
      <c r="C36" s="90"/>
      <c r="D36" s="58"/>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row>
    <row r="37" spans="1:33" ht="12" x14ac:dyDescent="0.2">
      <c r="B37" t="s">
        <v>497</v>
      </c>
      <c r="C37" s="91">
        <f t="shared" ref="C37:AG37" si="4">($C$23*$C$28/$H$3)</f>
        <v>1664.4814022496721</v>
      </c>
      <c r="D37" s="99">
        <f t="shared" si="4"/>
        <v>1664.4814022496721</v>
      </c>
      <c r="E37" s="99">
        <f t="shared" si="4"/>
        <v>1664.4814022496721</v>
      </c>
      <c r="F37" s="99">
        <f t="shared" si="4"/>
        <v>1664.4814022496721</v>
      </c>
      <c r="G37" s="99">
        <f t="shared" si="4"/>
        <v>1664.4814022496721</v>
      </c>
      <c r="H37" s="99">
        <f t="shared" si="4"/>
        <v>1664.4814022496721</v>
      </c>
      <c r="I37" s="99">
        <f t="shared" si="4"/>
        <v>1664.4814022496721</v>
      </c>
      <c r="J37" s="99">
        <f t="shared" si="4"/>
        <v>1664.4814022496721</v>
      </c>
      <c r="K37" s="99">
        <f t="shared" si="4"/>
        <v>1664.4814022496721</v>
      </c>
      <c r="L37" s="99">
        <f t="shared" si="4"/>
        <v>1664.4814022496721</v>
      </c>
      <c r="M37" s="99">
        <f t="shared" si="4"/>
        <v>1664.4814022496721</v>
      </c>
      <c r="N37" s="99">
        <f t="shared" si="4"/>
        <v>1664.4814022496721</v>
      </c>
      <c r="O37" s="99">
        <f t="shared" si="4"/>
        <v>1664.4814022496721</v>
      </c>
      <c r="P37" s="99">
        <f t="shared" si="4"/>
        <v>1664.4814022496721</v>
      </c>
      <c r="Q37" s="99">
        <f t="shared" si="4"/>
        <v>1664.4814022496721</v>
      </c>
      <c r="R37" s="99">
        <f t="shared" si="4"/>
        <v>1664.4814022496721</v>
      </c>
      <c r="S37" s="99">
        <f t="shared" si="4"/>
        <v>1664.4814022496721</v>
      </c>
      <c r="T37" s="99">
        <f t="shared" si="4"/>
        <v>1664.4814022496721</v>
      </c>
      <c r="U37" s="99">
        <f t="shared" si="4"/>
        <v>1664.4814022496721</v>
      </c>
      <c r="V37" s="99">
        <f t="shared" si="4"/>
        <v>1664.4814022496721</v>
      </c>
      <c r="W37" s="99">
        <f t="shared" si="4"/>
        <v>1664.4814022496721</v>
      </c>
      <c r="X37" s="99">
        <f t="shared" si="4"/>
        <v>1664.4814022496721</v>
      </c>
      <c r="Y37" s="99">
        <f t="shared" si="4"/>
        <v>1664.4814022496721</v>
      </c>
      <c r="Z37" s="99">
        <f t="shared" si="4"/>
        <v>1664.4814022496721</v>
      </c>
      <c r="AA37" s="99">
        <f t="shared" si="4"/>
        <v>1664.4814022496721</v>
      </c>
      <c r="AB37" s="99">
        <f t="shared" si="4"/>
        <v>1664.4814022496721</v>
      </c>
      <c r="AC37" s="99">
        <f t="shared" si="4"/>
        <v>1664.4814022496721</v>
      </c>
      <c r="AD37" s="99">
        <f t="shared" si="4"/>
        <v>1664.4814022496721</v>
      </c>
      <c r="AE37" s="99">
        <f t="shared" si="4"/>
        <v>1664.4814022496721</v>
      </c>
      <c r="AF37" s="99">
        <f t="shared" si="4"/>
        <v>1664.4814022496721</v>
      </c>
      <c r="AG37" s="99">
        <f t="shared" si="4"/>
        <v>1664.4814022496721</v>
      </c>
    </row>
    <row r="38" spans="1:33" ht="12" x14ac:dyDescent="0.2">
      <c r="B38" t="s">
        <v>498</v>
      </c>
      <c r="C38" s="91">
        <f t="shared" ref="C38:AG38" si="5">($C$24*$C$28/$H$3)</f>
        <v>1597.7898008518478</v>
      </c>
      <c r="D38" s="99">
        <f t="shared" si="5"/>
        <v>1597.7898008518478</v>
      </c>
      <c r="E38" s="99">
        <f t="shared" si="5"/>
        <v>1597.7898008518478</v>
      </c>
      <c r="F38" s="99">
        <f t="shared" si="5"/>
        <v>1597.7898008518478</v>
      </c>
      <c r="G38" s="99">
        <f t="shared" si="5"/>
        <v>1597.7898008518478</v>
      </c>
      <c r="H38" s="99">
        <f t="shared" si="5"/>
        <v>1597.7898008518478</v>
      </c>
      <c r="I38" s="99">
        <f t="shared" si="5"/>
        <v>1597.7898008518478</v>
      </c>
      <c r="J38" s="99">
        <f t="shared" si="5"/>
        <v>1597.7898008518478</v>
      </c>
      <c r="K38" s="99">
        <f t="shared" si="5"/>
        <v>1597.7898008518478</v>
      </c>
      <c r="L38" s="99">
        <f t="shared" si="5"/>
        <v>1597.7898008518478</v>
      </c>
      <c r="M38" s="99">
        <f t="shared" si="5"/>
        <v>1597.7898008518478</v>
      </c>
      <c r="N38" s="99">
        <f t="shared" si="5"/>
        <v>1597.7898008518478</v>
      </c>
      <c r="O38" s="99">
        <f t="shared" si="5"/>
        <v>1597.7898008518478</v>
      </c>
      <c r="P38" s="99">
        <f t="shared" si="5"/>
        <v>1597.7898008518478</v>
      </c>
      <c r="Q38" s="99">
        <f t="shared" si="5"/>
        <v>1597.7898008518478</v>
      </c>
      <c r="R38" s="99">
        <f t="shared" si="5"/>
        <v>1597.7898008518478</v>
      </c>
      <c r="S38" s="99">
        <f t="shared" si="5"/>
        <v>1597.7898008518478</v>
      </c>
      <c r="T38" s="99">
        <f t="shared" si="5"/>
        <v>1597.7898008518478</v>
      </c>
      <c r="U38" s="99">
        <f t="shared" si="5"/>
        <v>1597.7898008518478</v>
      </c>
      <c r="V38" s="99">
        <f t="shared" si="5"/>
        <v>1597.7898008518478</v>
      </c>
      <c r="W38" s="99">
        <f t="shared" si="5"/>
        <v>1597.7898008518478</v>
      </c>
      <c r="X38" s="99">
        <f t="shared" si="5"/>
        <v>1597.7898008518478</v>
      </c>
      <c r="Y38" s="99">
        <f t="shared" si="5"/>
        <v>1597.7898008518478</v>
      </c>
      <c r="Z38" s="99">
        <f t="shared" si="5"/>
        <v>1597.7898008518478</v>
      </c>
      <c r="AA38" s="99">
        <f t="shared" si="5"/>
        <v>1597.7898008518478</v>
      </c>
      <c r="AB38" s="99">
        <f t="shared" si="5"/>
        <v>1597.7898008518478</v>
      </c>
      <c r="AC38" s="99">
        <f t="shared" si="5"/>
        <v>1597.7898008518478</v>
      </c>
      <c r="AD38" s="99">
        <f t="shared" si="5"/>
        <v>1597.7898008518478</v>
      </c>
      <c r="AE38" s="99">
        <f t="shared" si="5"/>
        <v>1597.7898008518478</v>
      </c>
      <c r="AF38" s="99">
        <f t="shared" si="5"/>
        <v>1597.7898008518478</v>
      </c>
      <c r="AG38" s="99">
        <f t="shared" si="5"/>
        <v>1597.7898008518478</v>
      </c>
    </row>
    <row r="39" spans="1:33" ht="12" x14ac:dyDescent="0.2">
      <c r="B39" t="s">
        <v>499</v>
      </c>
      <c r="C39" s="91">
        <f t="shared" ref="C39:AG39" si="6">($C$25*$C$28/$H$3)</f>
        <v>3163.347530793139</v>
      </c>
      <c r="D39" s="99">
        <f t="shared" si="6"/>
        <v>3163.347530793139</v>
      </c>
      <c r="E39" s="99">
        <f t="shared" si="6"/>
        <v>3163.347530793139</v>
      </c>
      <c r="F39" s="99">
        <f t="shared" si="6"/>
        <v>3163.347530793139</v>
      </c>
      <c r="G39" s="99">
        <f t="shared" si="6"/>
        <v>3163.347530793139</v>
      </c>
      <c r="H39" s="99">
        <f t="shared" si="6"/>
        <v>3163.347530793139</v>
      </c>
      <c r="I39" s="99">
        <f t="shared" si="6"/>
        <v>3163.347530793139</v>
      </c>
      <c r="J39" s="99">
        <f t="shared" si="6"/>
        <v>3163.347530793139</v>
      </c>
      <c r="K39" s="99">
        <f t="shared" si="6"/>
        <v>3163.347530793139</v>
      </c>
      <c r="L39" s="99">
        <f t="shared" si="6"/>
        <v>3163.347530793139</v>
      </c>
      <c r="M39" s="99">
        <f t="shared" si="6"/>
        <v>3163.347530793139</v>
      </c>
      <c r="N39" s="99">
        <f t="shared" si="6"/>
        <v>3163.347530793139</v>
      </c>
      <c r="O39" s="99">
        <f t="shared" si="6"/>
        <v>3163.347530793139</v>
      </c>
      <c r="P39" s="99">
        <f t="shared" si="6"/>
        <v>3163.347530793139</v>
      </c>
      <c r="Q39" s="99">
        <f t="shared" si="6"/>
        <v>3163.347530793139</v>
      </c>
      <c r="R39" s="99">
        <f t="shared" si="6"/>
        <v>3163.347530793139</v>
      </c>
      <c r="S39" s="99">
        <f t="shared" si="6"/>
        <v>3163.347530793139</v>
      </c>
      <c r="T39" s="99">
        <f t="shared" si="6"/>
        <v>3163.347530793139</v>
      </c>
      <c r="U39" s="99">
        <f t="shared" si="6"/>
        <v>3163.347530793139</v>
      </c>
      <c r="V39" s="99">
        <f t="shared" si="6"/>
        <v>3163.347530793139</v>
      </c>
      <c r="W39" s="99">
        <f t="shared" si="6"/>
        <v>3163.347530793139</v>
      </c>
      <c r="X39" s="99">
        <f t="shared" si="6"/>
        <v>3163.347530793139</v>
      </c>
      <c r="Y39" s="99">
        <f t="shared" si="6"/>
        <v>3163.347530793139</v>
      </c>
      <c r="Z39" s="99">
        <f t="shared" si="6"/>
        <v>3163.347530793139</v>
      </c>
      <c r="AA39" s="99">
        <f t="shared" si="6"/>
        <v>3163.347530793139</v>
      </c>
      <c r="AB39" s="99">
        <f t="shared" si="6"/>
        <v>3163.347530793139</v>
      </c>
      <c r="AC39" s="99">
        <f t="shared" si="6"/>
        <v>3163.347530793139</v>
      </c>
      <c r="AD39" s="99">
        <f t="shared" si="6"/>
        <v>3163.347530793139</v>
      </c>
      <c r="AE39" s="99">
        <f t="shared" si="6"/>
        <v>3163.347530793139</v>
      </c>
      <c r="AF39" s="99">
        <f t="shared" si="6"/>
        <v>3163.347530793139</v>
      </c>
      <c r="AG39" s="99">
        <f t="shared" si="6"/>
        <v>3163.347530793139</v>
      </c>
    </row>
    <row r="40" spans="1:33" ht="12" x14ac:dyDescent="0.2">
      <c r="C40" s="91"/>
      <c r="D40" s="99"/>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row>
    <row r="41" spans="1:33" ht="12" x14ac:dyDescent="0.25">
      <c r="A41" s="33"/>
      <c r="B41" s="34" t="s">
        <v>490</v>
      </c>
      <c r="C41" s="92"/>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row>
    <row r="42" spans="1:33" ht="12" x14ac:dyDescent="0.2">
      <c r="B42" t="s">
        <v>497</v>
      </c>
      <c r="C42" s="91">
        <f t="shared" ref="C42:AG42" si="7">($C$29*$C$23/$H$3)</f>
        <v>546.28279621834247</v>
      </c>
      <c r="D42" s="99">
        <f t="shared" si="7"/>
        <v>546.28279621834247</v>
      </c>
      <c r="E42" s="99">
        <f t="shared" si="7"/>
        <v>546.28279621834247</v>
      </c>
      <c r="F42" s="99">
        <f t="shared" si="7"/>
        <v>546.28279621834247</v>
      </c>
      <c r="G42" s="99">
        <f t="shared" si="7"/>
        <v>546.28279621834247</v>
      </c>
      <c r="H42" s="99">
        <f t="shared" si="7"/>
        <v>546.28279621834247</v>
      </c>
      <c r="I42" s="99">
        <f t="shared" si="7"/>
        <v>546.28279621834247</v>
      </c>
      <c r="J42" s="99">
        <f t="shared" si="7"/>
        <v>546.28279621834247</v>
      </c>
      <c r="K42" s="99">
        <f t="shared" si="7"/>
        <v>546.28279621834247</v>
      </c>
      <c r="L42" s="99">
        <f t="shared" si="7"/>
        <v>546.28279621834247</v>
      </c>
      <c r="M42" s="99">
        <f t="shared" si="7"/>
        <v>546.28279621834247</v>
      </c>
      <c r="N42" s="99">
        <f t="shared" si="7"/>
        <v>546.28279621834247</v>
      </c>
      <c r="O42" s="99">
        <f t="shared" si="7"/>
        <v>546.28279621834247</v>
      </c>
      <c r="P42" s="99">
        <f t="shared" si="7"/>
        <v>546.28279621834247</v>
      </c>
      <c r="Q42" s="99">
        <f t="shared" si="7"/>
        <v>546.28279621834247</v>
      </c>
      <c r="R42" s="99">
        <f t="shared" si="7"/>
        <v>546.28279621834247</v>
      </c>
      <c r="S42" s="99">
        <f t="shared" si="7"/>
        <v>546.28279621834247</v>
      </c>
      <c r="T42" s="99">
        <f t="shared" si="7"/>
        <v>546.28279621834247</v>
      </c>
      <c r="U42" s="99">
        <f t="shared" si="7"/>
        <v>546.28279621834247</v>
      </c>
      <c r="V42" s="99">
        <f t="shared" si="7"/>
        <v>546.28279621834247</v>
      </c>
      <c r="W42" s="99">
        <f t="shared" si="7"/>
        <v>546.28279621834247</v>
      </c>
      <c r="X42" s="99">
        <f t="shared" si="7"/>
        <v>546.28279621834247</v>
      </c>
      <c r="Y42" s="99">
        <f t="shared" si="7"/>
        <v>546.28279621834247</v>
      </c>
      <c r="Z42" s="99">
        <f t="shared" si="7"/>
        <v>546.28279621834247</v>
      </c>
      <c r="AA42" s="99">
        <f t="shared" si="7"/>
        <v>546.28279621834247</v>
      </c>
      <c r="AB42" s="99">
        <f t="shared" si="7"/>
        <v>546.28279621834247</v>
      </c>
      <c r="AC42" s="99">
        <f t="shared" si="7"/>
        <v>546.28279621834247</v>
      </c>
      <c r="AD42" s="99">
        <f t="shared" si="7"/>
        <v>546.28279621834247</v>
      </c>
      <c r="AE42" s="99">
        <f t="shared" si="7"/>
        <v>546.28279621834247</v>
      </c>
      <c r="AF42" s="99">
        <f t="shared" si="7"/>
        <v>546.28279621834247</v>
      </c>
      <c r="AG42" s="99">
        <f t="shared" si="7"/>
        <v>546.28279621834247</v>
      </c>
    </row>
    <row r="43" spans="1:33" ht="12" x14ac:dyDescent="0.2">
      <c r="B43" t="s">
        <v>498</v>
      </c>
      <c r="C43" s="91">
        <f t="shared" ref="C43:AG43" si="8">($C$29*$C$24/$H$3)</f>
        <v>524.39461263957639</v>
      </c>
      <c r="D43" s="99">
        <f t="shared" si="8"/>
        <v>524.39461263957639</v>
      </c>
      <c r="E43" s="99">
        <f t="shared" si="8"/>
        <v>524.39461263957639</v>
      </c>
      <c r="F43" s="99">
        <f t="shared" si="8"/>
        <v>524.39461263957639</v>
      </c>
      <c r="G43" s="99">
        <f t="shared" si="8"/>
        <v>524.39461263957639</v>
      </c>
      <c r="H43" s="99">
        <f t="shared" si="8"/>
        <v>524.39461263957639</v>
      </c>
      <c r="I43" s="99">
        <f t="shared" si="8"/>
        <v>524.39461263957639</v>
      </c>
      <c r="J43" s="99">
        <f t="shared" si="8"/>
        <v>524.39461263957639</v>
      </c>
      <c r="K43" s="99">
        <f t="shared" si="8"/>
        <v>524.39461263957639</v>
      </c>
      <c r="L43" s="99">
        <f t="shared" si="8"/>
        <v>524.39461263957639</v>
      </c>
      <c r="M43" s="99">
        <f t="shared" si="8"/>
        <v>524.39461263957639</v>
      </c>
      <c r="N43" s="99">
        <f t="shared" si="8"/>
        <v>524.39461263957639</v>
      </c>
      <c r="O43" s="99">
        <f t="shared" si="8"/>
        <v>524.39461263957639</v>
      </c>
      <c r="P43" s="99">
        <f t="shared" si="8"/>
        <v>524.39461263957639</v>
      </c>
      <c r="Q43" s="99">
        <f t="shared" si="8"/>
        <v>524.39461263957639</v>
      </c>
      <c r="R43" s="99">
        <f t="shared" si="8"/>
        <v>524.39461263957639</v>
      </c>
      <c r="S43" s="99">
        <f t="shared" si="8"/>
        <v>524.39461263957639</v>
      </c>
      <c r="T43" s="99">
        <f t="shared" si="8"/>
        <v>524.39461263957639</v>
      </c>
      <c r="U43" s="99">
        <f t="shared" si="8"/>
        <v>524.39461263957639</v>
      </c>
      <c r="V43" s="99">
        <f t="shared" si="8"/>
        <v>524.39461263957639</v>
      </c>
      <c r="W43" s="99">
        <f t="shared" si="8"/>
        <v>524.39461263957639</v>
      </c>
      <c r="X43" s="99">
        <f t="shared" si="8"/>
        <v>524.39461263957639</v>
      </c>
      <c r="Y43" s="99">
        <f t="shared" si="8"/>
        <v>524.39461263957639</v>
      </c>
      <c r="Z43" s="99">
        <f t="shared" si="8"/>
        <v>524.39461263957639</v>
      </c>
      <c r="AA43" s="99">
        <f t="shared" si="8"/>
        <v>524.39461263957639</v>
      </c>
      <c r="AB43" s="99">
        <f t="shared" si="8"/>
        <v>524.39461263957639</v>
      </c>
      <c r="AC43" s="99">
        <f t="shared" si="8"/>
        <v>524.39461263957639</v>
      </c>
      <c r="AD43" s="99">
        <f t="shared" si="8"/>
        <v>524.39461263957639</v>
      </c>
      <c r="AE43" s="99">
        <f t="shared" si="8"/>
        <v>524.39461263957639</v>
      </c>
      <c r="AF43" s="99">
        <f t="shared" si="8"/>
        <v>524.39461263957639</v>
      </c>
      <c r="AG43" s="99">
        <f t="shared" si="8"/>
        <v>524.39461263957639</v>
      </c>
    </row>
    <row r="44" spans="1:33" ht="12" x14ac:dyDescent="0.2">
      <c r="B44" t="s">
        <v>499</v>
      </c>
      <c r="C44" s="91">
        <f t="shared" ref="C44:AG44" si="9">($C$29*$C$25/$H$3)</f>
        <v>1038.2106596063081</v>
      </c>
      <c r="D44" s="99">
        <f t="shared" si="9"/>
        <v>1038.2106596063081</v>
      </c>
      <c r="E44" s="99">
        <f t="shared" si="9"/>
        <v>1038.2106596063081</v>
      </c>
      <c r="F44" s="99">
        <f t="shared" si="9"/>
        <v>1038.2106596063081</v>
      </c>
      <c r="G44" s="99">
        <f t="shared" si="9"/>
        <v>1038.2106596063081</v>
      </c>
      <c r="H44" s="99">
        <f t="shared" si="9"/>
        <v>1038.2106596063081</v>
      </c>
      <c r="I44" s="99">
        <f t="shared" si="9"/>
        <v>1038.2106596063081</v>
      </c>
      <c r="J44" s="99">
        <f t="shared" si="9"/>
        <v>1038.2106596063081</v>
      </c>
      <c r="K44" s="99">
        <f t="shared" si="9"/>
        <v>1038.2106596063081</v>
      </c>
      <c r="L44" s="99">
        <f t="shared" si="9"/>
        <v>1038.2106596063081</v>
      </c>
      <c r="M44" s="99">
        <f t="shared" si="9"/>
        <v>1038.2106596063081</v>
      </c>
      <c r="N44" s="99">
        <f t="shared" si="9"/>
        <v>1038.2106596063081</v>
      </c>
      <c r="O44" s="99">
        <f t="shared" si="9"/>
        <v>1038.2106596063081</v>
      </c>
      <c r="P44" s="99">
        <f t="shared" si="9"/>
        <v>1038.2106596063081</v>
      </c>
      <c r="Q44" s="99">
        <f t="shared" si="9"/>
        <v>1038.2106596063081</v>
      </c>
      <c r="R44" s="99">
        <f t="shared" si="9"/>
        <v>1038.2106596063081</v>
      </c>
      <c r="S44" s="99">
        <f t="shared" si="9"/>
        <v>1038.2106596063081</v>
      </c>
      <c r="T44" s="99">
        <f t="shared" si="9"/>
        <v>1038.2106596063081</v>
      </c>
      <c r="U44" s="99">
        <f t="shared" si="9"/>
        <v>1038.2106596063081</v>
      </c>
      <c r="V44" s="99">
        <f t="shared" si="9"/>
        <v>1038.2106596063081</v>
      </c>
      <c r="W44" s="99">
        <f t="shared" si="9"/>
        <v>1038.2106596063081</v>
      </c>
      <c r="X44" s="99">
        <f t="shared" si="9"/>
        <v>1038.2106596063081</v>
      </c>
      <c r="Y44" s="99">
        <f t="shared" si="9"/>
        <v>1038.2106596063081</v>
      </c>
      <c r="Z44" s="99">
        <f t="shared" si="9"/>
        <v>1038.2106596063081</v>
      </c>
      <c r="AA44" s="99">
        <f t="shared" si="9"/>
        <v>1038.2106596063081</v>
      </c>
      <c r="AB44" s="99">
        <f t="shared" si="9"/>
        <v>1038.2106596063081</v>
      </c>
      <c r="AC44" s="99">
        <f t="shared" si="9"/>
        <v>1038.2106596063081</v>
      </c>
      <c r="AD44" s="99">
        <f t="shared" si="9"/>
        <v>1038.2106596063081</v>
      </c>
      <c r="AE44" s="99">
        <f t="shared" si="9"/>
        <v>1038.2106596063081</v>
      </c>
      <c r="AF44" s="99">
        <f t="shared" si="9"/>
        <v>1038.2106596063081</v>
      </c>
      <c r="AG44" s="99">
        <f t="shared" si="9"/>
        <v>1038.2106596063081</v>
      </c>
    </row>
    <row r="45" spans="1:33" ht="12" x14ac:dyDescent="0.2">
      <c r="C45" s="91"/>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row>
    <row r="46" spans="1:33" ht="12" x14ac:dyDescent="0.25">
      <c r="A46" s="33"/>
      <c r="B46" s="34" t="s">
        <v>500</v>
      </c>
      <c r="C46" s="90"/>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row>
    <row r="47" spans="1:33" ht="12" x14ac:dyDescent="0.2">
      <c r="B47" t="s">
        <v>497</v>
      </c>
      <c r="C47" s="91">
        <f t="shared" ref="C47:AG47" si="10">($C$30*$C$23/$H$3)</f>
        <v>2356.4063211648609</v>
      </c>
      <c r="D47" s="99">
        <f t="shared" si="10"/>
        <v>2356.4063211648609</v>
      </c>
      <c r="E47" s="99">
        <f t="shared" si="10"/>
        <v>2356.4063211648609</v>
      </c>
      <c r="F47" s="99">
        <f t="shared" si="10"/>
        <v>2356.4063211648609</v>
      </c>
      <c r="G47" s="99">
        <f t="shared" si="10"/>
        <v>2356.4063211648609</v>
      </c>
      <c r="H47" s="99">
        <f t="shared" si="10"/>
        <v>2356.4063211648609</v>
      </c>
      <c r="I47" s="99">
        <f t="shared" si="10"/>
        <v>2356.4063211648609</v>
      </c>
      <c r="J47" s="99">
        <f t="shared" si="10"/>
        <v>2356.4063211648609</v>
      </c>
      <c r="K47" s="99">
        <f t="shared" si="10"/>
        <v>2356.4063211648609</v>
      </c>
      <c r="L47" s="99">
        <f t="shared" si="10"/>
        <v>2356.4063211648609</v>
      </c>
      <c r="M47" s="99">
        <f t="shared" si="10"/>
        <v>2356.4063211648609</v>
      </c>
      <c r="N47" s="99">
        <f t="shared" si="10"/>
        <v>2356.4063211648609</v>
      </c>
      <c r="O47" s="99">
        <f t="shared" si="10"/>
        <v>2356.4063211648609</v>
      </c>
      <c r="P47" s="99">
        <f t="shared" si="10"/>
        <v>2356.4063211648609</v>
      </c>
      <c r="Q47" s="99">
        <f t="shared" si="10"/>
        <v>2356.4063211648609</v>
      </c>
      <c r="R47" s="99">
        <f t="shared" si="10"/>
        <v>2356.4063211648609</v>
      </c>
      <c r="S47" s="99">
        <f t="shared" si="10"/>
        <v>2356.4063211648609</v>
      </c>
      <c r="T47" s="99">
        <f t="shared" si="10"/>
        <v>2356.4063211648609</v>
      </c>
      <c r="U47" s="99">
        <f t="shared" si="10"/>
        <v>2356.4063211648609</v>
      </c>
      <c r="V47" s="99">
        <f t="shared" si="10"/>
        <v>2356.4063211648609</v>
      </c>
      <c r="W47" s="99">
        <f t="shared" si="10"/>
        <v>2356.4063211648609</v>
      </c>
      <c r="X47" s="99">
        <f t="shared" si="10"/>
        <v>2356.4063211648609</v>
      </c>
      <c r="Y47" s="99">
        <f t="shared" si="10"/>
        <v>2356.4063211648609</v>
      </c>
      <c r="Z47" s="99">
        <f t="shared" si="10"/>
        <v>2356.4063211648609</v>
      </c>
      <c r="AA47" s="99">
        <f t="shared" si="10"/>
        <v>2356.4063211648609</v>
      </c>
      <c r="AB47" s="99">
        <f t="shared" si="10"/>
        <v>2356.4063211648609</v>
      </c>
      <c r="AC47" s="99">
        <f t="shared" si="10"/>
        <v>2356.4063211648609</v>
      </c>
      <c r="AD47" s="99">
        <f t="shared" si="10"/>
        <v>2356.4063211648609</v>
      </c>
      <c r="AE47" s="99">
        <f t="shared" si="10"/>
        <v>2356.4063211648609</v>
      </c>
      <c r="AF47" s="99">
        <f t="shared" si="10"/>
        <v>2356.4063211648609</v>
      </c>
      <c r="AG47" s="99">
        <f t="shared" si="10"/>
        <v>2356.4063211648609</v>
      </c>
    </row>
    <row r="48" spans="1:33" ht="12" x14ac:dyDescent="0.2">
      <c r="B48" t="s">
        <v>498</v>
      </c>
      <c r="C48" s="91">
        <f t="shared" ref="C48:AG48" si="11">($C$30*$C$24/$H$3)</f>
        <v>2261.9910210659609</v>
      </c>
      <c r="D48" s="99">
        <f t="shared" si="11"/>
        <v>2261.9910210659609</v>
      </c>
      <c r="E48" s="99">
        <f t="shared" si="11"/>
        <v>2261.9910210659609</v>
      </c>
      <c r="F48" s="99">
        <f t="shared" si="11"/>
        <v>2261.9910210659609</v>
      </c>
      <c r="G48" s="99">
        <f t="shared" si="11"/>
        <v>2261.9910210659609</v>
      </c>
      <c r="H48" s="99">
        <f t="shared" si="11"/>
        <v>2261.9910210659609</v>
      </c>
      <c r="I48" s="99">
        <f t="shared" si="11"/>
        <v>2261.9910210659609</v>
      </c>
      <c r="J48" s="99">
        <f t="shared" si="11"/>
        <v>2261.9910210659609</v>
      </c>
      <c r="K48" s="99">
        <f t="shared" si="11"/>
        <v>2261.9910210659609</v>
      </c>
      <c r="L48" s="99">
        <f t="shared" si="11"/>
        <v>2261.9910210659609</v>
      </c>
      <c r="M48" s="99">
        <f t="shared" si="11"/>
        <v>2261.9910210659609</v>
      </c>
      <c r="N48" s="99">
        <f t="shared" si="11"/>
        <v>2261.9910210659609</v>
      </c>
      <c r="O48" s="99">
        <f t="shared" si="11"/>
        <v>2261.9910210659609</v>
      </c>
      <c r="P48" s="99">
        <f t="shared" si="11"/>
        <v>2261.9910210659609</v>
      </c>
      <c r="Q48" s="99">
        <f t="shared" si="11"/>
        <v>2261.9910210659609</v>
      </c>
      <c r="R48" s="99">
        <f t="shared" si="11"/>
        <v>2261.9910210659609</v>
      </c>
      <c r="S48" s="99">
        <f t="shared" si="11"/>
        <v>2261.9910210659609</v>
      </c>
      <c r="T48" s="99">
        <f t="shared" si="11"/>
        <v>2261.9910210659609</v>
      </c>
      <c r="U48" s="99">
        <f t="shared" si="11"/>
        <v>2261.9910210659609</v>
      </c>
      <c r="V48" s="99">
        <f t="shared" si="11"/>
        <v>2261.9910210659609</v>
      </c>
      <c r="W48" s="99">
        <f t="shared" si="11"/>
        <v>2261.9910210659609</v>
      </c>
      <c r="X48" s="99">
        <f t="shared" si="11"/>
        <v>2261.9910210659609</v>
      </c>
      <c r="Y48" s="99">
        <f t="shared" si="11"/>
        <v>2261.9910210659609</v>
      </c>
      <c r="Z48" s="99">
        <f t="shared" si="11"/>
        <v>2261.9910210659609</v>
      </c>
      <c r="AA48" s="99">
        <f t="shared" si="11"/>
        <v>2261.9910210659609</v>
      </c>
      <c r="AB48" s="99">
        <f t="shared" si="11"/>
        <v>2261.9910210659609</v>
      </c>
      <c r="AC48" s="99">
        <f t="shared" si="11"/>
        <v>2261.9910210659609</v>
      </c>
      <c r="AD48" s="99">
        <f t="shared" si="11"/>
        <v>2261.9910210659609</v>
      </c>
      <c r="AE48" s="99">
        <f t="shared" si="11"/>
        <v>2261.9910210659609</v>
      </c>
      <c r="AF48" s="99">
        <f t="shared" si="11"/>
        <v>2261.9910210659609</v>
      </c>
      <c r="AG48" s="99">
        <f t="shared" si="11"/>
        <v>2261.9910210659609</v>
      </c>
    </row>
    <row r="49" spans="1:33" ht="12" x14ac:dyDescent="0.2">
      <c r="B49" t="s">
        <v>499</v>
      </c>
      <c r="C49" s="91">
        <f t="shared" ref="C49:AG49" si="12">($C$30*$C$25/$H$3)</f>
        <v>4478.3510993438476</v>
      </c>
      <c r="D49" s="99">
        <f t="shared" si="12"/>
        <v>4478.3510993438476</v>
      </c>
      <c r="E49" s="99">
        <f t="shared" si="12"/>
        <v>4478.3510993438476</v>
      </c>
      <c r="F49" s="99">
        <f t="shared" si="12"/>
        <v>4478.3510993438476</v>
      </c>
      <c r="G49" s="99">
        <f t="shared" si="12"/>
        <v>4478.3510993438476</v>
      </c>
      <c r="H49" s="99">
        <f t="shared" si="12"/>
        <v>4478.3510993438476</v>
      </c>
      <c r="I49" s="99">
        <f t="shared" si="12"/>
        <v>4478.3510993438476</v>
      </c>
      <c r="J49" s="99">
        <f t="shared" si="12"/>
        <v>4478.3510993438476</v>
      </c>
      <c r="K49" s="99">
        <f t="shared" si="12"/>
        <v>4478.3510993438476</v>
      </c>
      <c r="L49" s="99">
        <f t="shared" si="12"/>
        <v>4478.3510993438476</v>
      </c>
      <c r="M49" s="99">
        <f t="shared" si="12"/>
        <v>4478.3510993438476</v>
      </c>
      <c r="N49" s="99">
        <f t="shared" si="12"/>
        <v>4478.3510993438476</v>
      </c>
      <c r="O49" s="99">
        <f t="shared" si="12"/>
        <v>4478.3510993438476</v>
      </c>
      <c r="P49" s="99">
        <f t="shared" si="12"/>
        <v>4478.3510993438476</v>
      </c>
      <c r="Q49" s="99">
        <f t="shared" si="12"/>
        <v>4478.3510993438476</v>
      </c>
      <c r="R49" s="99">
        <f t="shared" si="12"/>
        <v>4478.3510993438476</v>
      </c>
      <c r="S49" s="99">
        <f t="shared" si="12"/>
        <v>4478.3510993438476</v>
      </c>
      <c r="T49" s="99">
        <f t="shared" si="12"/>
        <v>4478.3510993438476</v>
      </c>
      <c r="U49" s="99">
        <f t="shared" si="12"/>
        <v>4478.3510993438476</v>
      </c>
      <c r="V49" s="99">
        <f t="shared" si="12"/>
        <v>4478.3510993438476</v>
      </c>
      <c r="W49" s="99">
        <f t="shared" si="12"/>
        <v>4478.3510993438476</v>
      </c>
      <c r="X49" s="99">
        <f t="shared" si="12"/>
        <v>4478.3510993438476</v>
      </c>
      <c r="Y49" s="99">
        <f t="shared" si="12"/>
        <v>4478.3510993438476</v>
      </c>
      <c r="Z49" s="99">
        <f t="shared" si="12"/>
        <v>4478.3510993438476</v>
      </c>
      <c r="AA49" s="99">
        <f t="shared" si="12"/>
        <v>4478.3510993438476</v>
      </c>
      <c r="AB49" s="99">
        <f t="shared" si="12"/>
        <v>4478.3510993438476</v>
      </c>
      <c r="AC49" s="99">
        <f t="shared" si="12"/>
        <v>4478.3510993438476</v>
      </c>
      <c r="AD49" s="99">
        <f t="shared" si="12"/>
        <v>4478.3510993438476</v>
      </c>
      <c r="AE49" s="99">
        <f t="shared" si="12"/>
        <v>4478.3510993438476</v>
      </c>
      <c r="AF49" s="99">
        <f t="shared" si="12"/>
        <v>4478.3510993438476</v>
      </c>
      <c r="AG49" s="99">
        <f t="shared" si="12"/>
        <v>4478.3510993438476</v>
      </c>
    </row>
    <row r="50" spans="1:33" ht="12" x14ac:dyDescent="0.2">
      <c r="C50" s="91"/>
      <c r="D50" s="99"/>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row>
    <row r="51" spans="1:33" ht="12" x14ac:dyDescent="0.25">
      <c r="A51" s="33"/>
      <c r="B51" s="34" t="s">
        <v>501</v>
      </c>
      <c r="C51" s="90"/>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row>
    <row r="52" spans="1:33" ht="12" x14ac:dyDescent="0.2">
      <c r="B52" t="s">
        <v>497</v>
      </c>
      <c r="C52" s="91">
        <f t="shared" ref="C52:AG52" si="13">($C$31*$C$23/$H$3)</f>
        <v>1911.7982143763923</v>
      </c>
      <c r="D52" s="99">
        <f t="shared" si="13"/>
        <v>1911.7982143763923</v>
      </c>
      <c r="E52" s="99">
        <f t="shared" si="13"/>
        <v>1911.7982143763923</v>
      </c>
      <c r="F52" s="99">
        <f t="shared" si="13"/>
        <v>1911.7982143763923</v>
      </c>
      <c r="G52" s="99">
        <f t="shared" si="13"/>
        <v>1911.7982143763923</v>
      </c>
      <c r="H52" s="99">
        <f t="shared" si="13"/>
        <v>1911.7982143763923</v>
      </c>
      <c r="I52" s="99">
        <f t="shared" si="13"/>
        <v>1911.7982143763923</v>
      </c>
      <c r="J52" s="99">
        <f t="shared" si="13"/>
        <v>1911.7982143763923</v>
      </c>
      <c r="K52" s="99">
        <f t="shared" si="13"/>
        <v>1911.7982143763923</v>
      </c>
      <c r="L52" s="99">
        <f t="shared" si="13"/>
        <v>1911.7982143763923</v>
      </c>
      <c r="M52" s="99">
        <f t="shared" si="13"/>
        <v>1911.7982143763923</v>
      </c>
      <c r="N52" s="99">
        <f t="shared" si="13"/>
        <v>1911.7982143763923</v>
      </c>
      <c r="O52" s="99">
        <f t="shared" si="13"/>
        <v>1911.7982143763923</v>
      </c>
      <c r="P52" s="99">
        <f t="shared" si="13"/>
        <v>1911.7982143763923</v>
      </c>
      <c r="Q52" s="99">
        <f t="shared" si="13"/>
        <v>1911.7982143763923</v>
      </c>
      <c r="R52" s="99">
        <f t="shared" si="13"/>
        <v>1911.7982143763923</v>
      </c>
      <c r="S52" s="99">
        <f t="shared" si="13"/>
        <v>1911.7982143763923</v>
      </c>
      <c r="T52" s="99">
        <f t="shared" si="13"/>
        <v>1911.7982143763923</v>
      </c>
      <c r="U52" s="99">
        <f t="shared" si="13"/>
        <v>1911.7982143763923</v>
      </c>
      <c r="V52" s="99">
        <f t="shared" si="13"/>
        <v>1911.7982143763923</v>
      </c>
      <c r="W52" s="99">
        <f t="shared" si="13"/>
        <v>1911.7982143763923</v>
      </c>
      <c r="X52" s="99">
        <f t="shared" si="13"/>
        <v>1911.7982143763923</v>
      </c>
      <c r="Y52" s="99">
        <f t="shared" si="13"/>
        <v>1911.7982143763923</v>
      </c>
      <c r="Z52" s="99">
        <f t="shared" si="13"/>
        <v>1911.7982143763923</v>
      </c>
      <c r="AA52" s="99">
        <f t="shared" si="13"/>
        <v>1911.7982143763923</v>
      </c>
      <c r="AB52" s="99">
        <f t="shared" si="13"/>
        <v>1911.7982143763923</v>
      </c>
      <c r="AC52" s="99">
        <f t="shared" si="13"/>
        <v>1911.7982143763923</v>
      </c>
      <c r="AD52" s="99">
        <f t="shared" si="13"/>
        <v>1911.7982143763923</v>
      </c>
      <c r="AE52" s="99">
        <f t="shared" si="13"/>
        <v>1911.7982143763923</v>
      </c>
      <c r="AF52" s="102">
        <f t="shared" si="13"/>
        <v>1911.7982143763923</v>
      </c>
      <c r="AG52" s="102">
        <f t="shared" si="13"/>
        <v>1911.7982143763923</v>
      </c>
    </row>
    <row r="53" spans="1:33" ht="12" x14ac:dyDescent="0.2">
      <c r="B53" t="s">
        <v>498</v>
      </c>
      <c r="C53" s="91">
        <f t="shared" ref="C53:AG53" si="14">($C$31*$C$24/$H$3)</f>
        <v>1835.1972476765327</v>
      </c>
      <c r="D53" s="99">
        <f t="shared" si="14"/>
        <v>1835.1972476765327</v>
      </c>
      <c r="E53" s="99">
        <f t="shared" si="14"/>
        <v>1835.1972476765327</v>
      </c>
      <c r="F53" s="99">
        <f t="shared" si="14"/>
        <v>1835.1972476765327</v>
      </c>
      <c r="G53" s="99">
        <f t="shared" si="14"/>
        <v>1835.1972476765327</v>
      </c>
      <c r="H53" s="99">
        <f t="shared" si="14"/>
        <v>1835.1972476765327</v>
      </c>
      <c r="I53" s="99">
        <f t="shared" si="14"/>
        <v>1835.1972476765327</v>
      </c>
      <c r="J53" s="99">
        <f t="shared" si="14"/>
        <v>1835.1972476765327</v>
      </c>
      <c r="K53" s="99">
        <f t="shared" si="14"/>
        <v>1835.1972476765327</v>
      </c>
      <c r="L53" s="99">
        <f t="shared" si="14"/>
        <v>1835.1972476765327</v>
      </c>
      <c r="M53" s="99">
        <f t="shared" si="14"/>
        <v>1835.1972476765327</v>
      </c>
      <c r="N53" s="99">
        <f t="shared" si="14"/>
        <v>1835.1972476765327</v>
      </c>
      <c r="O53" s="99">
        <f t="shared" si="14"/>
        <v>1835.1972476765327</v>
      </c>
      <c r="P53" s="99">
        <f t="shared" si="14"/>
        <v>1835.1972476765327</v>
      </c>
      <c r="Q53" s="99">
        <f t="shared" si="14"/>
        <v>1835.1972476765327</v>
      </c>
      <c r="R53" s="99">
        <f t="shared" si="14"/>
        <v>1835.1972476765327</v>
      </c>
      <c r="S53" s="99">
        <f t="shared" si="14"/>
        <v>1835.1972476765327</v>
      </c>
      <c r="T53" s="99">
        <f t="shared" si="14"/>
        <v>1835.1972476765327</v>
      </c>
      <c r="U53" s="99">
        <f t="shared" si="14"/>
        <v>1835.1972476765327</v>
      </c>
      <c r="V53" s="99">
        <f t="shared" si="14"/>
        <v>1835.1972476765327</v>
      </c>
      <c r="W53" s="99">
        <f t="shared" si="14"/>
        <v>1835.1972476765327</v>
      </c>
      <c r="X53" s="99">
        <f t="shared" si="14"/>
        <v>1835.1972476765327</v>
      </c>
      <c r="Y53" s="99">
        <f t="shared" si="14"/>
        <v>1835.1972476765327</v>
      </c>
      <c r="Z53" s="99">
        <f t="shared" si="14"/>
        <v>1835.1972476765327</v>
      </c>
      <c r="AA53" s="99">
        <f t="shared" si="14"/>
        <v>1835.1972476765327</v>
      </c>
      <c r="AB53" s="99">
        <f t="shared" si="14"/>
        <v>1835.1972476765327</v>
      </c>
      <c r="AC53" s="99">
        <f t="shared" si="14"/>
        <v>1835.1972476765327</v>
      </c>
      <c r="AD53" s="99">
        <f t="shared" si="14"/>
        <v>1835.1972476765327</v>
      </c>
      <c r="AE53" s="99">
        <f t="shared" si="14"/>
        <v>1835.1972476765327</v>
      </c>
      <c r="AF53" s="102">
        <f t="shared" si="14"/>
        <v>1835.1972476765327</v>
      </c>
      <c r="AG53" s="102">
        <f t="shared" si="14"/>
        <v>1835.1972476765327</v>
      </c>
    </row>
    <row r="54" spans="1:33" ht="12" x14ac:dyDescent="0.2">
      <c r="B54" t="s">
        <v>499</v>
      </c>
      <c r="C54" s="103">
        <f>SUM(C52:C53)</f>
        <v>3746.9954620529252</v>
      </c>
      <c r="D54" s="99">
        <f>C54</f>
        <v>3746.9954620529252</v>
      </c>
      <c r="E54" s="99">
        <f t="shared" ref="E54:AG54" si="15">D54</f>
        <v>3746.9954620529252</v>
      </c>
      <c r="F54" s="99">
        <f t="shared" si="15"/>
        <v>3746.9954620529252</v>
      </c>
      <c r="G54" s="99">
        <f t="shared" si="15"/>
        <v>3746.9954620529252</v>
      </c>
      <c r="H54" s="99">
        <f t="shared" si="15"/>
        <v>3746.9954620529252</v>
      </c>
      <c r="I54" s="99">
        <f t="shared" si="15"/>
        <v>3746.9954620529252</v>
      </c>
      <c r="J54" s="99">
        <f t="shared" si="15"/>
        <v>3746.9954620529252</v>
      </c>
      <c r="K54" s="99">
        <f t="shared" si="15"/>
        <v>3746.9954620529252</v>
      </c>
      <c r="L54" s="99">
        <f t="shared" si="15"/>
        <v>3746.9954620529252</v>
      </c>
      <c r="M54" s="99">
        <f t="shared" si="15"/>
        <v>3746.9954620529252</v>
      </c>
      <c r="N54" s="99">
        <f t="shared" si="15"/>
        <v>3746.9954620529252</v>
      </c>
      <c r="O54" s="99">
        <f t="shared" si="15"/>
        <v>3746.9954620529252</v>
      </c>
      <c r="P54" s="99">
        <f t="shared" si="15"/>
        <v>3746.9954620529252</v>
      </c>
      <c r="Q54" s="99">
        <f t="shared" si="15"/>
        <v>3746.9954620529252</v>
      </c>
      <c r="R54" s="99">
        <f t="shared" si="15"/>
        <v>3746.9954620529252</v>
      </c>
      <c r="S54" s="99">
        <f t="shared" si="15"/>
        <v>3746.9954620529252</v>
      </c>
      <c r="T54" s="99">
        <f t="shared" si="15"/>
        <v>3746.9954620529252</v>
      </c>
      <c r="U54" s="99">
        <f t="shared" si="15"/>
        <v>3746.9954620529252</v>
      </c>
      <c r="V54" s="99">
        <f t="shared" si="15"/>
        <v>3746.9954620529252</v>
      </c>
      <c r="W54" s="99">
        <f t="shared" si="15"/>
        <v>3746.9954620529252</v>
      </c>
      <c r="X54" s="99">
        <f t="shared" si="15"/>
        <v>3746.9954620529252</v>
      </c>
      <c r="Y54" s="99">
        <f t="shared" si="15"/>
        <v>3746.9954620529252</v>
      </c>
      <c r="Z54" s="99">
        <f t="shared" si="15"/>
        <v>3746.9954620529252</v>
      </c>
      <c r="AA54" s="99">
        <f t="shared" si="15"/>
        <v>3746.9954620529252</v>
      </c>
      <c r="AB54" s="99">
        <f t="shared" si="15"/>
        <v>3746.9954620529252</v>
      </c>
      <c r="AC54" s="99">
        <f t="shared" si="15"/>
        <v>3746.9954620529252</v>
      </c>
      <c r="AD54" s="99">
        <f t="shared" si="15"/>
        <v>3746.9954620529252</v>
      </c>
      <c r="AE54" s="99">
        <f t="shared" si="15"/>
        <v>3746.9954620529252</v>
      </c>
      <c r="AF54" s="99">
        <f t="shared" si="15"/>
        <v>3746.9954620529252</v>
      </c>
      <c r="AG54" s="99">
        <f t="shared" si="15"/>
        <v>3746.9954620529252</v>
      </c>
    </row>
    <row r="56" spans="1:33" ht="12" x14ac:dyDescent="0.25">
      <c r="A56" s="33"/>
      <c r="B56" s="34" t="s">
        <v>493</v>
      </c>
      <c r="C56" s="90"/>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row>
    <row r="57" spans="1:33" ht="12" x14ac:dyDescent="0.2">
      <c r="B57" t="s">
        <v>497</v>
      </c>
      <c r="C57" s="91">
        <f t="shared" ref="C57:AG57" si="16">($C$32*$C$23/$H$3)</f>
        <v>3550.963011524394</v>
      </c>
      <c r="D57" s="231">
        <f t="shared" si="16"/>
        <v>3550.963011524394</v>
      </c>
      <c r="E57" s="231">
        <f t="shared" si="16"/>
        <v>3550.963011524394</v>
      </c>
      <c r="F57" s="231">
        <f t="shared" si="16"/>
        <v>3550.963011524394</v>
      </c>
      <c r="G57" s="231">
        <f t="shared" si="16"/>
        <v>3550.963011524394</v>
      </c>
      <c r="H57" s="231">
        <f t="shared" si="16"/>
        <v>3550.963011524394</v>
      </c>
      <c r="I57" s="231">
        <f t="shared" si="16"/>
        <v>3550.963011524394</v>
      </c>
      <c r="J57" s="231">
        <f t="shared" si="16"/>
        <v>3550.963011524394</v>
      </c>
      <c r="K57" s="231">
        <f t="shared" si="16"/>
        <v>3550.963011524394</v>
      </c>
      <c r="L57" s="231">
        <f t="shared" si="16"/>
        <v>3550.963011524394</v>
      </c>
      <c r="M57" s="231">
        <f t="shared" si="16"/>
        <v>3550.963011524394</v>
      </c>
      <c r="N57" s="231">
        <f t="shared" si="16"/>
        <v>3550.963011524394</v>
      </c>
      <c r="O57" s="231">
        <f t="shared" si="16"/>
        <v>3550.963011524394</v>
      </c>
      <c r="P57" s="231">
        <f t="shared" si="16"/>
        <v>3550.963011524394</v>
      </c>
      <c r="Q57" s="231">
        <f t="shared" si="16"/>
        <v>3550.963011524394</v>
      </c>
      <c r="R57" s="231">
        <f t="shared" si="16"/>
        <v>3550.963011524394</v>
      </c>
      <c r="S57" s="231">
        <f t="shared" si="16"/>
        <v>3550.963011524394</v>
      </c>
      <c r="T57" s="231">
        <f t="shared" si="16"/>
        <v>3550.963011524394</v>
      </c>
      <c r="U57" s="231">
        <f t="shared" si="16"/>
        <v>3550.963011524394</v>
      </c>
      <c r="V57" s="231">
        <f t="shared" si="16"/>
        <v>3550.963011524394</v>
      </c>
      <c r="W57" s="231">
        <f t="shared" si="16"/>
        <v>3550.963011524394</v>
      </c>
      <c r="X57" s="231">
        <f t="shared" si="16"/>
        <v>3550.963011524394</v>
      </c>
      <c r="Y57" s="231">
        <f t="shared" si="16"/>
        <v>3550.963011524394</v>
      </c>
      <c r="Z57" s="231">
        <f t="shared" si="16"/>
        <v>3550.963011524394</v>
      </c>
      <c r="AA57" s="231">
        <f t="shared" si="16"/>
        <v>3550.963011524394</v>
      </c>
      <c r="AB57" s="231">
        <f t="shared" si="16"/>
        <v>3550.963011524394</v>
      </c>
      <c r="AC57" s="231">
        <f t="shared" si="16"/>
        <v>3550.963011524394</v>
      </c>
      <c r="AD57" s="231">
        <f t="shared" si="16"/>
        <v>3550.963011524394</v>
      </c>
      <c r="AE57" s="231">
        <f t="shared" si="16"/>
        <v>3550.963011524394</v>
      </c>
      <c r="AF57" s="231">
        <f t="shared" si="16"/>
        <v>3550.963011524394</v>
      </c>
      <c r="AG57" s="231">
        <f t="shared" si="16"/>
        <v>3550.963011524394</v>
      </c>
    </row>
    <row r="58" spans="1:33" ht="12" x14ac:dyDescent="0.2">
      <c r="B58" t="s">
        <v>498</v>
      </c>
      <c r="C58" s="91">
        <f t="shared" ref="C58:AG58" si="17">($C$32*$C$24/$H$3)</f>
        <v>3408.6848163923105</v>
      </c>
      <c r="D58" s="231">
        <f t="shared" si="17"/>
        <v>3408.6848163923105</v>
      </c>
      <c r="E58" s="231">
        <f t="shared" si="17"/>
        <v>3408.6848163923105</v>
      </c>
      <c r="F58" s="231">
        <f t="shared" si="17"/>
        <v>3408.6848163923105</v>
      </c>
      <c r="G58" s="231">
        <f t="shared" si="17"/>
        <v>3408.6848163923105</v>
      </c>
      <c r="H58" s="231">
        <f t="shared" si="17"/>
        <v>3408.6848163923105</v>
      </c>
      <c r="I58" s="231">
        <f t="shared" si="17"/>
        <v>3408.6848163923105</v>
      </c>
      <c r="J58" s="231">
        <f t="shared" si="17"/>
        <v>3408.6848163923105</v>
      </c>
      <c r="K58" s="231">
        <f t="shared" si="17"/>
        <v>3408.6848163923105</v>
      </c>
      <c r="L58" s="231">
        <f t="shared" si="17"/>
        <v>3408.6848163923105</v>
      </c>
      <c r="M58" s="231">
        <f t="shared" si="17"/>
        <v>3408.6848163923105</v>
      </c>
      <c r="N58" s="231">
        <f t="shared" si="17"/>
        <v>3408.6848163923105</v>
      </c>
      <c r="O58" s="231">
        <f t="shared" si="17"/>
        <v>3408.6848163923105</v>
      </c>
      <c r="P58" s="231">
        <f t="shared" si="17"/>
        <v>3408.6848163923105</v>
      </c>
      <c r="Q58" s="231">
        <f t="shared" si="17"/>
        <v>3408.6848163923105</v>
      </c>
      <c r="R58" s="231">
        <f t="shared" si="17"/>
        <v>3408.6848163923105</v>
      </c>
      <c r="S58" s="231">
        <f t="shared" si="17"/>
        <v>3408.6848163923105</v>
      </c>
      <c r="T58" s="231">
        <f t="shared" si="17"/>
        <v>3408.6848163923105</v>
      </c>
      <c r="U58" s="231">
        <f t="shared" si="17"/>
        <v>3408.6848163923105</v>
      </c>
      <c r="V58" s="231">
        <f t="shared" si="17"/>
        <v>3408.6848163923105</v>
      </c>
      <c r="W58" s="231">
        <f t="shared" si="17"/>
        <v>3408.6848163923105</v>
      </c>
      <c r="X58" s="231">
        <f t="shared" si="17"/>
        <v>3408.6848163923105</v>
      </c>
      <c r="Y58" s="231">
        <f t="shared" si="17"/>
        <v>3408.6848163923105</v>
      </c>
      <c r="Z58" s="231">
        <f t="shared" si="17"/>
        <v>3408.6848163923105</v>
      </c>
      <c r="AA58" s="231">
        <f t="shared" si="17"/>
        <v>3408.6848163923105</v>
      </c>
      <c r="AB58" s="231">
        <f t="shared" si="17"/>
        <v>3408.6848163923105</v>
      </c>
      <c r="AC58" s="231">
        <f t="shared" si="17"/>
        <v>3408.6848163923105</v>
      </c>
      <c r="AD58" s="231">
        <f t="shared" si="17"/>
        <v>3408.6848163923105</v>
      </c>
      <c r="AE58" s="231">
        <f t="shared" si="17"/>
        <v>3408.6848163923105</v>
      </c>
      <c r="AF58" s="231">
        <f t="shared" si="17"/>
        <v>3408.6848163923105</v>
      </c>
      <c r="AG58" s="231">
        <f t="shared" si="17"/>
        <v>3408.6848163923105</v>
      </c>
    </row>
    <row r="59" spans="1:33" ht="12" x14ac:dyDescent="0.2">
      <c r="B59" t="s">
        <v>499</v>
      </c>
      <c r="C59" s="103">
        <f>SUM(C57:C58)</f>
        <v>6959.647827916704</v>
      </c>
      <c r="D59" s="99">
        <f t="shared" ref="D59:AG59" si="18">C59</f>
        <v>6959.647827916704</v>
      </c>
      <c r="E59" s="99">
        <f t="shared" si="18"/>
        <v>6959.647827916704</v>
      </c>
      <c r="F59" s="99">
        <f t="shared" si="18"/>
        <v>6959.647827916704</v>
      </c>
      <c r="G59" s="99">
        <f t="shared" si="18"/>
        <v>6959.647827916704</v>
      </c>
      <c r="H59" s="99">
        <f t="shared" si="18"/>
        <v>6959.647827916704</v>
      </c>
      <c r="I59" s="99">
        <f t="shared" si="18"/>
        <v>6959.647827916704</v>
      </c>
      <c r="J59" s="99">
        <f t="shared" si="18"/>
        <v>6959.647827916704</v>
      </c>
      <c r="K59" s="99">
        <f t="shared" si="18"/>
        <v>6959.647827916704</v>
      </c>
      <c r="L59" s="99">
        <f t="shared" si="18"/>
        <v>6959.647827916704</v>
      </c>
      <c r="M59" s="99">
        <f t="shared" si="18"/>
        <v>6959.647827916704</v>
      </c>
      <c r="N59" s="99">
        <f t="shared" si="18"/>
        <v>6959.647827916704</v>
      </c>
      <c r="O59" s="99">
        <f t="shared" si="18"/>
        <v>6959.647827916704</v>
      </c>
      <c r="P59" s="99">
        <f t="shared" si="18"/>
        <v>6959.647827916704</v>
      </c>
      <c r="Q59" s="99">
        <f t="shared" si="18"/>
        <v>6959.647827916704</v>
      </c>
      <c r="R59" s="99">
        <f t="shared" si="18"/>
        <v>6959.647827916704</v>
      </c>
      <c r="S59" s="99">
        <f t="shared" si="18"/>
        <v>6959.647827916704</v>
      </c>
      <c r="T59" s="99">
        <f t="shared" si="18"/>
        <v>6959.647827916704</v>
      </c>
      <c r="U59" s="99">
        <f t="shared" si="18"/>
        <v>6959.647827916704</v>
      </c>
      <c r="V59" s="99">
        <f t="shared" si="18"/>
        <v>6959.647827916704</v>
      </c>
      <c r="W59" s="99">
        <f t="shared" si="18"/>
        <v>6959.647827916704</v>
      </c>
      <c r="X59" s="99">
        <f t="shared" si="18"/>
        <v>6959.647827916704</v>
      </c>
      <c r="Y59" s="99">
        <f t="shared" si="18"/>
        <v>6959.647827916704</v>
      </c>
      <c r="Z59" s="99">
        <f t="shared" si="18"/>
        <v>6959.647827916704</v>
      </c>
      <c r="AA59" s="99">
        <f t="shared" si="18"/>
        <v>6959.647827916704</v>
      </c>
      <c r="AB59" s="99">
        <f t="shared" si="18"/>
        <v>6959.647827916704</v>
      </c>
      <c r="AC59" s="99">
        <f t="shared" si="18"/>
        <v>6959.647827916704</v>
      </c>
      <c r="AD59" s="99">
        <f t="shared" si="18"/>
        <v>6959.647827916704</v>
      </c>
      <c r="AE59" s="99">
        <f t="shared" si="18"/>
        <v>6959.647827916704</v>
      </c>
      <c r="AF59" s="99">
        <f t="shared" si="18"/>
        <v>6959.647827916704</v>
      </c>
      <c r="AG59" s="99">
        <f t="shared" si="18"/>
        <v>6959.647827916704</v>
      </c>
    </row>
    <row r="61" spans="1:33" ht="12" x14ac:dyDescent="0.25">
      <c r="A61" s="33"/>
      <c r="B61" s="34" t="s">
        <v>502</v>
      </c>
      <c r="C61" s="90"/>
      <c r="D61" s="58"/>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row>
    <row r="62" spans="1:33" ht="12" x14ac:dyDescent="0.2">
      <c r="B62" t="s">
        <v>497</v>
      </c>
      <c r="C62" s="91">
        <f t="shared" ref="C62:AG62" si="19">($C$33*$C$23/$H$3)</f>
        <v>657.47015388862053</v>
      </c>
      <c r="D62" s="231">
        <f t="shared" si="19"/>
        <v>657.47015388862053</v>
      </c>
      <c r="E62" s="231">
        <f t="shared" si="19"/>
        <v>657.47015388862053</v>
      </c>
      <c r="F62" s="231">
        <f t="shared" si="19"/>
        <v>657.47015388862053</v>
      </c>
      <c r="G62" s="231">
        <f t="shared" si="19"/>
        <v>657.47015388862053</v>
      </c>
      <c r="H62" s="231">
        <f t="shared" si="19"/>
        <v>657.47015388862053</v>
      </c>
      <c r="I62" s="231">
        <f t="shared" si="19"/>
        <v>657.47015388862053</v>
      </c>
      <c r="J62" s="231">
        <f t="shared" si="19"/>
        <v>657.47015388862053</v>
      </c>
      <c r="K62" s="231">
        <f t="shared" si="19"/>
        <v>657.47015388862053</v>
      </c>
      <c r="L62" s="231">
        <f t="shared" si="19"/>
        <v>657.47015388862053</v>
      </c>
      <c r="M62" s="231">
        <f t="shared" si="19"/>
        <v>657.47015388862053</v>
      </c>
      <c r="N62" s="231">
        <f t="shared" si="19"/>
        <v>657.47015388862053</v>
      </c>
      <c r="O62" s="231">
        <f t="shared" si="19"/>
        <v>657.47015388862053</v>
      </c>
      <c r="P62" s="231">
        <f t="shared" si="19"/>
        <v>657.47015388862053</v>
      </c>
      <c r="Q62" s="231">
        <f t="shared" si="19"/>
        <v>657.47015388862053</v>
      </c>
      <c r="R62" s="231">
        <f t="shared" si="19"/>
        <v>657.47015388862053</v>
      </c>
      <c r="S62" s="231">
        <f t="shared" si="19"/>
        <v>657.47015388862053</v>
      </c>
      <c r="T62" s="231">
        <f t="shared" si="19"/>
        <v>657.47015388862053</v>
      </c>
      <c r="U62" s="231">
        <f t="shared" si="19"/>
        <v>657.47015388862053</v>
      </c>
      <c r="V62" s="231">
        <f t="shared" si="19"/>
        <v>657.47015388862053</v>
      </c>
      <c r="W62" s="231">
        <f t="shared" si="19"/>
        <v>657.47015388862053</v>
      </c>
      <c r="X62" s="231">
        <f t="shared" si="19"/>
        <v>657.47015388862053</v>
      </c>
      <c r="Y62" s="231">
        <f t="shared" si="19"/>
        <v>657.47015388862053</v>
      </c>
      <c r="Z62" s="231">
        <f t="shared" si="19"/>
        <v>657.47015388862053</v>
      </c>
      <c r="AA62" s="231">
        <f t="shared" si="19"/>
        <v>657.47015388862053</v>
      </c>
      <c r="AB62" s="231">
        <f t="shared" si="19"/>
        <v>657.47015388862053</v>
      </c>
      <c r="AC62" s="231">
        <f t="shared" si="19"/>
        <v>657.47015388862053</v>
      </c>
      <c r="AD62" s="231">
        <f t="shared" si="19"/>
        <v>657.47015388862053</v>
      </c>
      <c r="AE62" s="231">
        <f t="shared" si="19"/>
        <v>657.47015388862053</v>
      </c>
      <c r="AF62" s="231">
        <f t="shared" si="19"/>
        <v>657.47015388862053</v>
      </c>
      <c r="AG62" s="231">
        <f t="shared" si="19"/>
        <v>657.47015388862053</v>
      </c>
    </row>
    <row r="63" spans="1:33" ht="12" x14ac:dyDescent="0.2">
      <c r="B63" t="s">
        <v>498</v>
      </c>
      <c r="C63" s="91">
        <f t="shared" ref="C63:AG63" si="20">($C$33*$C$24/$H$3)</f>
        <v>631.12697133647976</v>
      </c>
      <c r="D63" s="231">
        <f t="shared" si="20"/>
        <v>631.12697133647976</v>
      </c>
      <c r="E63" s="231">
        <f t="shared" si="20"/>
        <v>631.12697133647976</v>
      </c>
      <c r="F63" s="231">
        <f t="shared" si="20"/>
        <v>631.12697133647976</v>
      </c>
      <c r="G63" s="231">
        <f t="shared" si="20"/>
        <v>631.12697133647976</v>
      </c>
      <c r="H63" s="231">
        <f t="shared" si="20"/>
        <v>631.12697133647976</v>
      </c>
      <c r="I63" s="231">
        <f t="shared" si="20"/>
        <v>631.12697133647976</v>
      </c>
      <c r="J63" s="231">
        <f t="shared" si="20"/>
        <v>631.12697133647976</v>
      </c>
      <c r="K63" s="231">
        <f t="shared" si="20"/>
        <v>631.12697133647976</v>
      </c>
      <c r="L63" s="231">
        <f t="shared" si="20"/>
        <v>631.12697133647976</v>
      </c>
      <c r="M63" s="231">
        <f t="shared" si="20"/>
        <v>631.12697133647976</v>
      </c>
      <c r="N63" s="231">
        <f t="shared" si="20"/>
        <v>631.12697133647976</v>
      </c>
      <c r="O63" s="231">
        <f t="shared" si="20"/>
        <v>631.12697133647976</v>
      </c>
      <c r="P63" s="231">
        <f t="shared" si="20"/>
        <v>631.12697133647976</v>
      </c>
      <c r="Q63" s="231">
        <f t="shared" si="20"/>
        <v>631.12697133647976</v>
      </c>
      <c r="R63" s="231">
        <f t="shared" si="20"/>
        <v>631.12697133647976</v>
      </c>
      <c r="S63" s="231">
        <f t="shared" si="20"/>
        <v>631.12697133647976</v>
      </c>
      <c r="T63" s="231">
        <f t="shared" si="20"/>
        <v>631.12697133647976</v>
      </c>
      <c r="U63" s="231">
        <f t="shared" si="20"/>
        <v>631.12697133647976</v>
      </c>
      <c r="V63" s="231">
        <f t="shared" si="20"/>
        <v>631.12697133647976</v>
      </c>
      <c r="W63" s="231">
        <f t="shared" si="20"/>
        <v>631.12697133647976</v>
      </c>
      <c r="X63" s="231">
        <f t="shared" si="20"/>
        <v>631.12697133647976</v>
      </c>
      <c r="Y63" s="231">
        <f t="shared" si="20"/>
        <v>631.12697133647976</v>
      </c>
      <c r="Z63" s="231">
        <f t="shared" si="20"/>
        <v>631.12697133647976</v>
      </c>
      <c r="AA63" s="231">
        <f t="shared" si="20"/>
        <v>631.12697133647976</v>
      </c>
      <c r="AB63" s="231">
        <f t="shared" si="20"/>
        <v>631.12697133647976</v>
      </c>
      <c r="AC63" s="231">
        <f t="shared" si="20"/>
        <v>631.12697133647976</v>
      </c>
      <c r="AD63" s="231">
        <f t="shared" si="20"/>
        <v>631.12697133647976</v>
      </c>
      <c r="AE63" s="231">
        <f t="shared" si="20"/>
        <v>631.12697133647976</v>
      </c>
      <c r="AF63" s="231">
        <f t="shared" si="20"/>
        <v>631.12697133647976</v>
      </c>
      <c r="AG63" s="231">
        <f t="shared" si="20"/>
        <v>631.12697133647976</v>
      </c>
    </row>
    <row r="64" spans="1:33" ht="12" x14ac:dyDescent="0.2">
      <c r="B64" t="s">
        <v>499</v>
      </c>
      <c r="C64" s="103">
        <f t="shared" ref="C64:AG64" si="21">SUM(C62:C63)</f>
        <v>1288.5971252251002</v>
      </c>
      <c r="D64" s="231">
        <f t="shared" si="21"/>
        <v>1288.5971252251002</v>
      </c>
      <c r="E64" s="231">
        <f t="shared" si="21"/>
        <v>1288.5971252251002</v>
      </c>
      <c r="F64" s="231">
        <f t="shared" si="21"/>
        <v>1288.5971252251002</v>
      </c>
      <c r="G64" s="231">
        <f t="shared" si="21"/>
        <v>1288.5971252251002</v>
      </c>
      <c r="H64" s="231">
        <f t="shared" si="21"/>
        <v>1288.5971252251002</v>
      </c>
      <c r="I64" s="231">
        <f t="shared" si="21"/>
        <v>1288.5971252251002</v>
      </c>
      <c r="J64" s="231">
        <f t="shared" si="21"/>
        <v>1288.5971252251002</v>
      </c>
      <c r="K64" s="231">
        <f t="shared" si="21"/>
        <v>1288.5971252251002</v>
      </c>
      <c r="L64" s="231">
        <f t="shared" si="21"/>
        <v>1288.5971252251002</v>
      </c>
      <c r="M64" s="231">
        <f t="shared" si="21"/>
        <v>1288.5971252251002</v>
      </c>
      <c r="N64" s="231">
        <f t="shared" si="21"/>
        <v>1288.5971252251002</v>
      </c>
      <c r="O64" s="231">
        <f t="shared" si="21"/>
        <v>1288.5971252251002</v>
      </c>
      <c r="P64" s="231">
        <f t="shared" si="21"/>
        <v>1288.5971252251002</v>
      </c>
      <c r="Q64" s="231">
        <f t="shared" si="21"/>
        <v>1288.5971252251002</v>
      </c>
      <c r="R64" s="231">
        <f t="shared" si="21"/>
        <v>1288.5971252251002</v>
      </c>
      <c r="S64" s="231">
        <f t="shared" si="21"/>
        <v>1288.5971252251002</v>
      </c>
      <c r="T64" s="231">
        <f t="shared" si="21"/>
        <v>1288.5971252251002</v>
      </c>
      <c r="U64" s="231">
        <f t="shared" si="21"/>
        <v>1288.5971252251002</v>
      </c>
      <c r="V64" s="231">
        <f t="shared" si="21"/>
        <v>1288.5971252251002</v>
      </c>
      <c r="W64" s="231">
        <f t="shared" si="21"/>
        <v>1288.5971252251002</v>
      </c>
      <c r="X64" s="231">
        <f t="shared" si="21"/>
        <v>1288.5971252251002</v>
      </c>
      <c r="Y64" s="231">
        <f t="shared" si="21"/>
        <v>1288.5971252251002</v>
      </c>
      <c r="Z64" s="231">
        <f t="shared" si="21"/>
        <v>1288.5971252251002</v>
      </c>
      <c r="AA64" s="231">
        <f t="shared" si="21"/>
        <v>1288.5971252251002</v>
      </c>
      <c r="AB64" s="231">
        <f t="shared" si="21"/>
        <v>1288.5971252251002</v>
      </c>
      <c r="AC64" s="231">
        <f t="shared" si="21"/>
        <v>1288.5971252251002</v>
      </c>
      <c r="AD64" s="231">
        <f t="shared" si="21"/>
        <v>1288.5971252251002</v>
      </c>
      <c r="AE64" s="231">
        <f t="shared" si="21"/>
        <v>1288.5971252251002</v>
      </c>
      <c r="AF64" s="231">
        <f t="shared" si="21"/>
        <v>1288.5971252251002</v>
      </c>
      <c r="AG64" s="231">
        <f t="shared" si="21"/>
        <v>1288.5971252251002</v>
      </c>
    </row>
  </sheetData>
  <hyperlinks>
    <hyperlink ref="C3" r:id="rId1" xr:uid="{E4645238-E4D2-4B00-8F39-BF2E7490A0B7}"/>
    <hyperlink ref="C4" r:id="rId2" xr:uid="{D9241808-C824-4D41-9D63-8D67E16F288E}"/>
    <hyperlink ref="C5" r:id="rId3" xr:uid="{57C47CB9-9A8D-4542-8457-46CD2A0BD6BE}"/>
    <hyperlink ref="C6" r:id="rId4" xr:uid="{8ED9E017-7381-4772-B180-D9C7B81D4DD9}"/>
    <hyperlink ref="C7" r:id="rId5" xr:uid="{D0AB74D2-CD77-4AEA-A6D8-F4BC8EEF9A37}"/>
    <hyperlink ref="C8" r:id="rId6" xr:uid="{9A0EB910-9C8D-421C-AE47-4788CA740B89}"/>
    <hyperlink ref="C9" r:id="rId7" location="b3-b5" xr:uid="{A2D5CAE7-020D-4BE8-97AD-70C62946C299}"/>
    <hyperlink ref="C10" r:id="rId8" display="../../../../../../701435CPRGCentralIndianaClimateActionPlan/Shared Documents/Forms/AllItems.aspx?csf=1&amp;web=1&amp;e=8oNNZn&amp;cid=b607079a%2D08e9%2D43e9%2D942b%2D8cf6422fba00&amp;FolderCTID=0x012000E523DDB549931F47B2E0665754072F5F&amp;OR=Teams%2DHL&amp;CT=1700082885163&amp;clickparams=eyJBcHBOYW1lIjoiVGVhbXMtRGVza3RvcCIsIkFwcFZlcnNpb24iOiIyNy8yMzA5MjkxMTIwOCIsIkhhc0ZlZGVyYXRlZFVzZXIiOmZhbHNlfQ%3D%3D&amp;id=%2Fsites%2F701435CPRGCentralIndianaClimateActionPlan%2FShared%20Documents%2F06%2E%20GHG%20Strategies%2FProjects%20and%20Programs%2FCity%20of%20Indianapolis%20Public%20Building%20EE%20Upgrades%2FCity%20Market%2FCity%20Market%5FExisting%20Conditions%2Epdf&amp;viewid=363b48cc%2Dab7d%2D426e%2Da40f%2D72d896283767&amp;parent=%2Fsites%2F701435CPRGCentralIndianaClimateActionPlan%2FShared%20Documents%2F06%2E%20GHG%20Strategies%2FProjects%20and%20Programs%2FCity%20of%20Indianapolis%20Public%20Building%20EE%20Upgrades%2FCity%20Market" xr:uid="{D6FB0FF1-85A2-478A-800E-39ADCE744EA2}"/>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0DFD8-2FF9-4F13-B4E4-E7CE1DF2D6E1}">
  <dimension ref="A1:P123"/>
  <sheetViews>
    <sheetView zoomScaleNormal="100" workbookViewId="0">
      <pane xSplit="1" ySplit="12" topLeftCell="B102" activePane="bottomRight" state="frozen"/>
      <selection pane="topRight" activeCell="B1" sqref="B1"/>
      <selection pane="bottomLeft" activeCell="A13" sqref="A13"/>
      <selection pane="bottomRight" activeCell="L1" sqref="L1"/>
    </sheetView>
  </sheetViews>
  <sheetFormatPr defaultColWidth="8.875" defaultRowHeight="10.199999999999999" x14ac:dyDescent="0.2"/>
  <cols>
    <col min="1" max="1" width="20.375" style="152" customWidth="1"/>
    <col min="2" max="2" width="8.125" style="152" customWidth="1"/>
    <col min="3" max="13" width="7.125" style="152" bestFit="1" customWidth="1"/>
    <col min="14" max="14" width="7.125" style="153" customWidth="1"/>
    <col min="15" max="15" width="7.125" style="152" bestFit="1" customWidth="1"/>
    <col min="16" max="17" width="9" style="152" bestFit="1" customWidth="1"/>
    <col min="18" max="16384" width="8.875" style="152"/>
  </cols>
  <sheetData>
    <row r="1" spans="1:16" x14ac:dyDescent="0.2">
      <c r="A1" s="154" t="s">
        <v>506</v>
      </c>
      <c r="D1" s="154" t="s">
        <v>507</v>
      </c>
      <c r="N1" s="152"/>
    </row>
    <row r="2" spans="1:16" x14ac:dyDescent="0.2">
      <c r="A2" s="154" t="s">
        <v>508</v>
      </c>
      <c r="N2" s="152"/>
    </row>
    <row r="3" spans="1:16" x14ac:dyDescent="0.2">
      <c r="N3" s="152"/>
    </row>
    <row r="4" spans="1:16" x14ac:dyDescent="0.2">
      <c r="A4" s="155" t="s">
        <v>509</v>
      </c>
      <c r="B4" s="156" t="s">
        <v>510</v>
      </c>
      <c r="N4" s="152"/>
    </row>
    <row r="5" spans="1:16" x14ac:dyDescent="0.2">
      <c r="A5" s="157" t="s">
        <v>511</v>
      </c>
    </row>
    <row r="6" spans="1:16" x14ac:dyDescent="0.2">
      <c r="A6" s="155" t="s">
        <v>512</v>
      </c>
      <c r="B6" s="156" t="s">
        <v>513</v>
      </c>
    </row>
    <row r="7" spans="1:16" x14ac:dyDescent="0.2">
      <c r="A7" s="155" t="s">
        <v>514</v>
      </c>
      <c r="B7" s="156" t="s">
        <v>515</v>
      </c>
    </row>
    <row r="8" spans="1:16" x14ac:dyDescent="0.2">
      <c r="A8" s="155" t="s">
        <v>516</v>
      </c>
      <c r="B8" s="156" t="s">
        <v>517</v>
      </c>
    </row>
    <row r="9" spans="1:16" x14ac:dyDescent="0.2">
      <c r="A9" s="155" t="s">
        <v>518</v>
      </c>
      <c r="B9" s="156" t="s">
        <v>519</v>
      </c>
    </row>
    <row r="10" spans="1:16" x14ac:dyDescent="0.2">
      <c r="A10" s="155" t="s">
        <v>520</v>
      </c>
      <c r="B10" s="152" t="s">
        <v>521</v>
      </c>
      <c r="N10" s="152" t="s">
        <v>522</v>
      </c>
    </row>
    <row r="12" spans="1:16" ht="10.8" thickBot="1" x14ac:dyDescent="0.25">
      <c r="A12" s="158" t="s">
        <v>523</v>
      </c>
      <c r="B12" s="159" t="s">
        <v>524</v>
      </c>
      <c r="C12" s="159" t="s">
        <v>525</v>
      </c>
      <c r="D12" s="159" t="s">
        <v>526</v>
      </c>
      <c r="E12" s="159" t="s">
        <v>527</v>
      </c>
      <c r="F12" s="159" t="s">
        <v>528</v>
      </c>
      <c r="G12" s="159" t="s">
        <v>529</v>
      </c>
      <c r="H12" s="159" t="s">
        <v>530</v>
      </c>
      <c r="I12" s="159" t="s">
        <v>531</v>
      </c>
      <c r="J12" s="159" t="s">
        <v>532</v>
      </c>
      <c r="K12" s="159" t="s">
        <v>533</v>
      </c>
      <c r="L12" s="159" t="s">
        <v>534</v>
      </c>
      <c r="M12" s="159" t="s">
        <v>535</v>
      </c>
      <c r="N12" s="159" t="s">
        <v>536</v>
      </c>
      <c r="O12" s="158"/>
      <c r="P12" s="158"/>
    </row>
    <row r="13" spans="1:16" ht="10.8" thickTop="1" x14ac:dyDescent="0.2">
      <c r="A13" s="160">
        <v>1913</v>
      </c>
      <c r="B13" s="161">
        <v>9.8000000000000007</v>
      </c>
      <c r="C13" s="161">
        <v>9.8000000000000007</v>
      </c>
      <c r="D13" s="161">
        <v>9.8000000000000007</v>
      </c>
      <c r="E13" s="161">
        <v>9.8000000000000007</v>
      </c>
      <c r="F13" s="161">
        <v>9.6999999999999993</v>
      </c>
      <c r="G13" s="161">
        <v>9.8000000000000007</v>
      </c>
      <c r="H13" s="161">
        <v>9.9</v>
      </c>
      <c r="I13" s="161">
        <v>9.9</v>
      </c>
      <c r="J13" s="161">
        <v>10</v>
      </c>
      <c r="K13" s="161">
        <v>10</v>
      </c>
      <c r="L13" s="161">
        <v>10.1</v>
      </c>
      <c r="M13" s="161">
        <v>10</v>
      </c>
      <c r="N13" s="161">
        <v>9.9</v>
      </c>
    </row>
    <row r="14" spans="1:16" x14ac:dyDescent="0.2">
      <c r="A14" s="160">
        <v>1914</v>
      </c>
      <c r="B14" s="161">
        <v>10</v>
      </c>
      <c r="C14" s="161">
        <v>9.9</v>
      </c>
      <c r="D14" s="161">
        <v>9.9</v>
      </c>
      <c r="E14" s="161">
        <v>9.8000000000000007</v>
      </c>
      <c r="F14" s="161">
        <v>9.9</v>
      </c>
      <c r="G14" s="161">
        <v>9.9</v>
      </c>
      <c r="H14" s="161">
        <v>10</v>
      </c>
      <c r="I14" s="161">
        <v>10.199999999999999</v>
      </c>
      <c r="J14" s="161">
        <v>10.199999999999999</v>
      </c>
      <c r="K14" s="161">
        <v>10.1</v>
      </c>
      <c r="L14" s="161">
        <v>10.199999999999999</v>
      </c>
      <c r="M14" s="161">
        <v>10.1</v>
      </c>
      <c r="N14" s="161">
        <v>10</v>
      </c>
    </row>
    <row r="15" spans="1:16" x14ac:dyDescent="0.2">
      <c r="A15" s="160">
        <v>1915</v>
      </c>
      <c r="B15" s="161">
        <v>10.1</v>
      </c>
      <c r="C15" s="161">
        <v>10</v>
      </c>
      <c r="D15" s="161">
        <v>9.9</v>
      </c>
      <c r="E15" s="161">
        <v>10</v>
      </c>
      <c r="F15" s="161">
        <v>10.1</v>
      </c>
      <c r="G15" s="161">
        <v>10.1</v>
      </c>
      <c r="H15" s="161">
        <v>10.1</v>
      </c>
      <c r="I15" s="161">
        <v>10.1</v>
      </c>
      <c r="J15" s="161">
        <v>10.1</v>
      </c>
      <c r="K15" s="161">
        <v>10.199999999999999</v>
      </c>
      <c r="L15" s="161">
        <v>10.3</v>
      </c>
      <c r="M15" s="161">
        <v>10.3</v>
      </c>
      <c r="N15" s="161">
        <v>10.1</v>
      </c>
    </row>
    <row r="16" spans="1:16" x14ac:dyDescent="0.2">
      <c r="A16" s="160">
        <v>1916</v>
      </c>
      <c r="B16" s="161">
        <v>10.4</v>
      </c>
      <c r="C16" s="161">
        <v>10.4</v>
      </c>
      <c r="D16" s="161">
        <v>10.5</v>
      </c>
      <c r="E16" s="161">
        <v>10.6</v>
      </c>
      <c r="F16" s="161">
        <v>10.7</v>
      </c>
      <c r="G16" s="161">
        <v>10.8</v>
      </c>
      <c r="H16" s="161">
        <v>10.8</v>
      </c>
      <c r="I16" s="161">
        <v>10.9</v>
      </c>
      <c r="J16" s="161">
        <v>11.1</v>
      </c>
      <c r="K16" s="161">
        <v>11.3</v>
      </c>
      <c r="L16" s="161">
        <v>11.5</v>
      </c>
      <c r="M16" s="161">
        <v>11.6</v>
      </c>
      <c r="N16" s="161">
        <v>10.9</v>
      </c>
    </row>
    <row r="17" spans="1:14" x14ac:dyDescent="0.2">
      <c r="A17" s="160">
        <v>1917</v>
      </c>
      <c r="B17" s="161">
        <v>11.7</v>
      </c>
      <c r="C17" s="161">
        <v>12</v>
      </c>
      <c r="D17" s="161">
        <v>12</v>
      </c>
      <c r="E17" s="161">
        <v>12.6</v>
      </c>
      <c r="F17" s="161">
        <v>12.8</v>
      </c>
      <c r="G17" s="161">
        <v>13</v>
      </c>
      <c r="H17" s="161">
        <v>12.8</v>
      </c>
      <c r="I17" s="161">
        <v>13</v>
      </c>
      <c r="J17" s="161">
        <v>13.3</v>
      </c>
      <c r="K17" s="161">
        <v>13.5</v>
      </c>
      <c r="L17" s="161">
        <v>13.5</v>
      </c>
      <c r="M17" s="161">
        <v>13.7</v>
      </c>
      <c r="N17" s="161">
        <v>12.8</v>
      </c>
    </row>
    <row r="18" spans="1:14" x14ac:dyDescent="0.2">
      <c r="A18" s="160">
        <v>1918</v>
      </c>
      <c r="B18" s="161">
        <v>14</v>
      </c>
      <c r="C18" s="161">
        <v>14.1</v>
      </c>
      <c r="D18" s="161">
        <v>14</v>
      </c>
      <c r="E18" s="161">
        <v>14.2</v>
      </c>
      <c r="F18" s="161">
        <v>14.5</v>
      </c>
      <c r="G18" s="161">
        <v>14.7</v>
      </c>
      <c r="H18" s="161">
        <v>15.1</v>
      </c>
      <c r="I18" s="161">
        <v>15.4</v>
      </c>
      <c r="J18" s="161">
        <v>15.7</v>
      </c>
      <c r="K18" s="161">
        <v>16</v>
      </c>
      <c r="L18" s="161">
        <v>16.3</v>
      </c>
      <c r="M18" s="161">
        <v>16.5</v>
      </c>
      <c r="N18" s="161">
        <v>15.1</v>
      </c>
    </row>
    <row r="19" spans="1:14" x14ac:dyDescent="0.2">
      <c r="A19" s="160">
        <v>1919</v>
      </c>
      <c r="B19" s="161">
        <v>16.5</v>
      </c>
      <c r="C19" s="161">
        <v>16.2</v>
      </c>
      <c r="D19" s="161">
        <v>16.399999999999999</v>
      </c>
      <c r="E19" s="161">
        <v>16.7</v>
      </c>
      <c r="F19" s="161">
        <v>16.899999999999999</v>
      </c>
      <c r="G19" s="161">
        <v>16.899999999999999</v>
      </c>
      <c r="H19" s="161">
        <v>17.399999999999999</v>
      </c>
      <c r="I19" s="161">
        <v>17.7</v>
      </c>
      <c r="J19" s="161">
        <v>17.8</v>
      </c>
      <c r="K19" s="161">
        <v>18.100000000000001</v>
      </c>
      <c r="L19" s="161">
        <v>18.5</v>
      </c>
      <c r="M19" s="161">
        <v>18.899999999999999</v>
      </c>
      <c r="N19" s="161">
        <v>17.3</v>
      </c>
    </row>
    <row r="20" spans="1:14" x14ac:dyDescent="0.2">
      <c r="A20" s="160">
        <v>1920</v>
      </c>
      <c r="B20" s="161">
        <v>19.3</v>
      </c>
      <c r="C20" s="161">
        <v>19.5</v>
      </c>
      <c r="D20" s="161">
        <v>19.7</v>
      </c>
      <c r="E20" s="161">
        <v>20.3</v>
      </c>
      <c r="F20" s="161">
        <v>20.6</v>
      </c>
      <c r="G20" s="161">
        <v>20.9</v>
      </c>
      <c r="H20" s="161">
        <v>20.8</v>
      </c>
      <c r="I20" s="161">
        <v>20.3</v>
      </c>
      <c r="J20" s="161">
        <v>20</v>
      </c>
      <c r="K20" s="161">
        <v>19.899999999999999</v>
      </c>
      <c r="L20" s="161">
        <v>19.8</v>
      </c>
      <c r="M20" s="161">
        <v>19.399999999999999</v>
      </c>
      <c r="N20" s="161">
        <v>20</v>
      </c>
    </row>
    <row r="21" spans="1:14" x14ac:dyDescent="0.2">
      <c r="A21" s="160">
        <v>1921</v>
      </c>
      <c r="B21" s="161">
        <v>19</v>
      </c>
      <c r="C21" s="161">
        <v>18.399999999999999</v>
      </c>
      <c r="D21" s="161">
        <v>18.3</v>
      </c>
      <c r="E21" s="161">
        <v>18.100000000000001</v>
      </c>
      <c r="F21" s="161">
        <v>17.7</v>
      </c>
      <c r="G21" s="161">
        <v>17.600000000000001</v>
      </c>
      <c r="H21" s="161">
        <v>17.7</v>
      </c>
      <c r="I21" s="161">
        <v>17.7</v>
      </c>
      <c r="J21" s="161">
        <v>17.5</v>
      </c>
      <c r="K21" s="161">
        <v>17.5</v>
      </c>
      <c r="L21" s="161">
        <v>17.399999999999999</v>
      </c>
      <c r="M21" s="161">
        <v>17.3</v>
      </c>
      <c r="N21" s="161">
        <v>17.899999999999999</v>
      </c>
    </row>
    <row r="22" spans="1:14" x14ac:dyDescent="0.2">
      <c r="A22" s="160">
        <v>1922</v>
      </c>
      <c r="B22" s="161">
        <v>16.899999999999999</v>
      </c>
      <c r="C22" s="161">
        <v>16.899999999999999</v>
      </c>
      <c r="D22" s="161">
        <v>16.7</v>
      </c>
      <c r="E22" s="161">
        <v>16.7</v>
      </c>
      <c r="F22" s="161">
        <v>16.7</v>
      </c>
      <c r="G22" s="161">
        <v>16.7</v>
      </c>
      <c r="H22" s="161">
        <v>16.8</v>
      </c>
      <c r="I22" s="161">
        <v>16.600000000000001</v>
      </c>
      <c r="J22" s="161">
        <v>16.600000000000001</v>
      </c>
      <c r="K22" s="161">
        <v>16.7</v>
      </c>
      <c r="L22" s="161">
        <v>16.8</v>
      </c>
      <c r="M22" s="161">
        <v>16.899999999999999</v>
      </c>
      <c r="N22" s="161">
        <v>16.8</v>
      </c>
    </row>
    <row r="23" spans="1:14" x14ac:dyDescent="0.2">
      <c r="A23" s="160">
        <v>1923</v>
      </c>
      <c r="B23" s="161">
        <v>16.8</v>
      </c>
      <c r="C23" s="161">
        <v>16.8</v>
      </c>
      <c r="D23" s="161">
        <v>16.8</v>
      </c>
      <c r="E23" s="161">
        <v>16.899999999999999</v>
      </c>
      <c r="F23" s="161">
        <v>16.899999999999999</v>
      </c>
      <c r="G23" s="161">
        <v>17</v>
      </c>
      <c r="H23" s="161">
        <v>17.2</v>
      </c>
      <c r="I23" s="161">
        <v>17.100000000000001</v>
      </c>
      <c r="J23" s="161">
        <v>17.2</v>
      </c>
      <c r="K23" s="161">
        <v>17.3</v>
      </c>
      <c r="L23" s="161">
        <v>17.3</v>
      </c>
      <c r="M23" s="161">
        <v>17.3</v>
      </c>
      <c r="N23" s="161">
        <v>17.100000000000001</v>
      </c>
    </row>
    <row r="24" spans="1:14" x14ac:dyDescent="0.2">
      <c r="A24" s="160">
        <v>1924</v>
      </c>
      <c r="B24" s="161">
        <v>17.3</v>
      </c>
      <c r="C24" s="161">
        <v>17.2</v>
      </c>
      <c r="D24" s="161">
        <v>17.100000000000001</v>
      </c>
      <c r="E24" s="161">
        <v>17</v>
      </c>
      <c r="F24" s="161">
        <v>17</v>
      </c>
      <c r="G24" s="161">
        <v>17</v>
      </c>
      <c r="H24" s="161">
        <v>17.100000000000001</v>
      </c>
      <c r="I24" s="161">
        <v>17</v>
      </c>
      <c r="J24" s="161">
        <v>17.100000000000001</v>
      </c>
      <c r="K24" s="161">
        <v>17.2</v>
      </c>
      <c r="L24" s="161">
        <v>17.2</v>
      </c>
      <c r="M24" s="161">
        <v>17.3</v>
      </c>
      <c r="N24" s="161">
        <v>17.100000000000001</v>
      </c>
    </row>
    <row r="25" spans="1:14" x14ac:dyDescent="0.2">
      <c r="A25" s="160">
        <v>1925</v>
      </c>
      <c r="B25" s="161">
        <v>17.3</v>
      </c>
      <c r="C25" s="161">
        <v>17.2</v>
      </c>
      <c r="D25" s="161">
        <v>17.3</v>
      </c>
      <c r="E25" s="161">
        <v>17.2</v>
      </c>
      <c r="F25" s="161">
        <v>17.3</v>
      </c>
      <c r="G25" s="161">
        <v>17.5</v>
      </c>
      <c r="H25" s="161">
        <v>17.7</v>
      </c>
      <c r="I25" s="161">
        <v>17.7</v>
      </c>
      <c r="J25" s="161">
        <v>17.7</v>
      </c>
      <c r="K25" s="161">
        <v>17.7</v>
      </c>
      <c r="L25" s="161">
        <v>18</v>
      </c>
      <c r="M25" s="161">
        <v>17.899999999999999</v>
      </c>
      <c r="N25" s="161">
        <v>17.5</v>
      </c>
    </row>
    <row r="26" spans="1:14" x14ac:dyDescent="0.2">
      <c r="A26" s="160">
        <v>1926</v>
      </c>
      <c r="B26" s="161">
        <v>17.899999999999999</v>
      </c>
      <c r="C26" s="161">
        <v>17.899999999999999</v>
      </c>
      <c r="D26" s="161">
        <v>17.8</v>
      </c>
      <c r="E26" s="161">
        <v>17.899999999999999</v>
      </c>
      <c r="F26" s="161">
        <v>17.8</v>
      </c>
      <c r="G26" s="161">
        <v>17.7</v>
      </c>
      <c r="H26" s="161">
        <v>17.5</v>
      </c>
      <c r="I26" s="161">
        <v>17.399999999999999</v>
      </c>
      <c r="J26" s="161">
        <v>17.5</v>
      </c>
      <c r="K26" s="161">
        <v>17.600000000000001</v>
      </c>
      <c r="L26" s="161">
        <v>17.7</v>
      </c>
      <c r="M26" s="161">
        <v>17.7</v>
      </c>
      <c r="N26" s="161">
        <v>17.7</v>
      </c>
    </row>
    <row r="27" spans="1:14" x14ac:dyDescent="0.2">
      <c r="A27" s="160">
        <v>1927</v>
      </c>
      <c r="B27" s="161">
        <v>17.5</v>
      </c>
      <c r="C27" s="161">
        <v>17.399999999999999</v>
      </c>
      <c r="D27" s="161">
        <v>17.3</v>
      </c>
      <c r="E27" s="161">
        <v>17.3</v>
      </c>
      <c r="F27" s="161">
        <v>17.399999999999999</v>
      </c>
      <c r="G27" s="161">
        <v>17.600000000000001</v>
      </c>
      <c r="H27" s="161">
        <v>17.3</v>
      </c>
      <c r="I27" s="161">
        <v>17.2</v>
      </c>
      <c r="J27" s="161">
        <v>17.3</v>
      </c>
      <c r="K27" s="161">
        <v>17.399999999999999</v>
      </c>
      <c r="L27" s="161">
        <v>17.3</v>
      </c>
      <c r="M27" s="161">
        <v>17.3</v>
      </c>
      <c r="N27" s="161">
        <v>17.399999999999999</v>
      </c>
    </row>
    <row r="28" spans="1:14" x14ac:dyDescent="0.2">
      <c r="A28" s="160">
        <v>1928</v>
      </c>
      <c r="B28" s="161">
        <v>17.3</v>
      </c>
      <c r="C28" s="161">
        <v>17.100000000000001</v>
      </c>
      <c r="D28" s="161">
        <v>17.100000000000001</v>
      </c>
      <c r="E28" s="161">
        <v>17.100000000000001</v>
      </c>
      <c r="F28" s="161">
        <v>17.2</v>
      </c>
      <c r="G28" s="161">
        <v>17.100000000000001</v>
      </c>
      <c r="H28" s="161">
        <v>17.100000000000001</v>
      </c>
      <c r="I28" s="161">
        <v>17.100000000000001</v>
      </c>
      <c r="J28" s="161">
        <v>17.3</v>
      </c>
      <c r="K28" s="161">
        <v>17.2</v>
      </c>
      <c r="L28" s="161">
        <v>17.2</v>
      </c>
      <c r="M28" s="161">
        <v>17.100000000000001</v>
      </c>
      <c r="N28" s="161">
        <v>17.100000000000001</v>
      </c>
    </row>
    <row r="29" spans="1:14" x14ac:dyDescent="0.2">
      <c r="A29" s="160">
        <v>1929</v>
      </c>
      <c r="B29" s="161">
        <v>17.100000000000001</v>
      </c>
      <c r="C29" s="161">
        <v>17.100000000000001</v>
      </c>
      <c r="D29" s="161">
        <v>17</v>
      </c>
      <c r="E29" s="161">
        <v>16.899999999999999</v>
      </c>
      <c r="F29" s="161">
        <v>17</v>
      </c>
      <c r="G29" s="161">
        <v>17.100000000000001</v>
      </c>
      <c r="H29" s="161">
        <v>17.3</v>
      </c>
      <c r="I29" s="161">
        <v>17.3</v>
      </c>
      <c r="J29" s="161">
        <v>17.3</v>
      </c>
      <c r="K29" s="161">
        <v>17.3</v>
      </c>
      <c r="L29" s="161">
        <v>17.3</v>
      </c>
      <c r="M29" s="161">
        <v>17.2</v>
      </c>
      <c r="N29" s="161">
        <v>17.100000000000001</v>
      </c>
    </row>
    <row r="30" spans="1:14" x14ac:dyDescent="0.2">
      <c r="A30" s="160">
        <v>1930</v>
      </c>
      <c r="B30" s="161">
        <v>17.100000000000001</v>
      </c>
      <c r="C30" s="161">
        <v>17</v>
      </c>
      <c r="D30" s="161">
        <v>16.899999999999999</v>
      </c>
      <c r="E30" s="161">
        <v>17</v>
      </c>
      <c r="F30" s="161">
        <v>16.899999999999999</v>
      </c>
      <c r="G30" s="161">
        <v>16.8</v>
      </c>
      <c r="H30" s="161">
        <v>16.600000000000001</v>
      </c>
      <c r="I30" s="161">
        <v>16.5</v>
      </c>
      <c r="J30" s="161">
        <v>16.600000000000001</v>
      </c>
      <c r="K30" s="161">
        <v>16.5</v>
      </c>
      <c r="L30" s="161">
        <v>16.399999999999999</v>
      </c>
      <c r="M30" s="161">
        <v>16.100000000000001</v>
      </c>
      <c r="N30" s="161">
        <v>16.7</v>
      </c>
    </row>
    <row r="31" spans="1:14" x14ac:dyDescent="0.2">
      <c r="A31" s="160">
        <v>1931</v>
      </c>
      <c r="B31" s="161">
        <v>15.9</v>
      </c>
      <c r="C31" s="161">
        <v>15.7</v>
      </c>
      <c r="D31" s="161">
        <v>15.6</v>
      </c>
      <c r="E31" s="161">
        <v>15.5</v>
      </c>
      <c r="F31" s="161">
        <v>15.3</v>
      </c>
      <c r="G31" s="161">
        <v>15.1</v>
      </c>
      <c r="H31" s="161">
        <v>15.1</v>
      </c>
      <c r="I31" s="161">
        <v>15.1</v>
      </c>
      <c r="J31" s="161">
        <v>15</v>
      </c>
      <c r="K31" s="161">
        <v>14.9</v>
      </c>
      <c r="L31" s="161">
        <v>14.7</v>
      </c>
      <c r="M31" s="161">
        <v>14.6</v>
      </c>
      <c r="N31" s="161">
        <v>15.2</v>
      </c>
    </row>
    <row r="32" spans="1:14" x14ac:dyDescent="0.2">
      <c r="A32" s="160">
        <v>1932</v>
      </c>
      <c r="B32" s="161">
        <v>14.3</v>
      </c>
      <c r="C32" s="161">
        <v>14.1</v>
      </c>
      <c r="D32" s="161">
        <v>14</v>
      </c>
      <c r="E32" s="161">
        <v>13.9</v>
      </c>
      <c r="F32" s="161">
        <v>13.7</v>
      </c>
      <c r="G32" s="161">
        <v>13.6</v>
      </c>
      <c r="H32" s="161">
        <v>13.6</v>
      </c>
      <c r="I32" s="161">
        <v>13.5</v>
      </c>
      <c r="J32" s="161">
        <v>13.4</v>
      </c>
      <c r="K32" s="161">
        <v>13.3</v>
      </c>
      <c r="L32" s="161">
        <v>13.2</v>
      </c>
      <c r="M32" s="161">
        <v>13.1</v>
      </c>
      <c r="N32" s="161">
        <v>13.7</v>
      </c>
    </row>
    <row r="33" spans="1:14" x14ac:dyDescent="0.2">
      <c r="A33" s="160">
        <v>1933</v>
      </c>
      <c r="B33" s="161">
        <v>12.9</v>
      </c>
      <c r="C33" s="161">
        <v>12.7</v>
      </c>
      <c r="D33" s="161">
        <v>12.6</v>
      </c>
      <c r="E33" s="161">
        <v>12.6</v>
      </c>
      <c r="F33" s="161">
        <v>12.6</v>
      </c>
      <c r="G33" s="161">
        <v>12.7</v>
      </c>
      <c r="H33" s="161">
        <v>13.1</v>
      </c>
      <c r="I33" s="161">
        <v>13.2</v>
      </c>
      <c r="J33" s="161">
        <v>13.2</v>
      </c>
      <c r="K33" s="161">
        <v>13.2</v>
      </c>
      <c r="L33" s="161">
        <v>13.2</v>
      </c>
      <c r="M33" s="161">
        <v>13.2</v>
      </c>
      <c r="N33" s="161">
        <v>13</v>
      </c>
    </row>
    <row r="34" spans="1:14" x14ac:dyDescent="0.2">
      <c r="A34" s="160">
        <v>1934</v>
      </c>
      <c r="B34" s="161">
        <v>13.2</v>
      </c>
      <c r="C34" s="161">
        <v>13.3</v>
      </c>
      <c r="D34" s="161">
        <v>13.3</v>
      </c>
      <c r="E34" s="161">
        <v>13.3</v>
      </c>
      <c r="F34" s="161">
        <v>13.3</v>
      </c>
      <c r="G34" s="161">
        <v>13.4</v>
      </c>
      <c r="H34" s="161">
        <v>13.4</v>
      </c>
      <c r="I34" s="161">
        <v>13.4</v>
      </c>
      <c r="J34" s="161">
        <v>13.6</v>
      </c>
      <c r="K34" s="161">
        <v>13.5</v>
      </c>
      <c r="L34" s="161">
        <v>13.5</v>
      </c>
      <c r="M34" s="161">
        <v>13.4</v>
      </c>
      <c r="N34" s="161">
        <v>13.4</v>
      </c>
    </row>
    <row r="35" spans="1:14" x14ac:dyDescent="0.2">
      <c r="A35" s="160">
        <v>1935</v>
      </c>
      <c r="B35" s="161">
        <v>13.6</v>
      </c>
      <c r="C35" s="161">
        <v>13.7</v>
      </c>
      <c r="D35" s="161">
        <v>13.7</v>
      </c>
      <c r="E35" s="161">
        <v>13.8</v>
      </c>
      <c r="F35" s="161">
        <v>13.8</v>
      </c>
      <c r="G35" s="161">
        <v>13.7</v>
      </c>
      <c r="H35" s="161">
        <v>13.7</v>
      </c>
      <c r="I35" s="161">
        <v>13.7</v>
      </c>
      <c r="J35" s="161">
        <v>13.7</v>
      </c>
      <c r="K35" s="161">
        <v>13.7</v>
      </c>
      <c r="L35" s="161">
        <v>13.8</v>
      </c>
      <c r="M35" s="161">
        <v>13.8</v>
      </c>
      <c r="N35" s="161">
        <v>13.7</v>
      </c>
    </row>
    <row r="36" spans="1:14" x14ac:dyDescent="0.2">
      <c r="A36" s="160">
        <v>1936</v>
      </c>
      <c r="B36" s="161">
        <v>13.8</v>
      </c>
      <c r="C36" s="161">
        <v>13.8</v>
      </c>
      <c r="D36" s="161">
        <v>13.7</v>
      </c>
      <c r="E36" s="161">
        <v>13.7</v>
      </c>
      <c r="F36" s="161">
        <v>13.7</v>
      </c>
      <c r="G36" s="161">
        <v>13.8</v>
      </c>
      <c r="H36" s="161">
        <v>13.9</v>
      </c>
      <c r="I36" s="161">
        <v>14</v>
      </c>
      <c r="J36" s="161">
        <v>14</v>
      </c>
      <c r="K36" s="161">
        <v>14</v>
      </c>
      <c r="L36" s="161">
        <v>14</v>
      </c>
      <c r="M36" s="161">
        <v>14</v>
      </c>
      <c r="N36" s="161">
        <v>13.9</v>
      </c>
    </row>
    <row r="37" spans="1:14" x14ac:dyDescent="0.2">
      <c r="A37" s="160">
        <v>1937</v>
      </c>
      <c r="B37" s="161">
        <v>14.1</v>
      </c>
      <c r="C37" s="161">
        <v>14.1</v>
      </c>
      <c r="D37" s="161">
        <v>14.2</v>
      </c>
      <c r="E37" s="161">
        <v>14.3</v>
      </c>
      <c r="F37" s="161">
        <v>14.4</v>
      </c>
      <c r="G37" s="161">
        <v>14.4</v>
      </c>
      <c r="H37" s="161">
        <v>14.5</v>
      </c>
      <c r="I37" s="161">
        <v>14.5</v>
      </c>
      <c r="J37" s="161">
        <v>14.6</v>
      </c>
      <c r="K37" s="161">
        <v>14.6</v>
      </c>
      <c r="L37" s="161">
        <v>14.5</v>
      </c>
      <c r="M37" s="161">
        <v>14.4</v>
      </c>
      <c r="N37" s="161">
        <v>14.4</v>
      </c>
    </row>
    <row r="38" spans="1:14" x14ac:dyDescent="0.2">
      <c r="A38" s="160">
        <v>1938</v>
      </c>
      <c r="B38" s="161">
        <v>14.2</v>
      </c>
      <c r="C38" s="161">
        <v>14.1</v>
      </c>
      <c r="D38" s="161">
        <v>14.1</v>
      </c>
      <c r="E38" s="161">
        <v>14.2</v>
      </c>
      <c r="F38" s="161">
        <v>14.1</v>
      </c>
      <c r="G38" s="161">
        <v>14.1</v>
      </c>
      <c r="H38" s="161">
        <v>14.1</v>
      </c>
      <c r="I38" s="161">
        <v>14.1</v>
      </c>
      <c r="J38" s="161">
        <v>14.1</v>
      </c>
      <c r="K38" s="161">
        <v>14</v>
      </c>
      <c r="L38" s="161">
        <v>14</v>
      </c>
      <c r="M38" s="161">
        <v>14</v>
      </c>
      <c r="N38" s="161">
        <v>14.1</v>
      </c>
    </row>
    <row r="39" spans="1:14" x14ac:dyDescent="0.2">
      <c r="A39" s="160">
        <v>1939</v>
      </c>
      <c r="B39" s="161">
        <v>14</v>
      </c>
      <c r="C39" s="161">
        <v>13.9</v>
      </c>
      <c r="D39" s="161">
        <v>13.9</v>
      </c>
      <c r="E39" s="161">
        <v>13.8</v>
      </c>
      <c r="F39" s="161">
        <v>13.8</v>
      </c>
      <c r="G39" s="161">
        <v>13.8</v>
      </c>
      <c r="H39" s="161">
        <v>13.8</v>
      </c>
      <c r="I39" s="161">
        <v>13.8</v>
      </c>
      <c r="J39" s="161">
        <v>14.1</v>
      </c>
      <c r="K39" s="161">
        <v>14</v>
      </c>
      <c r="L39" s="161">
        <v>14</v>
      </c>
      <c r="M39" s="161">
        <v>14</v>
      </c>
      <c r="N39" s="161">
        <v>13.9</v>
      </c>
    </row>
    <row r="40" spans="1:14" x14ac:dyDescent="0.2">
      <c r="A40" s="160">
        <v>1940</v>
      </c>
      <c r="B40" s="161">
        <v>13.9</v>
      </c>
      <c r="C40" s="161">
        <v>14</v>
      </c>
      <c r="D40" s="161">
        <v>14</v>
      </c>
      <c r="E40" s="161">
        <v>14</v>
      </c>
      <c r="F40" s="161">
        <v>14</v>
      </c>
      <c r="G40" s="161">
        <v>14.1</v>
      </c>
      <c r="H40" s="161">
        <v>14</v>
      </c>
      <c r="I40" s="161">
        <v>14</v>
      </c>
      <c r="J40" s="161">
        <v>14</v>
      </c>
      <c r="K40" s="161">
        <v>14</v>
      </c>
      <c r="L40" s="161">
        <v>14</v>
      </c>
      <c r="M40" s="161">
        <v>14.1</v>
      </c>
      <c r="N40" s="161">
        <v>14</v>
      </c>
    </row>
    <row r="41" spans="1:14" x14ac:dyDescent="0.2">
      <c r="A41" s="160">
        <v>1941</v>
      </c>
      <c r="B41" s="161">
        <v>14.1</v>
      </c>
      <c r="C41" s="161">
        <v>14.1</v>
      </c>
      <c r="D41" s="161">
        <v>14.2</v>
      </c>
      <c r="E41" s="161">
        <v>14.3</v>
      </c>
      <c r="F41" s="161">
        <v>14.4</v>
      </c>
      <c r="G41" s="161">
        <v>14.7</v>
      </c>
      <c r="H41" s="161">
        <v>14.7</v>
      </c>
      <c r="I41" s="161">
        <v>14.9</v>
      </c>
      <c r="J41" s="161">
        <v>15.1</v>
      </c>
      <c r="K41" s="161">
        <v>15.3</v>
      </c>
      <c r="L41" s="161">
        <v>15.4</v>
      </c>
      <c r="M41" s="161">
        <v>15.5</v>
      </c>
      <c r="N41" s="161">
        <v>14.7</v>
      </c>
    </row>
    <row r="42" spans="1:14" x14ac:dyDescent="0.2">
      <c r="A42" s="160">
        <v>1942</v>
      </c>
      <c r="B42" s="161">
        <v>15.7</v>
      </c>
      <c r="C42" s="161">
        <v>15.8</v>
      </c>
      <c r="D42" s="161">
        <v>16</v>
      </c>
      <c r="E42" s="161">
        <v>16.100000000000001</v>
      </c>
      <c r="F42" s="161">
        <v>16.3</v>
      </c>
      <c r="G42" s="161">
        <v>16.3</v>
      </c>
      <c r="H42" s="161">
        <v>16.399999999999999</v>
      </c>
      <c r="I42" s="161">
        <v>16.5</v>
      </c>
      <c r="J42" s="161">
        <v>16.5</v>
      </c>
      <c r="K42" s="161">
        <v>16.7</v>
      </c>
      <c r="L42" s="161">
        <v>16.8</v>
      </c>
      <c r="M42" s="161">
        <v>16.899999999999999</v>
      </c>
      <c r="N42" s="161">
        <v>16.3</v>
      </c>
    </row>
    <row r="43" spans="1:14" x14ac:dyDescent="0.2">
      <c r="A43" s="160">
        <v>1943</v>
      </c>
      <c r="B43" s="161">
        <v>16.899999999999999</v>
      </c>
      <c r="C43" s="161">
        <v>16.899999999999999</v>
      </c>
      <c r="D43" s="161">
        <v>17.2</v>
      </c>
      <c r="E43" s="161">
        <v>17.399999999999999</v>
      </c>
      <c r="F43" s="161">
        <v>17.5</v>
      </c>
      <c r="G43" s="161">
        <v>17.5</v>
      </c>
      <c r="H43" s="161">
        <v>17.399999999999999</v>
      </c>
      <c r="I43" s="161">
        <v>17.3</v>
      </c>
      <c r="J43" s="161">
        <v>17.399999999999999</v>
      </c>
      <c r="K43" s="161">
        <v>17.399999999999999</v>
      </c>
      <c r="L43" s="161">
        <v>17.399999999999999</v>
      </c>
      <c r="M43" s="161">
        <v>17.399999999999999</v>
      </c>
      <c r="N43" s="161">
        <v>17.3</v>
      </c>
    </row>
    <row r="44" spans="1:14" x14ac:dyDescent="0.2">
      <c r="A44" s="160">
        <v>1944</v>
      </c>
      <c r="B44" s="161">
        <v>17.399999999999999</v>
      </c>
      <c r="C44" s="161">
        <v>17.399999999999999</v>
      </c>
      <c r="D44" s="161">
        <v>17.399999999999999</v>
      </c>
      <c r="E44" s="161">
        <v>17.5</v>
      </c>
      <c r="F44" s="161">
        <v>17.5</v>
      </c>
      <c r="G44" s="161">
        <v>17.600000000000001</v>
      </c>
      <c r="H44" s="161">
        <v>17.7</v>
      </c>
      <c r="I44" s="161">
        <v>17.7</v>
      </c>
      <c r="J44" s="161">
        <v>17.7</v>
      </c>
      <c r="K44" s="161">
        <v>17.7</v>
      </c>
      <c r="L44" s="161">
        <v>17.7</v>
      </c>
      <c r="M44" s="161">
        <v>17.8</v>
      </c>
      <c r="N44" s="161">
        <v>17.600000000000001</v>
      </c>
    </row>
    <row r="45" spans="1:14" x14ac:dyDescent="0.2">
      <c r="A45" s="160">
        <v>1945</v>
      </c>
      <c r="B45" s="161">
        <v>17.8</v>
      </c>
      <c r="C45" s="161">
        <v>17.8</v>
      </c>
      <c r="D45" s="161">
        <v>17.8</v>
      </c>
      <c r="E45" s="161">
        <v>17.8</v>
      </c>
      <c r="F45" s="161">
        <v>17.899999999999999</v>
      </c>
      <c r="G45" s="161">
        <v>18.100000000000001</v>
      </c>
      <c r="H45" s="161">
        <v>18.100000000000001</v>
      </c>
      <c r="I45" s="161">
        <v>18.100000000000001</v>
      </c>
      <c r="J45" s="161">
        <v>18.100000000000001</v>
      </c>
      <c r="K45" s="161">
        <v>18.100000000000001</v>
      </c>
      <c r="L45" s="161">
        <v>18.100000000000001</v>
      </c>
      <c r="M45" s="161">
        <v>18.2</v>
      </c>
      <c r="N45" s="161">
        <v>18</v>
      </c>
    </row>
    <row r="46" spans="1:14" x14ac:dyDescent="0.2">
      <c r="A46" s="160">
        <v>1946</v>
      </c>
      <c r="B46" s="161">
        <v>18.2</v>
      </c>
      <c r="C46" s="161">
        <v>18.100000000000001</v>
      </c>
      <c r="D46" s="161">
        <v>18.3</v>
      </c>
      <c r="E46" s="161">
        <v>18.399999999999999</v>
      </c>
      <c r="F46" s="161">
        <v>18.5</v>
      </c>
      <c r="G46" s="161">
        <v>18.7</v>
      </c>
      <c r="H46" s="161">
        <v>19.8</v>
      </c>
      <c r="I46" s="161">
        <v>20.2</v>
      </c>
      <c r="J46" s="161">
        <v>20.399999999999999</v>
      </c>
      <c r="K46" s="161">
        <v>20.8</v>
      </c>
      <c r="L46" s="161">
        <v>21.3</v>
      </c>
      <c r="M46" s="161">
        <v>21.5</v>
      </c>
      <c r="N46" s="161">
        <v>19.5</v>
      </c>
    </row>
    <row r="47" spans="1:14" x14ac:dyDescent="0.2">
      <c r="A47" s="160">
        <v>1947</v>
      </c>
      <c r="B47" s="161">
        <v>21.5</v>
      </c>
      <c r="C47" s="161">
        <v>21.5</v>
      </c>
      <c r="D47" s="161">
        <v>21.9</v>
      </c>
      <c r="E47" s="161">
        <v>21.9</v>
      </c>
      <c r="F47" s="161">
        <v>21.9</v>
      </c>
      <c r="G47" s="161">
        <v>22</v>
      </c>
      <c r="H47" s="161">
        <v>22.2</v>
      </c>
      <c r="I47" s="161">
        <v>22.5</v>
      </c>
      <c r="J47" s="161">
        <v>23</v>
      </c>
      <c r="K47" s="161">
        <v>23</v>
      </c>
      <c r="L47" s="161">
        <v>23.1</v>
      </c>
      <c r="M47" s="161">
        <v>23.4</v>
      </c>
      <c r="N47" s="161">
        <v>22.3</v>
      </c>
    </row>
    <row r="48" spans="1:14" x14ac:dyDescent="0.2">
      <c r="A48" s="160">
        <v>1948</v>
      </c>
      <c r="B48" s="161">
        <v>23.7</v>
      </c>
      <c r="C48" s="161">
        <v>23.5</v>
      </c>
      <c r="D48" s="161">
        <v>23.4</v>
      </c>
      <c r="E48" s="161">
        <v>23.8</v>
      </c>
      <c r="F48" s="161">
        <v>23.9</v>
      </c>
      <c r="G48" s="161">
        <v>24.1</v>
      </c>
      <c r="H48" s="161">
        <v>24.4</v>
      </c>
      <c r="I48" s="161">
        <v>24.5</v>
      </c>
      <c r="J48" s="161">
        <v>24.5</v>
      </c>
      <c r="K48" s="161">
        <v>24.4</v>
      </c>
      <c r="L48" s="161">
        <v>24.2</v>
      </c>
      <c r="M48" s="161">
        <v>24.1</v>
      </c>
      <c r="N48" s="161">
        <v>24.1</v>
      </c>
    </row>
    <row r="49" spans="1:14" x14ac:dyDescent="0.2">
      <c r="A49" s="160">
        <v>1949</v>
      </c>
      <c r="B49" s="161">
        <v>24</v>
      </c>
      <c r="C49" s="161">
        <v>23.8</v>
      </c>
      <c r="D49" s="161">
        <v>23.8</v>
      </c>
      <c r="E49" s="161">
        <v>23.9</v>
      </c>
      <c r="F49" s="161">
        <v>23.8</v>
      </c>
      <c r="G49" s="161">
        <v>23.9</v>
      </c>
      <c r="H49" s="161">
        <v>23.7</v>
      </c>
      <c r="I49" s="161">
        <v>23.8</v>
      </c>
      <c r="J49" s="161">
        <v>23.9</v>
      </c>
      <c r="K49" s="161">
        <v>23.7</v>
      </c>
      <c r="L49" s="161">
        <v>23.8</v>
      </c>
      <c r="M49" s="161">
        <v>23.6</v>
      </c>
      <c r="N49" s="161">
        <v>23.8</v>
      </c>
    </row>
    <row r="50" spans="1:14" x14ac:dyDescent="0.2">
      <c r="A50" s="160">
        <v>1950</v>
      </c>
      <c r="B50" s="161">
        <v>23.5</v>
      </c>
      <c r="C50" s="161">
        <v>23.5</v>
      </c>
      <c r="D50" s="161">
        <v>23.6</v>
      </c>
      <c r="E50" s="161">
        <v>23.6</v>
      </c>
      <c r="F50" s="161">
        <v>23.7</v>
      </c>
      <c r="G50" s="161">
        <v>23.8</v>
      </c>
      <c r="H50" s="161">
        <v>24.1</v>
      </c>
      <c r="I50" s="161">
        <v>24.3</v>
      </c>
      <c r="J50" s="161">
        <v>24.4</v>
      </c>
      <c r="K50" s="161">
        <v>24.6</v>
      </c>
      <c r="L50" s="161">
        <v>24.7</v>
      </c>
      <c r="M50" s="161">
        <v>25</v>
      </c>
      <c r="N50" s="161">
        <v>24.1</v>
      </c>
    </row>
    <row r="51" spans="1:14" x14ac:dyDescent="0.2">
      <c r="A51" s="160">
        <v>1951</v>
      </c>
      <c r="B51" s="161">
        <v>25.4</v>
      </c>
      <c r="C51" s="161">
        <v>25.7</v>
      </c>
      <c r="D51" s="161">
        <v>25.8</v>
      </c>
      <c r="E51" s="161">
        <v>25.8</v>
      </c>
      <c r="F51" s="161">
        <v>25.9</v>
      </c>
      <c r="G51" s="161">
        <v>25.9</v>
      </c>
      <c r="H51" s="161">
        <v>25.9</v>
      </c>
      <c r="I51" s="161">
        <v>25.9</v>
      </c>
      <c r="J51" s="161">
        <v>26.1</v>
      </c>
      <c r="K51" s="161">
        <v>26.2</v>
      </c>
      <c r="L51" s="161">
        <v>26.4</v>
      </c>
      <c r="M51" s="161">
        <v>26.5</v>
      </c>
      <c r="N51" s="161">
        <v>26</v>
      </c>
    </row>
    <row r="52" spans="1:14" x14ac:dyDescent="0.2">
      <c r="A52" s="160">
        <v>1952</v>
      </c>
      <c r="B52" s="161">
        <v>26.5</v>
      </c>
      <c r="C52" s="161">
        <v>26.3</v>
      </c>
      <c r="D52" s="161">
        <v>26.3</v>
      </c>
      <c r="E52" s="161">
        <v>26.4</v>
      </c>
      <c r="F52" s="161">
        <v>26.4</v>
      </c>
      <c r="G52" s="161">
        <v>26.5</v>
      </c>
      <c r="H52" s="161">
        <v>26.7</v>
      </c>
      <c r="I52" s="161">
        <v>26.7</v>
      </c>
      <c r="J52" s="161">
        <v>26.7</v>
      </c>
      <c r="K52" s="161">
        <v>26.7</v>
      </c>
      <c r="L52" s="161">
        <v>26.7</v>
      </c>
      <c r="M52" s="161">
        <v>26.7</v>
      </c>
      <c r="N52" s="161">
        <v>26.5</v>
      </c>
    </row>
    <row r="53" spans="1:14" x14ac:dyDescent="0.2">
      <c r="A53" s="160">
        <v>1953</v>
      </c>
      <c r="B53" s="161">
        <v>26.6</v>
      </c>
      <c r="C53" s="161">
        <v>26.5</v>
      </c>
      <c r="D53" s="161">
        <v>26.6</v>
      </c>
      <c r="E53" s="161">
        <v>26.6</v>
      </c>
      <c r="F53" s="161">
        <v>26.7</v>
      </c>
      <c r="G53" s="161">
        <v>26.8</v>
      </c>
      <c r="H53" s="161">
        <v>26.8</v>
      </c>
      <c r="I53" s="161">
        <v>26.9</v>
      </c>
      <c r="J53" s="161">
        <v>26.9</v>
      </c>
      <c r="K53" s="161">
        <v>27</v>
      </c>
      <c r="L53" s="161">
        <v>26.9</v>
      </c>
      <c r="M53" s="161">
        <v>26.9</v>
      </c>
      <c r="N53" s="161">
        <v>26.7</v>
      </c>
    </row>
    <row r="54" spans="1:14" x14ac:dyDescent="0.2">
      <c r="A54" s="160">
        <v>1954</v>
      </c>
      <c r="B54" s="161">
        <v>26.9</v>
      </c>
      <c r="C54" s="161">
        <v>26.9</v>
      </c>
      <c r="D54" s="161">
        <v>26.9</v>
      </c>
      <c r="E54" s="161">
        <v>26.8</v>
      </c>
      <c r="F54" s="161">
        <v>26.9</v>
      </c>
      <c r="G54" s="161">
        <v>26.9</v>
      </c>
      <c r="H54" s="161">
        <v>26.9</v>
      </c>
      <c r="I54" s="161">
        <v>26.9</v>
      </c>
      <c r="J54" s="161">
        <v>26.8</v>
      </c>
      <c r="K54" s="161">
        <v>26.8</v>
      </c>
      <c r="L54" s="161">
        <v>26.8</v>
      </c>
      <c r="M54" s="161">
        <v>26.7</v>
      </c>
      <c r="N54" s="161">
        <v>26.9</v>
      </c>
    </row>
    <row r="55" spans="1:14" x14ac:dyDescent="0.2">
      <c r="A55" s="160">
        <v>1955</v>
      </c>
      <c r="B55" s="161">
        <v>26.7</v>
      </c>
      <c r="C55" s="161">
        <v>26.7</v>
      </c>
      <c r="D55" s="161">
        <v>26.7</v>
      </c>
      <c r="E55" s="161">
        <v>26.7</v>
      </c>
      <c r="F55" s="161">
        <v>26.7</v>
      </c>
      <c r="G55" s="161">
        <v>26.7</v>
      </c>
      <c r="H55" s="161">
        <v>26.8</v>
      </c>
      <c r="I55" s="161">
        <v>26.8</v>
      </c>
      <c r="J55" s="161">
        <v>26.9</v>
      </c>
      <c r="K55" s="161">
        <v>26.9</v>
      </c>
      <c r="L55" s="161">
        <v>26.9</v>
      </c>
      <c r="M55" s="161">
        <v>26.8</v>
      </c>
      <c r="N55" s="161">
        <v>26.8</v>
      </c>
    </row>
    <row r="56" spans="1:14" x14ac:dyDescent="0.2">
      <c r="A56" s="160">
        <v>1956</v>
      </c>
      <c r="B56" s="161">
        <v>26.8</v>
      </c>
      <c r="C56" s="161">
        <v>26.8</v>
      </c>
      <c r="D56" s="161">
        <v>26.8</v>
      </c>
      <c r="E56" s="161">
        <v>26.9</v>
      </c>
      <c r="F56" s="161">
        <v>27</v>
      </c>
      <c r="G56" s="161">
        <v>27.2</v>
      </c>
      <c r="H56" s="161">
        <v>27.4</v>
      </c>
      <c r="I56" s="161">
        <v>27.3</v>
      </c>
      <c r="J56" s="161">
        <v>27.4</v>
      </c>
      <c r="K56" s="161">
        <v>27.5</v>
      </c>
      <c r="L56" s="161">
        <v>27.5</v>
      </c>
      <c r="M56" s="161">
        <v>27.6</v>
      </c>
      <c r="N56" s="161">
        <v>27.2</v>
      </c>
    </row>
    <row r="57" spans="1:14" x14ac:dyDescent="0.2">
      <c r="A57" s="160">
        <v>1957</v>
      </c>
      <c r="B57" s="161">
        <v>27.6</v>
      </c>
      <c r="C57" s="161">
        <v>27.7</v>
      </c>
      <c r="D57" s="161">
        <v>27.8</v>
      </c>
      <c r="E57" s="161">
        <v>27.9</v>
      </c>
      <c r="F57" s="161">
        <v>28</v>
      </c>
      <c r="G57" s="161">
        <v>28.1</v>
      </c>
      <c r="H57" s="161">
        <v>28.3</v>
      </c>
      <c r="I57" s="161">
        <v>28.3</v>
      </c>
      <c r="J57" s="161">
        <v>28.3</v>
      </c>
      <c r="K57" s="161">
        <v>28.3</v>
      </c>
      <c r="L57" s="161">
        <v>28.4</v>
      </c>
      <c r="M57" s="161">
        <v>28.4</v>
      </c>
      <c r="N57" s="161">
        <v>28.1</v>
      </c>
    </row>
    <row r="58" spans="1:14" x14ac:dyDescent="0.2">
      <c r="A58" s="160">
        <v>1958</v>
      </c>
      <c r="B58" s="161">
        <v>28.6</v>
      </c>
      <c r="C58" s="161">
        <v>28.6</v>
      </c>
      <c r="D58" s="161">
        <v>28.8</v>
      </c>
      <c r="E58" s="161">
        <v>28.9</v>
      </c>
      <c r="F58" s="161">
        <v>28.9</v>
      </c>
      <c r="G58" s="161">
        <v>28.9</v>
      </c>
      <c r="H58" s="161">
        <v>29</v>
      </c>
      <c r="I58" s="161">
        <v>28.9</v>
      </c>
      <c r="J58" s="161">
        <v>28.9</v>
      </c>
      <c r="K58" s="161">
        <v>28.9</v>
      </c>
      <c r="L58" s="161">
        <v>29</v>
      </c>
      <c r="M58" s="161">
        <v>28.9</v>
      </c>
      <c r="N58" s="161">
        <v>28.9</v>
      </c>
    </row>
    <row r="59" spans="1:14" x14ac:dyDescent="0.2">
      <c r="A59" s="160">
        <v>1959</v>
      </c>
      <c r="B59" s="161">
        <v>29</v>
      </c>
      <c r="C59" s="161">
        <v>28.9</v>
      </c>
      <c r="D59" s="161">
        <v>28.9</v>
      </c>
      <c r="E59" s="161">
        <v>29</v>
      </c>
      <c r="F59" s="161">
        <v>29</v>
      </c>
      <c r="G59" s="161">
        <v>29.1</v>
      </c>
      <c r="H59" s="161">
        <v>29.2</v>
      </c>
      <c r="I59" s="161">
        <v>29.2</v>
      </c>
      <c r="J59" s="161">
        <v>29.3</v>
      </c>
      <c r="K59" s="161">
        <v>29.4</v>
      </c>
      <c r="L59" s="161">
        <v>29.4</v>
      </c>
      <c r="M59" s="161">
        <v>29.4</v>
      </c>
      <c r="N59" s="161">
        <v>29.1</v>
      </c>
    </row>
    <row r="60" spans="1:14" x14ac:dyDescent="0.2">
      <c r="A60" s="160">
        <v>1960</v>
      </c>
      <c r="B60" s="161">
        <v>29.3</v>
      </c>
      <c r="C60" s="161">
        <v>29.4</v>
      </c>
      <c r="D60" s="161">
        <v>29.4</v>
      </c>
      <c r="E60" s="161">
        <v>29.5</v>
      </c>
      <c r="F60" s="161">
        <v>29.5</v>
      </c>
      <c r="G60" s="161">
        <v>29.6</v>
      </c>
      <c r="H60" s="161">
        <v>29.6</v>
      </c>
      <c r="I60" s="161">
        <v>29.6</v>
      </c>
      <c r="J60" s="161">
        <v>29.6</v>
      </c>
      <c r="K60" s="161">
        <v>29.8</v>
      </c>
      <c r="L60" s="161">
        <v>29.8</v>
      </c>
      <c r="M60" s="161">
        <v>29.8</v>
      </c>
      <c r="N60" s="161">
        <v>29.6</v>
      </c>
    </row>
    <row r="61" spans="1:14" x14ac:dyDescent="0.2">
      <c r="A61" s="160">
        <v>1961</v>
      </c>
      <c r="B61" s="161">
        <v>29.8</v>
      </c>
      <c r="C61" s="161">
        <v>29.8</v>
      </c>
      <c r="D61" s="161">
        <v>29.8</v>
      </c>
      <c r="E61" s="161">
        <v>29.8</v>
      </c>
      <c r="F61" s="161">
        <v>29.8</v>
      </c>
      <c r="G61" s="161">
        <v>29.8</v>
      </c>
      <c r="H61" s="161">
        <v>30</v>
      </c>
      <c r="I61" s="161">
        <v>29.9</v>
      </c>
      <c r="J61" s="161">
        <v>30</v>
      </c>
      <c r="K61" s="161">
        <v>30</v>
      </c>
      <c r="L61" s="161">
        <v>30</v>
      </c>
      <c r="M61" s="161">
        <v>30</v>
      </c>
      <c r="N61" s="161">
        <v>29.9</v>
      </c>
    </row>
    <row r="62" spans="1:14" x14ac:dyDescent="0.2">
      <c r="A62" s="160">
        <v>1962</v>
      </c>
      <c r="B62" s="161">
        <v>30</v>
      </c>
      <c r="C62" s="161">
        <v>30.1</v>
      </c>
      <c r="D62" s="161">
        <v>30.1</v>
      </c>
      <c r="E62" s="161">
        <v>30.2</v>
      </c>
      <c r="F62" s="161">
        <v>30.2</v>
      </c>
      <c r="G62" s="161">
        <v>30.2</v>
      </c>
      <c r="H62" s="161">
        <v>30.3</v>
      </c>
      <c r="I62" s="161">
        <v>30.3</v>
      </c>
      <c r="J62" s="161">
        <v>30.4</v>
      </c>
      <c r="K62" s="161">
        <v>30.4</v>
      </c>
      <c r="L62" s="161">
        <v>30.4</v>
      </c>
      <c r="M62" s="161">
        <v>30.4</v>
      </c>
      <c r="N62" s="161">
        <v>30.2</v>
      </c>
    </row>
    <row r="63" spans="1:14" x14ac:dyDescent="0.2">
      <c r="A63" s="160">
        <v>1963</v>
      </c>
      <c r="B63" s="161">
        <v>30.4</v>
      </c>
      <c r="C63" s="161">
        <v>30.4</v>
      </c>
      <c r="D63" s="161">
        <v>30.5</v>
      </c>
      <c r="E63" s="161">
        <v>30.5</v>
      </c>
      <c r="F63" s="161">
        <v>30.5</v>
      </c>
      <c r="G63" s="161">
        <v>30.6</v>
      </c>
      <c r="H63" s="161">
        <v>30.7</v>
      </c>
      <c r="I63" s="161">
        <v>30.7</v>
      </c>
      <c r="J63" s="161">
        <v>30.7</v>
      </c>
      <c r="K63" s="161">
        <v>30.8</v>
      </c>
      <c r="L63" s="161">
        <v>30.8</v>
      </c>
      <c r="M63" s="161">
        <v>30.9</v>
      </c>
      <c r="N63" s="161">
        <v>30.6</v>
      </c>
    </row>
    <row r="64" spans="1:14" x14ac:dyDescent="0.2">
      <c r="A64" s="160">
        <v>1964</v>
      </c>
      <c r="B64" s="161">
        <v>30.9</v>
      </c>
      <c r="C64" s="161">
        <v>30.9</v>
      </c>
      <c r="D64" s="161">
        <v>30.9</v>
      </c>
      <c r="E64" s="161">
        <v>30.9</v>
      </c>
      <c r="F64" s="161">
        <v>30.9</v>
      </c>
      <c r="G64" s="161">
        <v>31</v>
      </c>
      <c r="H64" s="161">
        <v>31.1</v>
      </c>
      <c r="I64" s="161">
        <v>31</v>
      </c>
      <c r="J64" s="161">
        <v>31.1</v>
      </c>
      <c r="K64" s="161">
        <v>31.1</v>
      </c>
      <c r="L64" s="161">
        <v>31.2</v>
      </c>
      <c r="M64" s="161">
        <v>31.2</v>
      </c>
      <c r="N64" s="161">
        <v>31</v>
      </c>
    </row>
    <row r="65" spans="1:14" x14ac:dyDescent="0.2">
      <c r="A65" s="160">
        <v>1965</v>
      </c>
      <c r="B65" s="161">
        <v>31.2</v>
      </c>
      <c r="C65" s="161">
        <v>31.2</v>
      </c>
      <c r="D65" s="161">
        <v>31.3</v>
      </c>
      <c r="E65" s="161">
        <v>31.4</v>
      </c>
      <c r="F65" s="161">
        <v>31.4</v>
      </c>
      <c r="G65" s="161">
        <v>31.6</v>
      </c>
      <c r="H65" s="161">
        <v>31.6</v>
      </c>
      <c r="I65" s="161">
        <v>31.6</v>
      </c>
      <c r="J65" s="161">
        <v>31.6</v>
      </c>
      <c r="K65" s="161">
        <v>31.7</v>
      </c>
      <c r="L65" s="161">
        <v>31.7</v>
      </c>
      <c r="M65" s="161">
        <v>31.8</v>
      </c>
      <c r="N65" s="161">
        <v>31.5</v>
      </c>
    </row>
    <row r="66" spans="1:14" x14ac:dyDescent="0.2">
      <c r="A66" s="160">
        <v>1966</v>
      </c>
      <c r="B66" s="161">
        <v>31.8</v>
      </c>
      <c r="C66" s="161">
        <v>32</v>
      </c>
      <c r="D66" s="161">
        <v>32.1</v>
      </c>
      <c r="E66" s="161">
        <v>32.299999999999997</v>
      </c>
      <c r="F66" s="161">
        <v>32.299999999999997</v>
      </c>
      <c r="G66" s="161">
        <v>32.4</v>
      </c>
      <c r="H66" s="161">
        <v>32.5</v>
      </c>
      <c r="I66" s="161">
        <v>32.700000000000003</v>
      </c>
      <c r="J66" s="161">
        <v>32.700000000000003</v>
      </c>
      <c r="K66" s="161">
        <v>32.9</v>
      </c>
      <c r="L66" s="161">
        <v>32.9</v>
      </c>
      <c r="M66" s="161">
        <v>32.9</v>
      </c>
      <c r="N66" s="161">
        <v>32.4</v>
      </c>
    </row>
    <row r="67" spans="1:14" x14ac:dyDescent="0.2">
      <c r="A67" s="160">
        <v>1967</v>
      </c>
      <c r="B67" s="161">
        <v>32.9</v>
      </c>
      <c r="C67" s="161">
        <v>32.9</v>
      </c>
      <c r="D67" s="161">
        <v>33</v>
      </c>
      <c r="E67" s="161">
        <v>33.1</v>
      </c>
      <c r="F67" s="161">
        <v>33.200000000000003</v>
      </c>
      <c r="G67" s="161">
        <v>33.299999999999997</v>
      </c>
      <c r="H67" s="161">
        <v>33.4</v>
      </c>
      <c r="I67" s="161">
        <v>33.5</v>
      </c>
      <c r="J67" s="161">
        <v>33.6</v>
      </c>
      <c r="K67" s="161">
        <v>33.700000000000003</v>
      </c>
      <c r="L67" s="161">
        <v>33.799999999999997</v>
      </c>
      <c r="M67" s="161">
        <v>33.9</v>
      </c>
      <c r="N67" s="161">
        <v>33.4</v>
      </c>
    </row>
    <row r="68" spans="1:14" x14ac:dyDescent="0.2">
      <c r="A68" s="160">
        <v>1968</v>
      </c>
      <c r="B68" s="161">
        <v>34.1</v>
      </c>
      <c r="C68" s="161">
        <v>34.200000000000003</v>
      </c>
      <c r="D68" s="161">
        <v>34.299999999999997</v>
      </c>
      <c r="E68" s="161">
        <v>34.4</v>
      </c>
      <c r="F68" s="161">
        <v>34.5</v>
      </c>
      <c r="G68" s="161">
        <v>34.700000000000003</v>
      </c>
      <c r="H68" s="161">
        <v>34.9</v>
      </c>
      <c r="I68" s="161">
        <v>35</v>
      </c>
      <c r="J68" s="161">
        <v>35.1</v>
      </c>
      <c r="K68" s="161">
        <v>35.299999999999997</v>
      </c>
      <c r="L68" s="161">
        <v>35.4</v>
      </c>
      <c r="M68" s="161">
        <v>35.5</v>
      </c>
      <c r="N68" s="161">
        <v>34.799999999999997</v>
      </c>
    </row>
    <row r="69" spans="1:14" x14ac:dyDescent="0.2">
      <c r="A69" s="160">
        <v>1969</v>
      </c>
      <c r="B69" s="161">
        <v>35.6</v>
      </c>
      <c r="C69" s="161">
        <v>35.799999999999997</v>
      </c>
      <c r="D69" s="161">
        <v>36.1</v>
      </c>
      <c r="E69" s="161">
        <v>36.299999999999997</v>
      </c>
      <c r="F69" s="161">
        <v>36.4</v>
      </c>
      <c r="G69" s="161">
        <v>36.6</v>
      </c>
      <c r="H69" s="161">
        <v>36.799999999999997</v>
      </c>
      <c r="I69" s="161">
        <v>37</v>
      </c>
      <c r="J69" s="161">
        <v>37.1</v>
      </c>
      <c r="K69" s="161">
        <v>37.299999999999997</v>
      </c>
      <c r="L69" s="161">
        <v>37.5</v>
      </c>
      <c r="M69" s="161">
        <v>37.700000000000003</v>
      </c>
      <c r="N69" s="161">
        <v>36.700000000000003</v>
      </c>
    </row>
    <row r="70" spans="1:14" x14ac:dyDescent="0.2">
      <c r="A70" s="160">
        <v>1970</v>
      </c>
      <c r="B70" s="161">
        <v>37.799999999999997</v>
      </c>
      <c r="C70" s="161">
        <v>38</v>
      </c>
      <c r="D70" s="161">
        <v>38.200000000000003</v>
      </c>
      <c r="E70" s="161">
        <v>38.5</v>
      </c>
      <c r="F70" s="161">
        <v>38.6</v>
      </c>
      <c r="G70" s="161">
        <v>38.799999999999997</v>
      </c>
      <c r="H70" s="161">
        <v>39</v>
      </c>
      <c r="I70" s="161">
        <v>39</v>
      </c>
      <c r="J70" s="161">
        <v>39.200000000000003</v>
      </c>
      <c r="K70" s="161">
        <v>39.4</v>
      </c>
      <c r="L70" s="161">
        <v>39.6</v>
      </c>
      <c r="M70" s="161">
        <v>39.799999999999997</v>
      </c>
      <c r="N70" s="161">
        <v>38.799999999999997</v>
      </c>
    </row>
    <row r="71" spans="1:14" x14ac:dyDescent="0.2">
      <c r="A71" s="160">
        <v>1971</v>
      </c>
      <c r="B71" s="161">
        <v>39.799999999999997</v>
      </c>
      <c r="C71" s="161">
        <v>39.9</v>
      </c>
      <c r="D71" s="161">
        <v>40</v>
      </c>
      <c r="E71" s="161">
        <v>40.1</v>
      </c>
      <c r="F71" s="161">
        <v>40.299999999999997</v>
      </c>
      <c r="G71" s="161">
        <v>40.6</v>
      </c>
      <c r="H71" s="161">
        <v>40.700000000000003</v>
      </c>
      <c r="I71" s="161">
        <v>40.799999999999997</v>
      </c>
      <c r="J71" s="161">
        <v>40.799999999999997</v>
      </c>
      <c r="K71" s="161">
        <v>40.9</v>
      </c>
      <c r="L71" s="161">
        <v>40.9</v>
      </c>
      <c r="M71" s="161">
        <v>41.1</v>
      </c>
      <c r="N71" s="161">
        <v>40.5</v>
      </c>
    </row>
    <row r="72" spans="1:14" x14ac:dyDescent="0.2">
      <c r="A72" s="160">
        <v>1972</v>
      </c>
      <c r="B72" s="161">
        <v>41.1</v>
      </c>
      <c r="C72" s="161">
        <v>41.3</v>
      </c>
      <c r="D72" s="161">
        <v>41.4</v>
      </c>
      <c r="E72" s="161">
        <v>41.5</v>
      </c>
      <c r="F72" s="161">
        <v>41.6</v>
      </c>
      <c r="G72" s="161">
        <v>41.7</v>
      </c>
      <c r="H72" s="161">
        <v>41.9</v>
      </c>
      <c r="I72" s="161">
        <v>42</v>
      </c>
      <c r="J72" s="161">
        <v>42.1</v>
      </c>
      <c r="K72" s="161">
        <v>42.3</v>
      </c>
      <c r="L72" s="161">
        <v>42.4</v>
      </c>
      <c r="M72" s="161">
        <v>42.5</v>
      </c>
      <c r="N72" s="161">
        <v>41.8</v>
      </c>
    </row>
    <row r="73" spans="1:14" x14ac:dyDescent="0.2">
      <c r="A73" s="160">
        <v>1973</v>
      </c>
      <c r="B73" s="161">
        <v>42.6</v>
      </c>
      <c r="C73" s="161">
        <v>42.9</v>
      </c>
      <c r="D73" s="161">
        <v>43.3</v>
      </c>
      <c r="E73" s="161">
        <v>43.6</v>
      </c>
      <c r="F73" s="161">
        <v>43.9</v>
      </c>
      <c r="G73" s="161">
        <v>44.2</v>
      </c>
      <c r="H73" s="161">
        <v>44.3</v>
      </c>
      <c r="I73" s="161">
        <v>45.1</v>
      </c>
      <c r="J73" s="161">
        <v>45.2</v>
      </c>
      <c r="K73" s="161">
        <v>45.6</v>
      </c>
      <c r="L73" s="161">
        <v>45.9</v>
      </c>
      <c r="M73" s="161">
        <v>46.2</v>
      </c>
      <c r="N73" s="161">
        <v>44.4</v>
      </c>
    </row>
    <row r="74" spans="1:14" x14ac:dyDescent="0.2">
      <c r="A74" s="160">
        <v>1974</v>
      </c>
      <c r="B74" s="161">
        <v>46.6</v>
      </c>
      <c r="C74" s="161">
        <v>47.2</v>
      </c>
      <c r="D74" s="161">
        <v>47.8</v>
      </c>
      <c r="E74" s="161">
        <v>48</v>
      </c>
      <c r="F74" s="161">
        <v>48.6</v>
      </c>
      <c r="G74" s="161">
        <v>49</v>
      </c>
      <c r="H74" s="161">
        <v>49.4</v>
      </c>
      <c r="I74" s="161">
        <v>50</v>
      </c>
      <c r="J74" s="161">
        <v>50.6</v>
      </c>
      <c r="K74" s="161">
        <v>51.1</v>
      </c>
      <c r="L74" s="161">
        <v>51.5</v>
      </c>
      <c r="M74" s="161">
        <v>51.9</v>
      </c>
      <c r="N74" s="161">
        <v>49.3</v>
      </c>
    </row>
    <row r="75" spans="1:14" x14ac:dyDescent="0.2">
      <c r="A75" s="160">
        <v>1975</v>
      </c>
      <c r="B75" s="161">
        <v>52.1</v>
      </c>
      <c r="C75" s="161">
        <v>52.5</v>
      </c>
      <c r="D75" s="161">
        <v>52.7</v>
      </c>
      <c r="E75" s="161">
        <v>52.9</v>
      </c>
      <c r="F75" s="161">
        <v>53.2</v>
      </c>
      <c r="G75" s="161">
        <v>53.6</v>
      </c>
      <c r="H75" s="161">
        <v>54.2</v>
      </c>
      <c r="I75" s="161">
        <v>54.3</v>
      </c>
      <c r="J75" s="161">
        <v>54.6</v>
      </c>
      <c r="K75" s="161">
        <v>54.9</v>
      </c>
      <c r="L75" s="161">
        <v>55.3</v>
      </c>
      <c r="M75" s="161">
        <v>55.5</v>
      </c>
      <c r="N75" s="161">
        <v>53.8</v>
      </c>
    </row>
    <row r="76" spans="1:14" x14ac:dyDescent="0.2">
      <c r="A76" s="160">
        <v>1976</v>
      </c>
      <c r="B76" s="161">
        <v>55.6</v>
      </c>
      <c r="C76" s="161">
        <v>55.8</v>
      </c>
      <c r="D76" s="161">
        <v>55.9</v>
      </c>
      <c r="E76" s="161">
        <v>56.1</v>
      </c>
      <c r="F76" s="161">
        <v>56.5</v>
      </c>
      <c r="G76" s="161">
        <v>56.8</v>
      </c>
      <c r="H76" s="161">
        <v>57.1</v>
      </c>
      <c r="I76" s="161">
        <v>57.4</v>
      </c>
      <c r="J76" s="161">
        <v>57.6</v>
      </c>
      <c r="K76" s="161">
        <v>57.9</v>
      </c>
      <c r="L76" s="161">
        <v>58</v>
      </c>
      <c r="M76" s="161">
        <v>58.2</v>
      </c>
      <c r="N76" s="161">
        <v>56.9</v>
      </c>
    </row>
    <row r="77" spans="1:14" x14ac:dyDescent="0.2">
      <c r="A77" s="160">
        <v>1977</v>
      </c>
      <c r="B77" s="161">
        <v>58.5</v>
      </c>
      <c r="C77" s="161">
        <v>59.1</v>
      </c>
      <c r="D77" s="161">
        <v>59.5</v>
      </c>
      <c r="E77" s="161">
        <v>60</v>
      </c>
      <c r="F77" s="161">
        <v>60.3</v>
      </c>
      <c r="G77" s="161">
        <v>60.7</v>
      </c>
      <c r="H77" s="161">
        <v>61</v>
      </c>
      <c r="I77" s="161">
        <v>61.2</v>
      </c>
      <c r="J77" s="161">
        <v>61.4</v>
      </c>
      <c r="K77" s="161">
        <v>61.6</v>
      </c>
      <c r="L77" s="161">
        <v>61.9</v>
      </c>
      <c r="M77" s="161">
        <v>62.1</v>
      </c>
      <c r="N77" s="161">
        <v>60.6</v>
      </c>
    </row>
    <row r="78" spans="1:14" x14ac:dyDescent="0.2">
      <c r="A78" s="160">
        <v>1978</v>
      </c>
      <c r="B78" s="161">
        <v>62.5</v>
      </c>
      <c r="C78" s="161">
        <v>62.9</v>
      </c>
      <c r="D78" s="161">
        <v>63.4</v>
      </c>
      <c r="E78" s="161">
        <v>63.9</v>
      </c>
      <c r="F78" s="161">
        <v>64.5</v>
      </c>
      <c r="G78" s="161">
        <v>65.2</v>
      </c>
      <c r="H78" s="161">
        <v>65.7</v>
      </c>
      <c r="I78" s="161">
        <v>66</v>
      </c>
      <c r="J78" s="161">
        <v>66.5</v>
      </c>
      <c r="K78" s="161">
        <v>67.099999999999994</v>
      </c>
      <c r="L78" s="161">
        <v>67.400000000000006</v>
      </c>
      <c r="M78" s="161">
        <v>67.7</v>
      </c>
      <c r="N78" s="161">
        <v>65.2</v>
      </c>
    </row>
    <row r="79" spans="1:14" x14ac:dyDescent="0.2">
      <c r="A79" s="160">
        <v>1979</v>
      </c>
      <c r="B79" s="161">
        <v>68.3</v>
      </c>
      <c r="C79" s="161">
        <v>69.099999999999994</v>
      </c>
      <c r="D79" s="161">
        <v>69.8</v>
      </c>
      <c r="E79" s="161">
        <v>70.599999999999994</v>
      </c>
      <c r="F79" s="161">
        <v>71.5</v>
      </c>
      <c r="G79" s="161">
        <v>72.3</v>
      </c>
      <c r="H79" s="161">
        <v>73.099999999999994</v>
      </c>
      <c r="I79" s="161">
        <v>73.8</v>
      </c>
      <c r="J79" s="161">
        <v>74.599999999999994</v>
      </c>
      <c r="K79" s="161">
        <v>75.2</v>
      </c>
      <c r="L79" s="161">
        <v>75.900000000000006</v>
      </c>
      <c r="M79" s="161">
        <v>76.7</v>
      </c>
      <c r="N79" s="161">
        <v>72.599999999999994</v>
      </c>
    </row>
    <row r="80" spans="1:14" x14ac:dyDescent="0.2">
      <c r="A80" s="160">
        <v>1980</v>
      </c>
      <c r="B80" s="161">
        <v>77.8</v>
      </c>
      <c r="C80" s="161">
        <v>78.900000000000006</v>
      </c>
      <c r="D80" s="161">
        <v>80.099999999999994</v>
      </c>
      <c r="E80" s="161">
        <v>81</v>
      </c>
      <c r="F80" s="161">
        <v>81.8</v>
      </c>
      <c r="G80" s="161">
        <v>82.7</v>
      </c>
      <c r="H80" s="161">
        <v>82.7</v>
      </c>
      <c r="I80" s="161">
        <v>83.3</v>
      </c>
      <c r="J80" s="161">
        <v>84</v>
      </c>
      <c r="K80" s="161">
        <v>84.8</v>
      </c>
      <c r="L80" s="161">
        <v>85.5</v>
      </c>
      <c r="M80" s="161">
        <v>86.3</v>
      </c>
      <c r="N80" s="161">
        <v>82.4</v>
      </c>
    </row>
    <row r="81" spans="1:16" x14ac:dyDescent="0.2">
      <c r="A81" s="160">
        <v>1981</v>
      </c>
      <c r="B81" s="161">
        <v>87</v>
      </c>
      <c r="C81" s="161">
        <v>87.9</v>
      </c>
      <c r="D81" s="161">
        <v>88.5</v>
      </c>
      <c r="E81" s="161">
        <v>89.1</v>
      </c>
      <c r="F81" s="161">
        <v>89.8</v>
      </c>
      <c r="G81" s="161">
        <v>90.6</v>
      </c>
      <c r="H81" s="161">
        <v>91.6</v>
      </c>
      <c r="I81" s="161">
        <v>92.3</v>
      </c>
      <c r="J81" s="161">
        <v>93.2</v>
      </c>
      <c r="K81" s="161">
        <v>93.4</v>
      </c>
      <c r="L81" s="161">
        <v>93.7</v>
      </c>
      <c r="M81" s="161">
        <v>94</v>
      </c>
      <c r="N81" s="161">
        <v>90.9</v>
      </c>
    </row>
    <row r="82" spans="1:16" x14ac:dyDescent="0.2">
      <c r="A82" s="160">
        <v>1982</v>
      </c>
      <c r="B82" s="161">
        <v>94.3</v>
      </c>
      <c r="C82" s="161">
        <v>94.6</v>
      </c>
      <c r="D82" s="161">
        <v>94.5</v>
      </c>
      <c r="E82" s="161">
        <v>94.9</v>
      </c>
      <c r="F82" s="161">
        <v>95.8</v>
      </c>
      <c r="G82" s="161">
        <v>97</v>
      </c>
      <c r="H82" s="161">
        <v>97.5</v>
      </c>
      <c r="I82" s="161">
        <v>97.7</v>
      </c>
      <c r="J82" s="161">
        <v>97.9</v>
      </c>
      <c r="K82" s="161">
        <v>98.2</v>
      </c>
      <c r="L82" s="161">
        <v>98</v>
      </c>
      <c r="M82" s="161">
        <v>97.6</v>
      </c>
      <c r="N82" s="161">
        <v>96.5</v>
      </c>
    </row>
    <row r="83" spans="1:16" x14ac:dyDescent="0.2">
      <c r="A83" s="160">
        <v>1983</v>
      </c>
      <c r="B83" s="161">
        <v>97.8</v>
      </c>
      <c r="C83" s="161">
        <v>97.9</v>
      </c>
      <c r="D83" s="161">
        <v>97.9</v>
      </c>
      <c r="E83" s="161">
        <v>98.6</v>
      </c>
      <c r="F83" s="161">
        <v>99.2</v>
      </c>
      <c r="G83" s="161">
        <v>99.5</v>
      </c>
      <c r="H83" s="161">
        <v>99.9</v>
      </c>
      <c r="I83" s="161">
        <v>100.2</v>
      </c>
      <c r="J83" s="161">
        <v>100.7</v>
      </c>
      <c r="K83" s="161">
        <v>101</v>
      </c>
      <c r="L83" s="161">
        <v>101.2</v>
      </c>
      <c r="M83" s="161">
        <v>101.3</v>
      </c>
      <c r="N83" s="161">
        <v>99.6</v>
      </c>
    </row>
    <row r="84" spans="1:16" x14ac:dyDescent="0.2">
      <c r="A84" s="160">
        <v>1984</v>
      </c>
      <c r="B84" s="161">
        <v>101.9</v>
      </c>
      <c r="C84" s="161">
        <v>102.4</v>
      </c>
      <c r="D84" s="161">
        <v>102.6</v>
      </c>
      <c r="E84" s="161">
        <v>103.1</v>
      </c>
      <c r="F84" s="161">
        <v>103.4</v>
      </c>
      <c r="G84" s="161">
        <v>103.7</v>
      </c>
      <c r="H84" s="161">
        <v>104.1</v>
      </c>
      <c r="I84" s="161">
        <v>104.5</v>
      </c>
      <c r="J84" s="161">
        <v>105</v>
      </c>
      <c r="K84" s="161">
        <v>105.3</v>
      </c>
      <c r="L84" s="161">
        <v>105.3</v>
      </c>
      <c r="M84" s="161">
        <v>105.3</v>
      </c>
      <c r="N84" s="161">
        <v>103.9</v>
      </c>
      <c r="O84" s="162"/>
      <c r="P84" s="162"/>
    </row>
    <row r="85" spans="1:16" x14ac:dyDescent="0.2">
      <c r="A85" s="160">
        <v>1985</v>
      </c>
      <c r="B85" s="161">
        <v>105.5</v>
      </c>
      <c r="C85" s="161">
        <v>106</v>
      </c>
      <c r="D85" s="161">
        <v>106.4</v>
      </c>
      <c r="E85" s="161">
        <v>106.9</v>
      </c>
      <c r="F85" s="161">
        <v>107.3</v>
      </c>
      <c r="G85" s="161">
        <v>107.6</v>
      </c>
      <c r="H85" s="161">
        <v>107.8</v>
      </c>
      <c r="I85" s="161">
        <v>108</v>
      </c>
      <c r="J85" s="161">
        <v>108.3</v>
      </c>
      <c r="K85" s="161">
        <v>108.7</v>
      </c>
      <c r="L85" s="161">
        <v>109</v>
      </c>
      <c r="M85" s="161">
        <v>109.3</v>
      </c>
      <c r="N85" s="161">
        <v>107.6</v>
      </c>
      <c r="O85" s="162"/>
      <c r="P85" s="162"/>
    </row>
    <row r="86" spans="1:16" x14ac:dyDescent="0.2">
      <c r="A86" s="160">
        <v>1986</v>
      </c>
      <c r="B86" s="161">
        <v>109.6</v>
      </c>
      <c r="C86" s="161">
        <v>109.3</v>
      </c>
      <c r="D86" s="161">
        <v>108.8</v>
      </c>
      <c r="E86" s="161">
        <v>108.6</v>
      </c>
      <c r="F86" s="161">
        <v>108.9</v>
      </c>
      <c r="G86" s="161">
        <v>109.5</v>
      </c>
      <c r="H86" s="161">
        <v>109.5</v>
      </c>
      <c r="I86" s="161">
        <v>109.7</v>
      </c>
      <c r="J86" s="161">
        <v>110.2</v>
      </c>
      <c r="K86" s="161">
        <v>110.3</v>
      </c>
      <c r="L86" s="161">
        <v>110.4</v>
      </c>
      <c r="M86" s="161">
        <v>110.5</v>
      </c>
      <c r="N86" s="161">
        <v>109.6</v>
      </c>
      <c r="O86" s="162"/>
      <c r="P86" s="162"/>
    </row>
    <row r="87" spans="1:16" x14ac:dyDescent="0.2">
      <c r="A87" s="160">
        <v>1987</v>
      </c>
      <c r="B87" s="161">
        <v>111.2</v>
      </c>
      <c r="C87" s="161">
        <v>111.6</v>
      </c>
      <c r="D87" s="161">
        <v>112.1</v>
      </c>
      <c r="E87" s="161">
        <v>112.7</v>
      </c>
      <c r="F87" s="161">
        <v>113.1</v>
      </c>
      <c r="G87" s="161">
        <v>113.5</v>
      </c>
      <c r="H87" s="161">
        <v>113.8</v>
      </c>
      <c r="I87" s="161">
        <v>114.4</v>
      </c>
      <c r="J87" s="161">
        <v>115</v>
      </c>
      <c r="K87" s="161">
        <v>115.3</v>
      </c>
      <c r="L87" s="161">
        <v>115.4</v>
      </c>
      <c r="M87" s="161">
        <v>115.4</v>
      </c>
      <c r="N87" s="161">
        <v>113.6</v>
      </c>
      <c r="O87" s="162"/>
      <c r="P87" s="162"/>
    </row>
    <row r="88" spans="1:16" x14ac:dyDescent="0.2">
      <c r="A88" s="160">
        <v>1988</v>
      </c>
      <c r="B88" s="161">
        <v>115.7</v>
      </c>
      <c r="C88" s="161">
        <v>116</v>
      </c>
      <c r="D88" s="161">
        <v>116.5</v>
      </c>
      <c r="E88" s="161">
        <v>117.1</v>
      </c>
      <c r="F88" s="161">
        <v>117.5</v>
      </c>
      <c r="G88" s="161">
        <v>118</v>
      </c>
      <c r="H88" s="161">
        <v>118.5</v>
      </c>
      <c r="I88" s="161">
        <v>119</v>
      </c>
      <c r="J88" s="161">
        <v>119.8</v>
      </c>
      <c r="K88" s="161">
        <v>120.2</v>
      </c>
      <c r="L88" s="161">
        <v>120.3</v>
      </c>
      <c r="M88" s="161">
        <v>120.5</v>
      </c>
      <c r="N88" s="161">
        <v>118.3</v>
      </c>
      <c r="O88" s="162"/>
      <c r="P88" s="162"/>
    </row>
    <row r="89" spans="1:16" x14ac:dyDescent="0.2">
      <c r="A89" s="160">
        <v>1989</v>
      </c>
      <c r="B89" s="161">
        <v>121.1</v>
      </c>
      <c r="C89" s="161">
        <v>121.6</v>
      </c>
      <c r="D89" s="161">
        <v>122.3</v>
      </c>
      <c r="E89" s="161">
        <v>123.1</v>
      </c>
      <c r="F89" s="161">
        <v>123.8</v>
      </c>
      <c r="G89" s="161">
        <v>124.1</v>
      </c>
      <c r="H89" s="161">
        <v>124.4</v>
      </c>
      <c r="I89" s="161">
        <v>124.6</v>
      </c>
      <c r="J89" s="161">
        <v>125</v>
      </c>
      <c r="K89" s="161">
        <v>125.6</v>
      </c>
      <c r="L89" s="161">
        <v>125.9</v>
      </c>
      <c r="M89" s="161">
        <v>126.1</v>
      </c>
      <c r="N89" s="161">
        <v>124</v>
      </c>
      <c r="O89" s="162"/>
      <c r="P89" s="162"/>
    </row>
    <row r="90" spans="1:16" x14ac:dyDescent="0.2">
      <c r="A90" s="160">
        <v>1990</v>
      </c>
      <c r="B90" s="161">
        <v>127.4</v>
      </c>
      <c r="C90" s="161">
        <v>128</v>
      </c>
      <c r="D90" s="161">
        <v>128.69999999999999</v>
      </c>
      <c r="E90" s="161">
        <v>128.9</v>
      </c>
      <c r="F90" s="161">
        <v>129.19999999999999</v>
      </c>
      <c r="G90" s="161">
        <v>129.9</v>
      </c>
      <c r="H90" s="161">
        <v>130.4</v>
      </c>
      <c r="I90" s="161">
        <v>131.6</v>
      </c>
      <c r="J90" s="161">
        <v>132.69999999999999</v>
      </c>
      <c r="K90" s="161">
        <v>133.5</v>
      </c>
      <c r="L90" s="161">
        <v>133.80000000000001</v>
      </c>
      <c r="M90" s="161">
        <v>133.80000000000001</v>
      </c>
      <c r="N90" s="161">
        <v>130.69999999999999</v>
      </c>
      <c r="O90" s="162"/>
      <c r="P90" s="162"/>
    </row>
    <row r="91" spans="1:16" x14ac:dyDescent="0.2">
      <c r="A91" s="160">
        <v>1991</v>
      </c>
      <c r="B91" s="161">
        <v>134.6</v>
      </c>
      <c r="C91" s="161">
        <v>134.80000000000001</v>
      </c>
      <c r="D91" s="161">
        <v>135</v>
      </c>
      <c r="E91" s="161">
        <v>135.19999999999999</v>
      </c>
      <c r="F91" s="161">
        <v>135.6</v>
      </c>
      <c r="G91" s="161">
        <v>136</v>
      </c>
      <c r="H91" s="161">
        <v>136.19999999999999</v>
      </c>
      <c r="I91" s="161">
        <v>136.6</v>
      </c>
      <c r="J91" s="161">
        <v>137.19999999999999</v>
      </c>
      <c r="K91" s="161">
        <v>137.4</v>
      </c>
      <c r="L91" s="161">
        <v>137.80000000000001</v>
      </c>
      <c r="M91" s="161">
        <v>137.9</v>
      </c>
      <c r="N91" s="161">
        <v>136.19999999999999</v>
      </c>
      <c r="O91" s="162"/>
      <c r="P91" s="162"/>
    </row>
    <row r="92" spans="1:16" x14ac:dyDescent="0.2">
      <c r="A92" s="160">
        <v>1992</v>
      </c>
      <c r="B92" s="161">
        <v>138.1</v>
      </c>
      <c r="C92" s="161">
        <v>138.6</v>
      </c>
      <c r="D92" s="161">
        <v>139.30000000000001</v>
      </c>
      <c r="E92" s="161">
        <v>139.5</v>
      </c>
      <c r="F92" s="161">
        <v>139.69999999999999</v>
      </c>
      <c r="G92" s="161">
        <v>140.19999999999999</v>
      </c>
      <c r="H92" s="161">
        <v>140.5</v>
      </c>
      <c r="I92" s="161">
        <v>140.9</v>
      </c>
      <c r="J92" s="161">
        <v>141.30000000000001</v>
      </c>
      <c r="K92" s="161">
        <v>141.80000000000001</v>
      </c>
      <c r="L92" s="161">
        <v>142</v>
      </c>
      <c r="M92" s="161">
        <v>141.9</v>
      </c>
      <c r="N92" s="161">
        <v>140.30000000000001</v>
      </c>
      <c r="O92" s="162"/>
      <c r="P92" s="162"/>
    </row>
    <row r="93" spans="1:16" x14ac:dyDescent="0.2">
      <c r="A93" s="160">
        <v>1993</v>
      </c>
      <c r="B93" s="161">
        <v>142.6</v>
      </c>
      <c r="C93" s="161">
        <v>143.1</v>
      </c>
      <c r="D93" s="161">
        <v>143.6</v>
      </c>
      <c r="E93" s="161">
        <v>144</v>
      </c>
      <c r="F93" s="161">
        <v>144.19999999999999</v>
      </c>
      <c r="G93" s="161">
        <v>144.4</v>
      </c>
      <c r="H93" s="161">
        <v>144.4</v>
      </c>
      <c r="I93" s="161">
        <v>144.80000000000001</v>
      </c>
      <c r="J93" s="161">
        <v>145.1</v>
      </c>
      <c r="K93" s="161">
        <v>145.69999999999999</v>
      </c>
      <c r="L93" s="161">
        <v>145.80000000000001</v>
      </c>
      <c r="M93" s="161">
        <v>145.80000000000001</v>
      </c>
      <c r="N93" s="161">
        <v>144.5</v>
      </c>
      <c r="O93" s="162"/>
      <c r="P93" s="162"/>
    </row>
    <row r="94" spans="1:16" x14ac:dyDescent="0.2">
      <c r="A94" s="160">
        <v>1994</v>
      </c>
      <c r="B94" s="161">
        <v>146.19999999999999</v>
      </c>
      <c r="C94" s="161">
        <v>146.69999999999999</v>
      </c>
      <c r="D94" s="161">
        <v>147.19999999999999</v>
      </c>
      <c r="E94" s="161">
        <v>147.4</v>
      </c>
      <c r="F94" s="161">
        <v>147.5</v>
      </c>
      <c r="G94" s="161">
        <v>148</v>
      </c>
      <c r="H94" s="161">
        <v>148.4</v>
      </c>
      <c r="I94" s="161">
        <v>149</v>
      </c>
      <c r="J94" s="161">
        <v>149.4</v>
      </c>
      <c r="K94" s="161">
        <v>149.5</v>
      </c>
      <c r="L94" s="161">
        <v>149.69999999999999</v>
      </c>
      <c r="M94" s="161">
        <v>149.69999999999999</v>
      </c>
      <c r="N94" s="161">
        <v>148.19999999999999</v>
      </c>
      <c r="O94" s="162"/>
      <c r="P94" s="162"/>
    </row>
    <row r="95" spans="1:16" x14ac:dyDescent="0.2">
      <c r="A95" s="160">
        <v>1995</v>
      </c>
      <c r="B95" s="161">
        <v>150.30000000000001</v>
      </c>
      <c r="C95" s="161">
        <v>150.9</v>
      </c>
      <c r="D95" s="161">
        <v>151.4</v>
      </c>
      <c r="E95" s="161">
        <v>151.9</v>
      </c>
      <c r="F95" s="161">
        <v>152.19999999999999</v>
      </c>
      <c r="G95" s="161">
        <v>152.5</v>
      </c>
      <c r="H95" s="161">
        <v>152.5</v>
      </c>
      <c r="I95" s="161">
        <v>152.9</v>
      </c>
      <c r="J95" s="161">
        <v>153.19999999999999</v>
      </c>
      <c r="K95" s="161">
        <v>153.69999999999999</v>
      </c>
      <c r="L95" s="161">
        <v>153.6</v>
      </c>
      <c r="M95" s="161">
        <v>153.5</v>
      </c>
      <c r="N95" s="161">
        <v>152.4</v>
      </c>
      <c r="O95" s="162"/>
      <c r="P95" s="162"/>
    </row>
    <row r="96" spans="1:16" x14ac:dyDescent="0.2">
      <c r="A96" s="160">
        <v>1996</v>
      </c>
      <c r="B96" s="161">
        <v>154.4</v>
      </c>
      <c r="C96" s="161">
        <v>154.9</v>
      </c>
      <c r="D96" s="161">
        <v>155.69999999999999</v>
      </c>
      <c r="E96" s="161">
        <v>156.30000000000001</v>
      </c>
      <c r="F96" s="161">
        <v>156.6</v>
      </c>
      <c r="G96" s="161">
        <v>156.69999999999999</v>
      </c>
      <c r="H96" s="161">
        <v>157</v>
      </c>
      <c r="I96" s="161">
        <v>157.30000000000001</v>
      </c>
      <c r="J96" s="161">
        <v>157.80000000000001</v>
      </c>
      <c r="K96" s="161">
        <v>158.30000000000001</v>
      </c>
      <c r="L96" s="161">
        <v>158.6</v>
      </c>
      <c r="M96" s="161">
        <v>158.6</v>
      </c>
      <c r="N96" s="161">
        <v>156.9</v>
      </c>
      <c r="O96" s="162"/>
      <c r="P96" s="162"/>
    </row>
    <row r="97" spans="1:16" x14ac:dyDescent="0.2">
      <c r="A97" s="160">
        <v>1997</v>
      </c>
      <c r="B97" s="161">
        <v>159.1</v>
      </c>
      <c r="C97" s="161">
        <v>159.6</v>
      </c>
      <c r="D97" s="161">
        <v>160</v>
      </c>
      <c r="E97" s="161">
        <v>160.19999999999999</v>
      </c>
      <c r="F97" s="161">
        <v>160.1</v>
      </c>
      <c r="G97" s="161">
        <v>160.30000000000001</v>
      </c>
      <c r="H97" s="161">
        <v>160.5</v>
      </c>
      <c r="I97" s="161">
        <v>160.80000000000001</v>
      </c>
      <c r="J97" s="161">
        <v>161.19999999999999</v>
      </c>
      <c r="K97" s="161">
        <v>161.6</v>
      </c>
      <c r="L97" s="161">
        <v>161.5</v>
      </c>
      <c r="M97" s="161">
        <v>161.30000000000001</v>
      </c>
      <c r="N97" s="161">
        <v>160.5</v>
      </c>
      <c r="O97" s="162"/>
      <c r="P97" s="162"/>
    </row>
    <row r="98" spans="1:16" x14ac:dyDescent="0.2">
      <c r="A98" s="160">
        <v>1998</v>
      </c>
      <c r="B98" s="161">
        <v>161.6</v>
      </c>
      <c r="C98" s="161">
        <v>161.9</v>
      </c>
      <c r="D98" s="161">
        <v>162.19999999999999</v>
      </c>
      <c r="E98" s="161">
        <v>162.5</v>
      </c>
      <c r="F98" s="161">
        <v>162.80000000000001</v>
      </c>
      <c r="G98" s="161">
        <v>163</v>
      </c>
      <c r="H98" s="161">
        <v>163.19999999999999</v>
      </c>
      <c r="I98" s="161">
        <v>163.4</v>
      </c>
      <c r="J98" s="161">
        <v>163.6</v>
      </c>
      <c r="K98" s="161">
        <v>164</v>
      </c>
      <c r="L98" s="161">
        <v>164</v>
      </c>
      <c r="M98" s="161">
        <v>163.9</v>
      </c>
      <c r="N98" s="161">
        <v>163</v>
      </c>
      <c r="O98" s="162"/>
      <c r="P98" s="162"/>
    </row>
    <row r="99" spans="1:16" x14ac:dyDescent="0.2">
      <c r="A99" s="160">
        <v>1999</v>
      </c>
      <c r="B99" s="161">
        <v>164.3</v>
      </c>
      <c r="C99" s="161">
        <v>164.5</v>
      </c>
      <c r="D99" s="161">
        <v>165</v>
      </c>
      <c r="E99" s="161">
        <v>166.2</v>
      </c>
      <c r="F99" s="161">
        <v>166.2</v>
      </c>
      <c r="G99" s="161">
        <v>166.2</v>
      </c>
      <c r="H99" s="161">
        <v>166.7</v>
      </c>
      <c r="I99" s="161">
        <v>167.1</v>
      </c>
      <c r="J99" s="161">
        <v>167.9</v>
      </c>
      <c r="K99" s="161">
        <v>168.2</v>
      </c>
      <c r="L99" s="161">
        <v>168.3</v>
      </c>
      <c r="M99" s="161">
        <v>168.3</v>
      </c>
      <c r="N99" s="161">
        <v>166.6</v>
      </c>
      <c r="O99" s="162"/>
      <c r="P99" s="162"/>
    </row>
    <row r="100" spans="1:16" x14ac:dyDescent="0.2">
      <c r="A100" s="160">
        <v>2000</v>
      </c>
      <c r="B100" s="161">
        <v>168.8</v>
      </c>
      <c r="C100" s="161">
        <v>169.8</v>
      </c>
      <c r="D100" s="161">
        <v>171.2</v>
      </c>
      <c r="E100" s="161">
        <v>171.3</v>
      </c>
      <c r="F100" s="161">
        <v>171.5</v>
      </c>
      <c r="G100" s="161">
        <v>172.4</v>
      </c>
      <c r="H100" s="161">
        <v>172.8</v>
      </c>
      <c r="I100" s="161">
        <v>172.8</v>
      </c>
      <c r="J100" s="161">
        <v>173.7</v>
      </c>
      <c r="K100" s="161">
        <v>174</v>
      </c>
      <c r="L100" s="161">
        <v>174.1</v>
      </c>
      <c r="M100" s="161">
        <v>174</v>
      </c>
      <c r="N100" s="161">
        <v>172.2</v>
      </c>
      <c r="O100" s="162"/>
      <c r="P100" s="162"/>
    </row>
    <row r="101" spans="1:16" x14ac:dyDescent="0.2">
      <c r="A101" s="160">
        <v>2001</v>
      </c>
      <c r="B101" s="161">
        <v>175.1</v>
      </c>
      <c r="C101" s="161">
        <v>175.8</v>
      </c>
      <c r="D101" s="161">
        <v>176.2</v>
      </c>
      <c r="E101" s="161">
        <v>176.9</v>
      </c>
      <c r="F101" s="161">
        <v>177.7</v>
      </c>
      <c r="G101" s="161">
        <v>178</v>
      </c>
      <c r="H101" s="161">
        <v>177.5</v>
      </c>
      <c r="I101" s="161">
        <v>177.5</v>
      </c>
      <c r="J101" s="161">
        <v>178.3</v>
      </c>
      <c r="K101" s="161">
        <v>177.7</v>
      </c>
      <c r="L101" s="161">
        <v>177.4</v>
      </c>
      <c r="M101" s="161">
        <v>176.7</v>
      </c>
      <c r="N101" s="161">
        <v>177.1</v>
      </c>
      <c r="O101" s="162"/>
      <c r="P101" s="162"/>
    </row>
    <row r="102" spans="1:16" x14ac:dyDescent="0.2">
      <c r="A102" s="160">
        <v>2002</v>
      </c>
      <c r="B102" s="161">
        <v>177.1</v>
      </c>
      <c r="C102" s="161">
        <v>177.8</v>
      </c>
      <c r="D102" s="161">
        <v>178.8</v>
      </c>
      <c r="E102" s="161">
        <v>179.8</v>
      </c>
      <c r="F102" s="161">
        <v>179.8</v>
      </c>
      <c r="G102" s="161">
        <v>179.9</v>
      </c>
      <c r="H102" s="161">
        <v>180.1</v>
      </c>
      <c r="I102" s="161">
        <v>180.7</v>
      </c>
      <c r="J102" s="161">
        <v>181</v>
      </c>
      <c r="K102" s="161">
        <v>181.3</v>
      </c>
      <c r="L102" s="161">
        <v>181.3</v>
      </c>
      <c r="M102" s="161">
        <v>180.9</v>
      </c>
      <c r="N102" s="161">
        <v>179.9</v>
      </c>
      <c r="O102" s="162"/>
      <c r="P102" s="162"/>
    </row>
    <row r="103" spans="1:16" x14ac:dyDescent="0.2">
      <c r="A103" s="160">
        <v>2003</v>
      </c>
      <c r="B103" s="161">
        <v>181.7</v>
      </c>
      <c r="C103" s="161">
        <v>183.1</v>
      </c>
      <c r="D103" s="161">
        <v>184.2</v>
      </c>
      <c r="E103" s="161">
        <v>183.8</v>
      </c>
      <c r="F103" s="161">
        <v>183.5</v>
      </c>
      <c r="G103" s="161">
        <v>183.7</v>
      </c>
      <c r="H103" s="161">
        <v>183.9</v>
      </c>
      <c r="I103" s="161">
        <v>184.6</v>
      </c>
      <c r="J103" s="161">
        <v>185.2</v>
      </c>
      <c r="K103" s="161">
        <v>185</v>
      </c>
      <c r="L103" s="161">
        <v>184.5</v>
      </c>
      <c r="M103" s="161">
        <v>184.3</v>
      </c>
      <c r="N103" s="161">
        <v>184</v>
      </c>
      <c r="O103" s="162"/>
      <c r="P103" s="162"/>
    </row>
    <row r="104" spans="1:16" x14ac:dyDescent="0.2">
      <c r="A104" s="160">
        <v>2004</v>
      </c>
      <c r="B104" s="161">
        <v>185.2</v>
      </c>
      <c r="C104" s="161">
        <v>186.2</v>
      </c>
      <c r="D104" s="161">
        <v>187.4</v>
      </c>
      <c r="E104" s="161">
        <v>188</v>
      </c>
      <c r="F104" s="161">
        <v>189.1</v>
      </c>
      <c r="G104" s="161">
        <v>189.7</v>
      </c>
      <c r="H104" s="161">
        <v>189.4</v>
      </c>
      <c r="I104" s="161">
        <v>189.5</v>
      </c>
      <c r="J104" s="161">
        <v>189.9</v>
      </c>
      <c r="K104" s="161">
        <v>190.9</v>
      </c>
      <c r="L104" s="161">
        <v>191</v>
      </c>
      <c r="M104" s="161">
        <v>190.3</v>
      </c>
      <c r="N104" s="161">
        <v>188.9</v>
      </c>
      <c r="O104" s="162"/>
      <c r="P104" s="162"/>
    </row>
    <row r="105" spans="1:16" x14ac:dyDescent="0.2">
      <c r="A105" s="160">
        <v>2005</v>
      </c>
      <c r="B105" s="161">
        <v>190.7</v>
      </c>
      <c r="C105" s="161">
        <v>191.8</v>
      </c>
      <c r="D105" s="161">
        <v>193.3</v>
      </c>
      <c r="E105" s="161">
        <v>194.6</v>
      </c>
      <c r="F105" s="161">
        <v>194.4</v>
      </c>
      <c r="G105" s="161">
        <v>194.5</v>
      </c>
      <c r="H105" s="161">
        <v>195.4</v>
      </c>
      <c r="I105" s="161">
        <v>196.4</v>
      </c>
      <c r="J105" s="161">
        <v>198.8</v>
      </c>
      <c r="K105" s="161">
        <v>199.2</v>
      </c>
      <c r="L105" s="161">
        <v>197.6</v>
      </c>
      <c r="M105" s="161">
        <v>196.8</v>
      </c>
      <c r="N105" s="161">
        <v>195.3</v>
      </c>
      <c r="O105" s="162"/>
      <c r="P105" s="162"/>
    </row>
    <row r="106" spans="1:16" x14ac:dyDescent="0.2">
      <c r="A106" s="160">
        <v>2006</v>
      </c>
      <c r="B106" s="161">
        <v>198.3</v>
      </c>
      <c r="C106" s="161">
        <v>198.7</v>
      </c>
      <c r="D106" s="161">
        <v>199.8</v>
      </c>
      <c r="E106" s="161">
        <v>201.5</v>
      </c>
      <c r="F106" s="161">
        <v>202.5</v>
      </c>
      <c r="G106" s="161">
        <v>202.9</v>
      </c>
      <c r="H106" s="161">
        <v>203.5</v>
      </c>
      <c r="I106" s="161">
        <v>203.9</v>
      </c>
      <c r="J106" s="161">
        <v>202.9</v>
      </c>
      <c r="K106" s="161">
        <v>201.8</v>
      </c>
      <c r="L106" s="161">
        <v>201.5</v>
      </c>
      <c r="M106" s="161">
        <v>201.8</v>
      </c>
      <c r="N106" s="161">
        <v>201.6</v>
      </c>
      <c r="O106" s="162"/>
      <c r="P106" s="162"/>
    </row>
    <row r="107" spans="1:16" x14ac:dyDescent="0.2">
      <c r="A107" s="160">
        <v>2007</v>
      </c>
      <c r="B107" s="161">
        <v>202.416</v>
      </c>
      <c r="C107" s="161">
        <v>203.499</v>
      </c>
      <c r="D107" s="161">
        <v>205.352</v>
      </c>
      <c r="E107" s="161">
        <v>206.68600000000001</v>
      </c>
      <c r="F107" s="161">
        <v>207.94900000000001</v>
      </c>
      <c r="G107" s="161">
        <v>208.352</v>
      </c>
      <c r="H107" s="161">
        <v>208.29900000000001</v>
      </c>
      <c r="I107" s="161">
        <v>207.917</v>
      </c>
      <c r="J107" s="161">
        <v>208.49</v>
      </c>
      <c r="K107" s="161">
        <v>208.93600000000001</v>
      </c>
      <c r="L107" s="161">
        <v>210.17699999999999</v>
      </c>
      <c r="M107" s="161">
        <v>210.036</v>
      </c>
      <c r="N107" s="161">
        <v>207.34200000000001</v>
      </c>
      <c r="O107" s="163"/>
      <c r="P107" s="163"/>
    </row>
    <row r="108" spans="1:16" x14ac:dyDescent="0.2">
      <c r="A108" s="160">
        <v>2008</v>
      </c>
      <c r="B108" s="161">
        <v>211.08</v>
      </c>
      <c r="C108" s="161">
        <v>211.69300000000001</v>
      </c>
      <c r="D108" s="161">
        <v>213.52799999999999</v>
      </c>
      <c r="E108" s="161">
        <v>214.82300000000001</v>
      </c>
      <c r="F108" s="161">
        <v>216.63200000000001</v>
      </c>
      <c r="G108" s="161">
        <v>218.815</v>
      </c>
      <c r="H108" s="161">
        <v>219.964</v>
      </c>
      <c r="I108" s="161">
        <v>219.08600000000001</v>
      </c>
      <c r="J108" s="161">
        <v>218.78299999999999</v>
      </c>
      <c r="K108" s="161">
        <v>216.57300000000001</v>
      </c>
      <c r="L108" s="161">
        <v>212.42500000000001</v>
      </c>
      <c r="M108" s="161">
        <v>210.22800000000001</v>
      </c>
      <c r="N108" s="161">
        <v>215.303</v>
      </c>
      <c r="O108" s="163"/>
      <c r="P108" s="163"/>
    </row>
    <row r="109" spans="1:16" x14ac:dyDescent="0.2">
      <c r="A109" s="160">
        <v>2009</v>
      </c>
      <c r="B109" s="161">
        <v>211.143</v>
      </c>
      <c r="C109" s="161">
        <v>212.19300000000001</v>
      </c>
      <c r="D109" s="161">
        <v>212.709</v>
      </c>
      <c r="E109" s="161">
        <v>213.24</v>
      </c>
      <c r="F109" s="161">
        <v>213.85599999999999</v>
      </c>
      <c r="G109" s="161">
        <v>215.69300000000001</v>
      </c>
      <c r="H109" s="161">
        <v>215.351</v>
      </c>
      <c r="I109" s="161">
        <v>215.834</v>
      </c>
      <c r="J109" s="161">
        <v>215.96899999999999</v>
      </c>
      <c r="K109" s="161">
        <v>216.17699999999999</v>
      </c>
      <c r="L109" s="161">
        <v>216.33</v>
      </c>
      <c r="M109" s="161">
        <v>215.94900000000001</v>
      </c>
      <c r="N109" s="161">
        <v>214.53700000000001</v>
      </c>
      <c r="O109" s="163"/>
      <c r="P109" s="163"/>
    </row>
    <row r="110" spans="1:16" x14ac:dyDescent="0.2">
      <c r="A110" s="160">
        <v>2010</v>
      </c>
      <c r="B110" s="161">
        <v>216.68700000000001</v>
      </c>
      <c r="C110" s="161">
        <v>216.74100000000001</v>
      </c>
      <c r="D110" s="161">
        <v>217.631</v>
      </c>
      <c r="E110" s="161">
        <v>218.00899999999999</v>
      </c>
      <c r="F110" s="161">
        <v>218.178</v>
      </c>
      <c r="G110" s="161">
        <v>217.965</v>
      </c>
      <c r="H110" s="161">
        <v>218.011</v>
      </c>
      <c r="I110" s="161">
        <v>218.31200000000001</v>
      </c>
      <c r="J110" s="161">
        <v>218.43899999999999</v>
      </c>
      <c r="K110" s="161">
        <v>218.71100000000001</v>
      </c>
      <c r="L110" s="161">
        <v>218.803</v>
      </c>
      <c r="M110" s="161">
        <v>219.179</v>
      </c>
      <c r="N110" s="161">
        <v>218.05600000000001</v>
      </c>
      <c r="O110" s="163"/>
      <c r="P110" s="163"/>
    </row>
    <row r="111" spans="1:16" x14ac:dyDescent="0.2">
      <c r="A111" s="160">
        <v>2011</v>
      </c>
      <c r="B111" s="161">
        <v>220.22300000000001</v>
      </c>
      <c r="C111" s="161">
        <v>221.309</v>
      </c>
      <c r="D111" s="161">
        <v>223.46700000000001</v>
      </c>
      <c r="E111" s="161">
        <v>224.90600000000001</v>
      </c>
      <c r="F111" s="161">
        <v>225.964</v>
      </c>
      <c r="G111" s="161">
        <v>225.72200000000001</v>
      </c>
      <c r="H111" s="161">
        <v>225.922</v>
      </c>
      <c r="I111" s="161">
        <v>226.54499999999999</v>
      </c>
      <c r="J111" s="161">
        <v>226.88900000000001</v>
      </c>
      <c r="K111" s="161">
        <v>226.42099999999999</v>
      </c>
      <c r="L111" s="161">
        <v>226.23</v>
      </c>
      <c r="M111" s="161">
        <v>225.672</v>
      </c>
      <c r="N111" s="161">
        <v>224.93899999999999</v>
      </c>
      <c r="O111" s="163"/>
      <c r="P111" s="163"/>
    </row>
    <row r="112" spans="1:16" x14ac:dyDescent="0.2">
      <c r="A112" s="160">
        <v>2012</v>
      </c>
      <c r="B112" s="161">
        <v>226.66499999999999</v>
      </c>
      <c r="C112" s="161">
        <v>227.66300000000001</v>
      </c>
      <c r="D112" s="161">
        <v>229.392</v>
      </c>
      <c r="E112" s="161">
        <v>230.08500000000001</v>
      </c>
      <c r="F112" s="161">
        <v>229.815</v>
      </c>
      <c r="G112" s="161">
        <v>229.47800000000001</v>
      </c>
      <c r="H112" s="161">
        <v>229.10400000000001</v>
      </c>
      <c r="I112" s="161">
        <v>230.37899999999999</v>
      </c>
      <c r="J112" s="161">
        <v>231.40700000000001</v>
      </c>
      <c r="K112" s="161">
        <v>231.31700000000001</v>
      </c>
      <c r="L112" s="161">
        <v>230.221</v>
      </c>
      <c r="M112" s="161">
        <v>229.601</v>
      </c>
      <c r="N112" s="161">
        <v>229.59399999999999</v>
      </c>
      <c r="O112" s="163"/>
      <c r="P112" s="163"/>
    </row>
    <row r="113" spans="1:16" x14ac:dyDescent="0.2">
      <c r="A113" s="160">
        <v>2013</v>
      </c>
      <c r="B113" s="161">
        <v>230.28</v>
      </c>
      <c r="C113" s="161">
        <v>232.166</v>
      </c>
      <c r="D113" s="161">
        <v>232.773</v>
      </c>
      <c r="E113" s="161">
        <v>232.53100000000001</v>
      </c>
      <c r="F113" s="161">
        <v>232.94499999999999</v>
      </c>
      <c r="G113" s="161">
        <v>233.50399999999999</v>
      </c>
      <c r="H113" s="161">
        <v>233.596</v>
      </c>
      <c r="I113" s="161">
        <v>233.87700000000001</v>
      </c>
      <c r="J113" s="161">
        <v>234.149</v>
      </c>
      <c r="K113" s="161">
        <v>233.54599999999999</v>
      </c>
      <c r="L113" s="161">
        <v>233.06899999999999</v>
      </c>
      <c r="M113" s="161">
        <v>233.04900000000001</v>
      </c>
      <c r="N113" s="161">
        <v>232.95699999999999</v>
      </c>
      <c r="O113" s="163"/>
      <c r="P113" s="163"/>
    </row>
    <row r="114" spans="1:16" x14ac:dyDescent="0.2">
      <c r="A114" s="160">
        <v>2014</v>
      </c>
      <c r="B114" s="161">
        <v>233.916</v>
      </c>
      <c r="C114" s="161">
        <v>234.78100000000001</v>
      </c>
      <c r="D114" s="161">
        <v>236.29300000000001</v>
      </c>
      <c r="E114" s="161">
        <v>237.072</v>
      </c>
      <c r="F114" s="161">
        <v>237.9</v>
      </c>
      <c r="G114" s="161">
        <v>238.34299999999999</v>
      </c>
      <c r="H114" s="161">
        <v>238.25</v>
      </c>
      <c r="I114" s="161">
        <v>237.852</v>
      </c>
      <c r="J114" s="161">
        <v>238.03100000000001</v>
      </c>
      <c r="K114" s="161">
        <v>237.43299999999999</v>
      </c>
      <c r="L114" s="161">
        <v>236.15100000000001</v>
      </c>
      <c r="M114" s="161">
        <v>234.81200000000001</v>
      </c>
      <c r="N114" s="161">
        <v>236.73599999999999</v>
      </c>
      <c r="O114" s="163"/>
      <c r="P114" s="163"/>
    </row>
    <row r="115" spans="1:16" x14ac:dyDescent="0.2">
      <c r="A115" s="160">
        <v>2015</v>
      </c>
      <c r="B115" s="161">
        <v>233.70699999999999</v>
      </c>
      <c r="C115" s="161">
        <v>234.72200000000001</v>
      </c>
      <c r="D115" s="161">
        <v>236.119</v>
      </c>
      <c r="E115" s="161">
        <v>236.59899999999999</v>
      </c>
      <c r="F115" s="161">
        <v>237.80500000000001</v>
      </c>
      <c r="G115" s="161">
        <v>238.63800000000001</v>
      </c>
      <c r="H115" s="161">
        <v>238.654</v>
      </c>
      <c r="I115" s="161">
        <v>238.316</v>
      </c>
      <c r="J115" s="161">
        <v>237.94499999999999</v>
      </c>
      <c r="K115" s="161">
        <v>237.83799999999999</v>
      </c>
      <c r="L115" s="161">
        <v>237.33600000000001</v>
      </c>
      <c r="M115" s="161">
        <v>236.52500000000001</v>
      </c>
      <c r="N115" s="161">
        <v>237.017</v>
      </c>
      <c r="O115" s="163"/>
      <c r="P115" s="163"/>
    </row>
    <row r="116" spans="1:16" x14ac:dyDescent="0.2">
      <c r="A116" s="160">
        <v>2016</v>
      </c>
      <c r="B116" s="161">
        <v>236.916</v>
      </c>
      <c r="C116" s="161">
        <v>237.11099999999999</v>
      </c>
      <c r="D116" s="161">
        <v>238.13200000000001</v>
      </c>
      <c r="E116" s="161">
        <v>239.261</v>
      </c>
      <c r="F116" s="161">
        <v>240.22900000000001</v>
      </c>
      <c r="G116" s="161">
        <v>241.018</v>
      </c>
      <c r="H116" s="161">
        <v>240.62799999999999</v>
      </c>
      <c r="I116" s="161">
        <v>240.84899999999999</v>
      </c>
      <c r="J116" s="161">
        <v>241.428</v>
      </c>
      <c r="K116" s="161">
        <v>241.72900000000001</v>
      </c>
      <c r="L116" s="161">
        <v>241.35300000000001</v>
      </c>
      <c r="M116" s="161">
        <v>241.43199999999999</v>
      </c>
      <c r="N116" s="161">
        <v>240.00700000000001</v>
      </c>
      <c r="O116" s="163"/>
      <c r="P116" s="163"/>
    </row>
    <row r="117" spans="1:16" x14ac:dyDescent="0.2">
      <c r="A117" s="160">
        <v>2017</v>
      </c>
      <c r="B117" s="161">
        <v>242.839</v>
      </c>
      <c r="C117" s="161">
        <v>243.60300000000001</v>
      </c>
      <c r="D117" s="161">
        <v>243.80099999999999</v>
      </c>
      <c r="E117" s="161">
        <v>244.524</v>
      </c>
      <c r="F117" s="161">
        <v>244.733</v>
      </c>
      <c r="G117" s="161">
        <v>244.95500000000001</v>
      </c>
      <c r="H117" s="161">
        <v>244.786</v>
      </c>
      <c r="I117" s="161">
        <v>245.51900000000001</v>
      </c>
      <c r="J117" s="161">
        <v>246.81899999999999</v>
      </c>
      <c r="K117" s="161">
        <v>246.66300000000001</v>
      </c>
      <c r="L117" s="161">
        <v>246.66900000000001</v>
      </c>
      <c r="M117" s="161">
        <v>246.524</v>
      </c>
      <c r="N117" s="161">
        <v>245.12</v>
      </c>
      <c r="O117" s="163"/>
      <c r="P117" s="163"/>
    </row>
    <row r="118" spans="1:16" x14ac:dyDescent="0.2">
      <c r="A118" s="160">
        <v>2018</v>
      </c>
      <c r="B118" s="161">
        <v>247.86699999999999</v>
      </c>
      <c r="C118" s="161">
        <v>248.99100000000001</v>
      </c>
      <c r="D118" s="161">
        <v>249.554</v>
      </c>
      <c r="E118" s="161">
        <v>250.54599999999999</v>
      </c>
      <c r="F118" s="161">
        <v>251.58799999999999</v>
      </c>
      <c r="G118" s="161">
        <v>251.989</v>
      </c>
      <c r="H118" s="161">
        <v>252.006</v>
      </c>
      <c r="I118" s="161">
        <v>252.14599999999999</v>
      </c>
      <c r="J118" s="161">
        <v>252.43899999999999</v>
      </c>
      <c r="K118" s="161">
        <v>252.88499999999999</v>
      </c>
      <c r="L118" s="161">
        <v>252.03800000000001</v>
      </c>
      <c r="M118" s="161">
        <v>251.233</v>
      </c>
      <c r="N118" s="161">
        <v>251.107</v>
      </c>
      <c r="O118" s="163"/>
      <c r="P118" s="163"/>
    </row>
    <row r="119" spans="1:16" x14ac:dyDescent="0.2">
      <c r="A119" s="160">
        <v>2019</v>
      </c>
      <c r="B119" s="161">
        <v>251.71199999999999</v>
      </c>
      <c r="C119" s="161">
        <v>252.77600000000001</v>
      </c>
      <c r="D119" s="161">
        <v>254.202</v>
      </c>
      <c r="E119" s="161">
        <v>255.548</v>
      </c>
      <c r="F119" s="161">
        <v>256.09199999999998</v>
      </c>
      <c r="G119" s="161">
        <v>256.14299999999997</v>
      </c>
      <c r="H119" s="161">
        <v>256.57100000000003</v>
      </c>
      <c r="I119" s="161">
        <v>256.55799999999999</v>
      </c>
      <c r="J119" s="161">
        <v>256.75900000000001</v>
      </c>
      <c r="K119" s="161">
        <v>257.346</v>
      </c>
      <c r="L119" s="161">
        <v>257.20800000000003</v>
      </c>
      <c r="M119" s="161">
        <v>256.97399999999999</v>
      </c>
      <c r="N119" s="161">
        <v>255.65700000000001</v>
      </c>
      <c r="O119" s="163"/>
      <c r="P119" s="163"/>
    </row>
    <row r="120" spans="1:16" x14ac:dyDescent="0.2">
      <c r="A120" s="160">
        <v>2020</v>
      </c>
      <c r="B120" s="161">
        <v>257.971</v>
      </c>
      <c r="C120" s="161">
        <v>258.678</v>
      </c>
      <c r="D120" s="161">
        <v>258.11500000000001</v>
      </c>
      <c r="E120" s="161">
        <v>256.38900000000001</v>
      </c>
      <c r="F120" s="161">
        <v>256.39400000000001</v>
      </c>
      <c r="G120" s="161">
        <v>257.79700000000003</v>
      </c>
      <c r="H120" s="161">
        <v>259.101</v>
      </c>
      <c r="I120" s="161">
        <v>259.91800000000001</v>
      </c>
      <c r="J120" s="161">
        <v>260.27999999999997</v>
      </c>
      <c r="K120" s="161">
        <v>260.38799999999998</v>
      </c>
      <c r="L120" s="161">
        <v>260.22899999999998</v>
      </c>
      <c r="M120" s="161">
        <v>260.47399999999999</v>
      </c>
      <c r="N120" s="161">
        <v>258.81099999999998</v>
      </c>
    </row>
    <row r="121" spans="1:16" x14ac:dyDescent="0.2">
      <c r="A121" s="160">
        <v>2021</v>
      </c>
      <c r="B121" s="161">
        <v>261.58199999999999</v>
      </c>
      <c r="C121" s="161">
        <v>263.01400000000001</v>
      </c>
      <c r="D121" s="161">
        <v>264.87700000000001</v>
      </c>
      <c r="E121" s="161">
        <v>267.05399999999997</v>
      </c>
      <c r="F121" s="161">
        <v>269.19499999999999</v>
      </c>
      <c r="G121" s="161">
        <v>271.69600000000003</v>
      </c>
      <c r="H121" s="161">
        <v>273.00299999999999</v>
      </c>
      <c r="I121" s="161">
        <v>273.56700000000001</v>
      </c>
      <c r="J121" s="161">
        <v>274.31</v>
      </c>
      <c r="K121" s="161">
        <v>276.589</v>
      </c>
      <c r="L121" s="161">
        <v>277.94799999999998</v>
      </c>
      <c r="M121" s="161">
        <v>278.80200000000002</v>
      </c>
      <c r="N121" s="161">
        <v>270.97000000000003</v>
      </c>
    </row>
    <row r="122" spans="1:16" x14ac:dyDescent="0.2">
      <c r="A122" s="160">
        <v>2022</v>
      </c>
      <c r="B122" s="161">
        <v>281.14800000000002</v>
      </c>
      <c r="C122" s="161">
        <v>283.71600000000001</v>
      </c>
      <c r="D122" s="161">
        <v>287.50400000000002</v>
      </c>
      <c r="E122" s="161">
        <v>289.10899999999998</v>
      </c>
      <c r="F122" s="161">
        <v>292.29599999999999</v>
      </c>
      <c r="G122" s="161">
        <v>296.31099999999998</v>
      </c>
      <c r="H122" s="161">
        <v>296.27600000000001</v>
      </c>
      <c r="I122" s="161">
        <v>296.17099999999999</v>
      </c>
      <c r="J122" s="161">
        <v>296.80799999999999</v>
      </c>
      <c r="K122" s="161">
        <v>298.012</v>
      </c>
      <c r="L122" s="161">
        <v>297.71100000000001</v>
      </c>
      <c r="M122" s="161">
        <v>296.79700000000003</v>
      </c>
      <c r="N122" s="161">
        <v>292.65499999999997</v>
      </c>
    </row>
    <row r="123" spans="1:16" x14ac:dyDescent="0.2">
      <c r="A123" s="160">
        <v>2023</v>
      </c>
      <c r="B123" s="161">
        <v>299.17</v>
      </c>
      <c r="C123" s="161">
        <v>300.83999999999997</v>
      </c>
      <c r="D123" s="161">
        <v>301.83600000000001</v>
      </c>
      <c r="E123" s="161">
        <v>303.363</v>
      </c>
      <c r="F123" s="161">
        <v>304.12700000000001</v>
      </c>
      <c r="G123" s="161">
        <v>305.10899999999998</v>
      </c>
      <c r="H123" s="161">
        <v>305.69099999999997</v>
      </c>
      <c r="I123" s="161">
        <v>307.02600000000001</v>
      </c>
      <c r="J123" s="161">
        <v>307.78899999999999</v>
      </c>
      <c r="K123" s="161">
        <v>307.67099999999999</v>
      </c>
      <c r="L123" s="161">
        <v>307.05099999999999</v>
      </c>
      <c r="M123" s="161">
        <v>306.74599999999998</v>
      </c>
      <c r="N123" s="161">
        <f>AVERAGE(B123:M123)</f>
        <v>304.7015833333333</v>
      </c>
    </row>
  </sheetData>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0F599-58ED-4586-8F84-A8CC80C381D7}">
  <dimension ref="B2:D20"/>
  <sheetViews>
    <sheetView workbookViewId="0"/>
  </sheetViews>
  <sheetFormatPr defaultRowHeight="11.4" x14ac:dyDescent="0.2"/>
  <cols>
    <col min="2" max="2" width="27.875" customWidth="1"/>
    <col min="3" max="3" width="23.875" customWidth="1"/>
    <col min="4" max="4" width="21.25" customWidth="1"/>
  </cols>
  <sheetData>
    <row r="2" spans="2:4" ht="12" x14ac:dyDescent="0.25">
      <c r="B2" s="1" t="s">
        <v>25</v>
      </c>
      <c r="C2" s="1" t="s">
        <v>503</v>
      </c>
      <c r="D2" s="1" t="s">
        <v>504</v>
      </c>
    </row>
    <row r="3" spans="2:4" ht="12" x14ac:dyDescent="0.2">
      <c r="B3" t="s">
        <v>50</v>
      </c>
      <c r="C3" t="s">
        <v>55</v>
      </c>
      <c r="D3" t="s">
        <v>84</v>
      </c>
    </row>
    <row r="4" spans="2:4" ht="12" x14ac:dyDescent="0.2">
      <c r="B4" t="s">
        <v>50</v>
      </c>
      <c r="C4" t="s">
        <v>55</v>
      </c>
      <c r="D4" t="s">
        <v>87</v>
      </c>
    </row>
    <row r="5" spans="2:4" ht="12" x14ac:dyDescent="0.2">
      <c r="B5" t="s">
        <v>50</v>
      </c>
      <c r="C5" t="s">
        <v>58</v>
      </c>
      <c r="D5" t="s">
        <v>89</v>
      </c>
    </row>
    <row r="6" spans="2:4" ht="12" x14ac:dyDescent="0.2">
      <c r="B6" t="s">
        <v>50</v>
      </c>
      <c r="C6" t="s">
        <v>48</v>
      </c>
      <c r="D6" t="s">
        <v>96</v>
      </c>
    </row>
    <row r="7" spans="2:4" ht="12" x14ac:dyDescent="0.2">
      <c r="B7" t="s">
        <v>50</v>
      </c>
      <c r="C7" t="s">
        <v>49</v>
      </c>
      <c r="D7" t="s">
        <v>94</v>
      </c>
    </row>
    <row r="8" spans="2:4" ht="12" x14ac:dyDescent="0.2">
      <c r="B8" t="s">
        <v>62</v>
      </c>
      <c r="C8" t="s">
        <v>9</v>
      </c>
      <c r="D8" t="s">
        <v>113</v>
      </c>
    </row>
    <row r="9" spans="2:4" ht="12" x14ac:dyDescent="0.2">
      <c r="B9" t="s">
        <v>62</v>
      </c>
      <c r="C9" t="s">
        <v>9</v>
      </c>
      <c r="D9" t="s">
        <v>115</v>
      </c>
    </row>
    <row r="10" spans="2:4" ht="12" x14ac:dyDescent="0.2">
      <c r="B10" t="s">
        <v>62</v>
      </c>
      <c r="C10" t="s">
        <v>66</v>
      </c>
      <c r="D10" t="s">
        <v>85</v>
      </c>
    </row>
    <row r="11" spans="2:4" ht="12" x14ac:dyDescent="0.2">
      <c r="B11" t="s">
        <v>62</v>
      </c>
      <c r="C11" t="s">
        <v>66</v>
      </c>
      <c r="D11" t="s">
        <v>99</v>
      </c>
    </row>
    <row r="12" spans="2:4" ht="12" x14ac:dyDescent="0.2">
      <c r="B12" t="s">
        <v>62</v>
      </c>
      <c r="C12" t="s">
        <v>66</v>
      </c>
      <c r="D12" t="s">
        <v>103</v>
      </c>
    </row>
    <row r="13" spans="2:4" ht="12" x14ac:dyDescent="0.2">
      <c r="B13" t="s">
        <v>62</v>
      </c>
      <c r="C13" t="s">
        <v>66</v>
      </c>
      <c r="D13" t="s">
        <v>105</v>
      </c>
    </row>
    <row r="14" spans="2:4" ht="12" x14ac:dyDescent="0.2">
      <c r="B14" t="s">
        <v>62</v>
      </c>
      <c r="C14" t="s">
        <v>68</v>
      </c>
      <c r="D14" t="s">
        <v>111</v>
      </c>
    </row>
    <row r="15" spans="2:4" ht="12" x14ac:dyDescent="0.2">
      <c r="B15" t="s">
        <v>62</v>
      </c>
      <c r="C15" t="s">
        <v>70</v>
      </c>
      <c r="D15" t="s">
        <v>107</v>
      </c>
    </row>
    <row r="16" spans="2:4" ht="12" x14ac:dyDescent="0.2">
      <c r="B16" t="s">
        <v>62</v>
      </c>
      <c r="C16" t="s">
        <v>70</v>
      </c>
      <c r="D16" t="s">
        <v>109</v>
      </c>
    </row>
    <row r="17" spans="2:4" ht="12" x14ac:dyDescent="0.2">
      <c r="B17" t="s">
        <v>62</v>
      </c>
      <c r="C17" t="s">
        <v>72</v>
      </c>
      <c r="D17" t="s">
        <v>116</v>
      </c>
    </row>
    <row r="18" spans="2:4" ht="12" x14ac:dyDescent="0.2">
      <c r="B18" t="s">
        <v>62</v>
      </c>
      <c r="C18" t="s">
        <v>74</v>
      </c>
      <c r="D18" t="s">
        <v>117</v>
      </c>
    </row>
    <row r="19" spans="2:4" ht="12" x14ac:dyDescent="0.2">
      <c r="B19" t="s">
        <v>119</v>
      </c>
      <c r="C19" t="s">
        <v>119</v>
      </c>
      <c r="D19" t="s">
        <v>119</v>
      </c>
    </row>
    <row r="20" spans="2:4" ht="12" x14ac:dyDescent="0.2">
      <c r="B20" t="s">
        <v>505</v>
      </c>
      <c r="C20" t="s">
        <v>505</v>
      </c>
      <c r="D20" t="s">
        <v>91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48969-2F9B-4018-A127-BE4A3540F5FA}">
  <sheetPr>
    <tabColor rgb="FFC00000"/>
  </sheetPr>
  <dimension ref="A1:G23"/>
  <sheetViews>
    <sheetView zoomScaleNormal="100" workbookViewId="0">
      <selection activeCell="E1" sqref="E1"/>
    </sheetView>
  </sheetViews>
  <sheetFormatPr defaultRowHeight="11.4" x14ac:dyDescent="0.2"/>
  <cols>
    <col min="1" max="1" width="60.875" customWidth="1"/>
    <col min="2" max="2" width="14.25" customWidth="1"/>
    <col min="3" max="6" width="13.25" customWidth="1"/>
  </cols>
  <sheetData>
    <row r="1" spans="1:7" ht="16.8" x14ac:dyDescent="0.3">
      <c r="A1" s="346" t="s">
        <v>0</v>
      </c>
      <c r="B1" t="s">
        <v>21</v>
      </c>
    </row>
    <row r="2" spans="1:7" x14ac:dyDescent="0.2">
      <c r="A2" t="s">
        <v>1</v>
      </c>
    </row>
    <row r="3" spans="1:7" x14ac:dyDescent="0.2">
      <c r="A3" t="s">
        <v>578</v>
      </c>
    </row>
    <row r="5" spans="1:7" ht="13.8" x14ac:dyDescent="0.25">
      <c r="A5" s="345" t="s">
        <v>556</v>
      </c>
    </row>
    <row r="6" spans="1:7" ht="12" x14ac:dyDescent="0.2">
      <c r="C6" s="306" t="s">
        <v>2</v>
      </c>
      <c r="D6" s="302"/>
      <c r="E6" s="306" t="s">
        <v>3</v>
      </c>
      <c r="F6" s="302"/>
    </row>
    <row r="7" spans="1:7" ht="60" x14ac:dyDescent="0.25">
      <c r="B7" s="305" t="s">
        <v>4</v>
      </c>
      <c r="C7" s="307" t="s">
        <v>5</v>
      </c>
      <c r="D7" s="304" t="s">
        <v>543</v>
      </c>
      <c r="E7" s="307" t="s">
        <v>5</v>
      </c>
      <c r="F7" s="303" t="s">
        <v>543</v>
      </c>
    </row>
    <row r="8" spans="1:7" ht="12" x14ac:dyDescent="0.25">
      <c r="A8" s="308" t="s">
        <v>6</v>
      </c>
      <c r="B8" s="310">
        <f>Programs!D29</f>
        <v>274986969.64200002</v>
      </c>
      <c r="C8" s="311">
        <f ca="1">Programs!T31</f>
        <v>360984.05392969842</v>
      </c>
      <c r="D8" s="310">
        <f ca="1">$B8/C8</f>
        <v>761.77040688770614</v>
      </c>
      <c r="E8" s="312">
        <f ca="1">Programs!U31</f>
        <v>2596635.5615126528</v>
      </c>
      <c r="F8" s="310">
        <f ca="1">$B8/E8</f>
        <v>105.90125688712673</v>
      </c>
      <c r="G8" s="1"/>
    </row>
    <row r="9" spans="1:7" x14ac:dyDescent="0.2">
      <c r="A9" s="309" t="s">
        <v>7</v>
      </c>
      <c r="B9" s="342">
        <f>INDEX(Projects!F:F,MATCH($A9,Projects!$A:$A,0))</f>
        <v>5382960</v>
      </c>
      <c r="C9" s="313">
        <f ca="1">INDEX(Projects!K:K,MATCH($A9,Projects!$A:$A,0))</f>
        <v>6185.361683482306</v>
      </c>
      <c r="D9" s="314">
        <f ca="1">$B9/C9</f>
        <v>870.27408831643925</v>
      </c>
      <c r="E9" s="313">
        <f ca="1">INDEX(Projects!L:L,MATCH($A9,Projects!$A:$A,0))</f>
        <v>21434.053477562837</v>
      </c>
      <c r="F9" s="314">
        <f ca="1">$B9/E9</f>
        <v>251.14055097580501</v>
      </c>
    </row>
    <row r="10" spans="1:7" x14ac:dyDescent="0.2">
      <c r="A10" s="309" t="s">
        <v>8</v>
      </c>
      <c r="B10" s="342">
        <f>INDEX(Projects!F:F,MATCH($A10,Projects!$A:$A,0))</f>
        <v>1041163.0873668086</v>
      </c>
      <c r="C10" s="313">
        <f ca="1">INDEX(Projects!K:K,MATCH($A10,Projects!$A:$A,0))</f>
        <v>48.290650244992399</v>
      </c>
      <c r="D10" s="314">
        <f t="shared" ref="D10:D15" ca="1" si="0">$B10/C10</f>
        <v>21560.345161738096</v>
      </c>
      <c r="E10" s="313">
        <f ca="1">INDEX(Projects!L:L,MATCH($A10,Projects!$A:$A,0))</f>
        <v>167.34096287069789</v>
      </c>
      <c r="F10" s="314">
        <f t="shared" ref="F10:F15" ca="1" si="1">$B10/E10</f>
        <v>6221.806481245726</v>
      </c>
    </row>
    <row r="11" spans="1:7" x14ac:dyDescent="0.2">
      <c r="A11" s="309" t="s">
        <v>9</v>
      </c>
      <c r="B11" s="342">
        <f>INDEX(Projects!F:F,MATCH($A11,Projects!$A:$A,0))</f>
        <v>6114000</v>
      </c>
      <c r="C11" s="313">
        <f ca="1">INDEX(Projects!K:K,MATCH($A11,Projects!$A:$A,0))</f>
        <v>71110.316473922576</v>
      </c>
      <c r="D11" s="314">
        <f t="shared" ca="1" si="0"/>
        <v>85.979085780642151</v>
      </c>
      <c r="E11" s="313">
        <f ca="1">INDEX(Projects!L:L,MATCH($A11,Projects!$A:$A,0))</f>
        <v>132598.10074250039</v>
      </c>
      <c r="F11" s="314">
        <f t="shared" ca="1" si="1"/>
        <v>46.109257717598204</v>
      </c>
    </row>
    <row r="12" spans="1:7" x14ac:dyDescent="0.2">
      <c r="A12" s="309" t="s">
        <v>10</v>
      </c>
      <c r="B12" s="342">
        <f>INDEX(Projects!F:F,MATCH($A12,Projects!$A:$A,0))</f>
        <v>486000</v>
      </c>
      <c r="C12" s="313">
        <f ca="1">INDEX(Projects!K:K,MATCH($A12,Projects!$A:$A,0))</f>
        <v>3805.7403178196164</v>
      </c>
      <c r="D12" s="314">
        <f t="shared" ca="1" si="0"/>
        <v>127.70182918797754</v>
      </c>
      <c r="E12" s="313">
        <f ca="1">INDEX(Projects!L:L,MATCH($A12,Projects!$A:$A,0))</f>
        <v>16026.591771628724</v>
      </c>
      <c r="F12" s="314">
        <f t="shared" ca="1" si="1"/>
        <v>30.32460094605689</v>
      </c>
    </row>
    <row r="13" spans="1:7" x14ac:dyDescent="0.2">
      <c r="A13" s="309" t="s">
        <v>11</v>
      </c>
      <c r="B13" s="342">
        <f>INDEX(Projects!F:F,MATCH($A13,Projects!$A:$A,0))</f>
        <v>13816695</v>
      </c>
      <c r="C13" s="313">
        <f ca="1">INDEX(Projects!K:K,MATCH($A13,Projects!$A:$A,0))</f>
        <v>9969.5643668074808</v>
      </c>
      <c r="D13" s="314">
        <f t="shared" ca="1" si="0"/>
        <v>1385.8875364706103</v>
      </c>
      <c r="E13" s="313">
        <f ca="1">INDEX(Projects!L:L,MATCH($A13,Projects!$A:$A,0))</f>
        <v>87608.160097840941</v>
      </c>
      <c r="F13" s="314">
        <f t="shared" ca="1" si="1"/>
        <v>157.71013778362075</v>
      </c>
    </row>
    <row r="14" spans="1:7" x14ac:dyDescent="0.2">
      <c r="A14" s="309" t="s">
        <v>12</v>
      </c>
      <c r="B14" s="342">
        <f>INDEX(Projects!F:F,MATCH($A14,Projects!$A:$A,0))</f>
        <v>15465971</v>
      </c>
      <c r="C14" s="313">
        <f ca="1">INDEX(Projects!K:K,MATCH($A14,Projects!$A:$A,0))</f>
        <v>180.3365066045601</v>
      </c>
      <c r="D14" s="314">
        <f t="shared" ca="1" si="0"/>
        <v>85761.731172455344</v>
      </c>
      <c r="E14" s="313">
        <f ca="1">INDEX(Projects!L:L,MATCH($A14,Projects!$A:$A,0))</f>
        <v>703.84357774385342</v>
      </c>
      <c r="F14" s="314">
        <f t="shared" ca="1" si="1"/>
        <v>21973.59113451833</v>
      </c>
    </row>
    <row r="15" spans="1:7" x14ac:dyDescent="0.2">
      <c r="A15" s="309" t="s">
        <v>13</v>
      </c>
      <c r="B15" s="342">
        <f>INDEX(Projects!F:F,MATCH($A15,Projects!$A:$A,0))</f>
        <v>2100000</v>
      </c>
      <c r="C15" s="313">
        <f ca="1">INDEX(Projects!K:K,MATCH($A15,Projects!$A:$A,0))</f>
        <v>513.19872333408716</v>
      </c>
      <c r="D15" s="314">
        <f t="shared" ca="1" si="0"/>
        <v>4091.9821202145145</v>
      </c>
      <c r="E15" s="313">
        <f ca="1">INDEX(Projects!L:L,MATCH($A15,Projects!$A:$A,0))</f>
        <v>1822.642193464475</v>
      </c>
      <c r="F15" s="314">
        <f t="shared" ca="1" si="1"/>
        <v>1152.1734806370985</v>
      </c>
    </row>
    <row r="16" spans="1:7" ht="24" x14ac:dyDescent="0.25">
      <c r="A16" s="308" t="s">
        <v>14</v>
      </c>
      <c r="B16" s="310">
        <f>Programs!D21</f>
        <v>198982718</v>
      </c>
      <c r="C16" s="311">
        <f ca="1">Programs!T23</f>
        <v>51676.390961302764</v>
      </c>
      <c r="D16" s="310">
        <f ca="1">$B16/C16</f>
        <v>3850.5536918978296</v>
      </c>
      <c r="E16" s="312">
        <f ca="1">Programs!U23</f>
        <v>287303.61709942215</v>
      </c>
      <c r="F16" s="310">
        <f ca="1">$B16/E16</f>
        <v>692.58688772839753</v>
      </c>
      <c r="G16" s="1"/>
    </row>
    <row r="17" spans="1:7" x14ac:dyDescent="0.2">
      <c r="A17" s="309" t="s">
        <v>15</v>
      </c>
      <c r="B17" s="342">
        <f>INDEX(Projects!F:F,MATCH($A17,Projects!$A:$A,0))</f>
        <v>24500000</v>
      </c>
      <c r="C17" s="313">
        <f ca="1">INDEX(Projects!K:K,MATCH($A17,Projects!$A:$A,0))</f>
        <v>36138.582696520956</v>
      </c>
      <c r="D17" s="314">
        <f ca="1">$B17/C17</f>
        <v>677.94579011972712</v>
      </c>
      <c r="E17" s="313">
        <f ca="1">INDEX(Projects!L:L,MATCH($A17,Projects!$A:$A,0))</f>
        <v>157809.44913154308</v>
      </c>
      <c r="F17" s="314">
        <f ca="1">$B17/E17</f>
        <v>155.25052609224855</v>
      </c>
    </row>
    <row r="18" spans="1:7" x14ac:dyDescent="0.2">
      <c r="A18" s="309" t="s">
        <v>16</v>
      </c>
      <c r="B18" s="342">
        <f>INDEX(Projects!F:F,MATCH($A18,Projects!$A:$A,0))</f>
        <v>6498740</v>
      </c>
      <c r="C18" s="313">
        <f ca="1">INDEX(Projects!K:K,MATCH($A18,Projects!$A:$A,0))</f>
        <v>67.889861495999995</v>
      </c>
      <c r="D18" s="314">
        <f t="shared" ref="D18:D21" ca="1" si="2">$B18/C18</f>
        <v>95724.749716611215</v>
      </c>
      <c r="E18" s="313">
        <f ca="1">INDEX(Projects!L:L,MATCH($A18,Projects!$A:$A,0))</f>
        <v>347.02037388000008</v>
      </c>
      <c r="F18" s="314">
        <f t="shared" ref="F18:F21" ca="1" si="3">$B18/E18</f>
        <v>18727.257789905067</v>
      </c>
    </row>
    <row r="19" spans="1:7" x14ac:dyDescent="0.2">
      <c r="A19" s="309" t="s">
        <v>17</v>
      </c>
      <c r="B19" s="342">
        <f>INDEX(Projects!F:F,MATCH($A19,Projects!$A:$A,0))</f>
        <v>11600000</v>
      </c>
      <c r="C19" s="313">
        <f ca="1">INDEX(Projects!K:K,MATCH($A19,Projects!$A:$A,0))</f>
        <v>417.10589512799999</v>
      </c>
      <c r="D19" s="314">
        <f t="shared" ca="1" si="2"/>
        <v>27810.68341515584</v>
      </c>
      <c r="E19" s="313">
        <f ca="1">INDEX(Projects!L:L,MATCH($A19,Projects!$A:$A,0))</f>
        <v>2802.323415767999</v>
      </c>
      <c r="F19" s="314">
        <f t="shared" ca="1" si="3"/>
        <v>4139.4222860679083</v>
      </c>
    </row>
    <row r="20" spans="1:7" x14ac:dyDescent="0.2">
      <c r="A20" s="309" t="s">
        <v>18</v>
      </c>
      <c r="B20" s="342">
        <f>INDEX(Projects!F:F,MATCH($A20,Projects!$A:$A,0))</f>
        <v>5362000</v>
      </c>
      <c r="C20" s="313">
        <f ca="1">INDEX(Projects!K:K,MATCH($A20,Projects!$A:$A,0))</f>
        <v>840</v>
      </c>
      <c r="D20" s="314">
        <f t="shared" ca="1" si="2"/>
        <v>6383.333333333333</v>
      </c>
      <c r="E20" s="313">
        <f ca="1">INDEX(Projects!L:L,MATCH($A20,Projects!$A:$A,0))</f>
        <v>4200</v>
      </c>
      <c r="F20" s="314">
        <f t="shared" ca="1" si="3"/>
        <v>1276.6666666666667</v>
      </c>
    </row>
    <row r="21" spans="1:7" x14ac:dyDescent="0.2">
      <c r="A21" s="309" t="s">
        <v>19</v>
      </c>
      <c r="B21" s="342">
        <f>INDEX(Projects!F:F,MATCH($A21,Projects!$A:$A,0))</f>
        <v>1845000</v>
      </c>
      <c r="C21" s="313">
        <f ca="1">INDEX(Projects!K:K,MATCH($A21,Projects!$A:$A,0))</f>
        <v>108.43956468391198</v>
      </c>
      <c r="D21" s="314">
        <f t="shared" ca="1" si="2"/>
        <v>17014.085268397641</v>
      </c>
      <c r="E21" s="313">
        <f ca="1">INDEX(Projects!L:L,MATCH($A21,Projects!$A:$A,0))</f>
        <v>542.19782341955954</v>
      </c>
      <c r="F21" s="314">
        <f t="shared" ca="1" si="3"/>
        <v>3402.8170536795305</v>
      </c>
    </row>
    <row r="22" spans="1:7" ht="24" x14ac:dyDescent="0.2">
      <c r="A22" s="308" t="s">
        <v>20</v>
      </c>
      <c r="B22" s="310">
        <f>INDEX(Projects!F:F,MATCH($A22,Projects!$A:$A,0))</f>
        <v>22124892</v>
      </c>
      <c r="C22" s="312">
        <f ca="1">INDEX(Projects!K:K,MATCH($A22,Projects!$A:$A,0))</f>
        <v>15263.835937152431</v>
      </c>
      <c r="D22" s="310">
        <f ca="1">$B22/C22</f>
        <v>1449.4974979485755</v>
      </c>
      <c r="E22" s="312">
        <f ca="1">INDEX(Projects!L:L,MATCH($A22,Projects!$A:$A,0))</f>
        <v>117022.74218483525</v>
      </c>
      <c r="F22" s="310">
        <f ca="1">$B22/E22</f>
        <v>189.0648910367708</v>
      </c>
      <c r="G22" s="45"/>
    </row>
    <row r="23" spans="1:7" x14ac:dyDescent="0.2">
      <c r="E23" s="339"/>
      <c r="F23" s="33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32FA2-B509-4D86-A04C-D3D4CEC842A4}">
  <sheetPr>
    <tabColor theme="9" tint="-0.499984740745262"/>
  </sheetPr>
  <dimension ref="A1:AW56"/>
  <sheetViews>
    <sheetView zoomScaleNormal="100" workbookViewId="0">
      <pane xSplit="3" topLeftCell="D1" activePane="topRight" state="frozen"/>
      <selection pane="topRight" activeCell="D55" sqref="D55"/>
    </sheetView>
  </sheetViews>
  <sheetFormatPr defaultRowHeight="11.4" x14ac:dyDescent="0.2"/>
  <cols>
    <col min="1" max="1" width="12.75" customWidth="1"/>
    <col min="2" max="2" width="21.625" customWidth="1"/>
    <col min="3" max="3" width="23" customWidth="1"/>
    <col min="4" max="4" width="12.875" customWidth="1"/>
    <col min="5" max="5" width="6.125" customWidth="1"/>
    <col min="6" max="6" width="6" customWidth="1"/>
    <col min="7" max="9" width="9.625" customWidth="1"/>
    <col min="10" max="10" width="9.875" customWidth="1"/>
    <col min="11" max="11" width="10.375" customWidth="1"/>
    <col min="12" max="12" width="10.75" bestFit="1" customWidth="1"/>
    <col min="13" max="14" width="10.125" customWidth="1"/>
    <col min="15" max="16" width="8.75" customWidth="1"/>
    <col min="17" max="17" width="10.75" customWidth="1"/>
    <col min="18" max="18" width="6" customWidth="1"/>
    <col min="19" max="19" width="9.875" customWidth="1"/>
    <col min="20" max="20" width="10.875" customWidth="1"/>
    <col min="21" max="23" width="9.75" customWidth="1"/>
    <col min="24" max="24" width="8.875" bestFit="1" customWidth="1"/>
  </cols>
  <sheetData>
    <row r="1" spans="1:49" ht="12" x14ac:dyDescent="0.25">
      <c r="A1" s="1" t="s">
        <v>22</v>
      </c>
      <c r="V1" s="174"/>
      <c r="W1" s="174"/>
      <c r="X1" s="1" t="s">
        <v>23</v>
      </c>
    </row>
    <row r="2" spans="1:49" ht="12" x14ac:dyDescent="0.25">
      <c r="A2" t="s">
        <v>24</v>
      </c>
      <c r="V2" s="328">
        <v>0.3</v>
      </c>
      <c r="W2" s="328">
        <v>1</v>
      </c>
    </row>
    <row r="3" spans="1:49" ht="48" x14ac:dyDescent="0.25">
      <c r="A3" s="165" t="s">
        <v>25</v>
      </c>
      <c r="B3" s="209" t="s">
        <v>26</v>
      </c>
      <c r="C3" s="209" t="s">
        <v>27</v>
      </c>
      <c r="D3" s="209" t="s">
        <v>28</v>
      </c>
      <c r="E3" s="209" t="s">
        <v>29</v>
      </c>
      <c r="F3" s="165" t="s">
        <v>30</v>
      </c>
      <c r="G3" s="178" t="s">
        <v>31</v>
      </c>
      <c r="H3" s="178" t="s">
        <v>32</v>
      </c>
      <c r="I3" s="178" t="s">
        <v>33</v>
      </c>
      <c r="J3" s="182" t="s">
        <v>34</v>
      </c>
      <c r="K3" s="182" t="s">
        <v>35</v>
      </c>
      <c r="L3" s="165" t="s">
        <v>36</v>
      </c>
      <c r="M3" s="181" t="s">
        <v>37</v>
      </c>
      <c r="N3" s="181" t="s">
        <v>38</v>
      </c>
      <c r="O3" s="179" t="s">
        <v>39</v>
      </c>
      <c r="P3" s="179" t="s">
        <v>40</v>
      </c>
      <c r="Q3" s="176" t="s">
        <v>41</v>
      </c>
      <c r="R3" s="176" t="s">
        <v>42</v>
      </c>
      <c r="S3" s="176" t="s">
        <v>43</v>
      </c>
      <c r="T3" s="184" t="s">
        <v>44</v>
      </c>
      <c r="U3" s="184" t="s">
        <v>45</v>
      </c>
      <c r="V3" s="256" t="s">
        <v>46</v>
      </c>
      <c r="W3" s="256" t="s">
        <v>47</v>
      </c>
      <c r="X3" s="1">
        <v>2025</v>
      </c>
      <c r="Y3" s="1">
        <f>X3+1</f>
        <v>2026</v>
      </c>
      <c r="Z3" s="1">
        <f t="shared" ref="Z3:AW3" si="0">Y3+1</f>
        <v>2027</v>
      </c>
      <c r="AA3" s="1">
        <f t="shared" si="0"/>
        <v>2028</v>
      </c>
      <c r="AB3" s="1">
        <f t="shared" si="0"/>
        <v>2029</v>
      </c>
      <c r="AC3" s="1">
        <f t="shared" si="0"/>
        <v>2030</v>
      </c>
      <c r="AD3" s="1">
        <f t="shared" si="0"/>
        <v>2031</v>
      </c>
      <c r="AE3" s="1">
        <f t="shared" si="0"/>
        <v>2032</v>
      </c>
      <c r="AF3" s="1">
        <f t="shared" si="0"/>
        <v>2033</v>
      </c>
      <c r="AG3" s="1">
        <f t="shared" si="0"/>
        <v>2034</v>
      </c>
      <c r="AH3" s="1">
        <f t="shared" si="0"/>
        <v>2035</v>
      </c>
      <c r="AI3" s="1">
        <f t="shared" si="0"/>
        <v>2036</v>
      </c>
      <c r="AJ3" s="1">
        <f t="shared" si="0"/>
        <v>2037</v>
      </c>
      <c r="AK3" s="1">
        <f t="shared" si="0"/>
        <v>2038</v>
      </c>
      <c r="AL3" s="1">
        <f t="shared" si="0"/>
        <v>2039</v>
      </c>
      <c r="AM3" s="1">
        <f t="shared" si="0"/>
        <v>2040</v>
      </c>
      <c r="AN3" s="1">
        <f t="shared" si="0"/>
        <v>2041</v>
      </c>
      <c r="AO3" s="1">
        <f t="shared" si="0"/>
        <v>2042</v>
      </c>
      <c r="AP3" s="1">
        <f t="shared" si="0"/>
        <v>2043</v>
      </c>
      <c r="AQ3" s="1">
        <f t="shared" si="0"/>
        <v>2044</v>
      </c>
      <c r="AR3" s="1">
        <f t="shared" si="0"/>
        <v>2045</v>
      </c>
      <c r="AS3" s="1">
        <f t="shared" si="0"/>
        <v>2046</v>
      </c>
      <c r="AT3" s="1">
        <f t="shared" si="0"/>
        <v>2047</v>
      </c>
      <c r="AU3" s="1">
        <f t="shared" si="0"/>
        <v>2048</v>
      </c>
      <c r="AV3" s="1">
        <f t="shared" si="0"/>
        <v>2049</v>
      </c>
      <c r="AW3" s="1">
        <f t="shared" si="0"/>
        <v>2050</v>
      </c>
    </row>
    <row r="4" spans="1:49" x14ac:dyDescent="0.2">
      <c r="A4" s="226" t="str">
        <f>INDEX(Lists!$B$3:$B$20,MATCH(C4,Lists!$D$3:$D$20,0))</f>
        <v>Open Space</v>
      </c>
      <c r="B4" s="220" t="str">
        <f>INDEX(Lists!$C$3:$C$20,MATCH(C4,Lists!$D$3:$D$20,0))</f>
        <v>Brownfield</v>
      </c>
      <c r="C4" s="221" t="str">
        <f>Lists!$D3</f>
        <v>Brownfield Solar</v>
      </c>
      <c r="D4" s="212">
        <f t="shared" ref="D4:D19" si="1">INDEX($D$21:$D$37,MATCH(B4,$B$21:$B$37,0))*E4</f>
        <v>34761148</v>
      </c>
      <c r="E4" s="213">
        <v>0.5</v>
      </c>
      <c r="F4" s="319">
        <f>D4/D$23</f>
        <v>0.2</v>
      </c>
      <c r="G4" s="251">
        <f ca="1">IFERROR(AVERAGEIFS(Projects!$J:$J,Projects!$I:$I,$C4),0)</f>
        <v>6575.3937138142946</v>
      </c>
      <c r="H4" s="185">
        <f ca="1">M4+T4</f>
        <v>43298.77979631145</v>
      </c>
      <c r="I4" s="185">
        <f t="shared" ref="I4:I7" ca="1" si="2">N4+U4</f>
        <v>220048.08546049125</v>
      </c>
      <c r="J4" s="187">
        <f ca="1">COUNTIFS(Projects!$J:$J,"&lt;&gt;""",Projects!$I:$I,$C4)</f>
        <v>1</v>
      </c>
      <c r="K4" s="175">
        <f>SUMIFS(Projects!$F:$F,Projects!$I:$I,$C4)</f>
        <v>24500000</v>
      </c>
      <c r="L4" s="175">
        <f>AVERAGEIFS(Projects!$F:$F,Projects!$I:$I,$C4)</f>
        <v>24500000</v>
      </c>
      <c r="M4" s="185">
        <f ca="1">IFERROR(SUMIFS(Projects!$K:$K,Projects!$I:$I,$C4),"")</f>
        <v>36138.582696520956</v>
      </c>
      <c r="N4" s="185">
        <f ca="1">SUMIFS(Projects!$L:$L,Projects!$I:$I,$C4)</f>
        <v>157809.44913154308</v>
      </c>
      <c r="O4" s="185">
        <f ca="1">IFERROR(AVERAGEIFS(Projects!$K:$K,Projects!$I:$I,$C4),0)</f>
        <v>36138.582696520956</v>
      </c>
      <c r="P4" s="185">
        <f ca="1">IFERROR(AVERAGEIFS(Projects!$L:$L,Projects!$I:$I,$C4),0)</f>
        <v>157809.44913154308</v>
      </c>
      <c r="Q4" s="175">
        <f t="shared" ref="Q4:Q19" si="3">IF(COUNTIF(C4,"*EXAMPLE*")&gt;0,D4,D4-K4)</f>
        <v>10261148</v>
      </c>
      <c r="R4" s="177">
        <f t="shared" ref="R4:R19" si="4">(D4-Q4)/D4</f>
        <v>0.70480986416213876</v>
      </c>
      <c r="S4" s="183">
        <f t="shared" ref="S4:S7" si="5">Q4/L4</f>
        <v>0.41882236734693878</v>
      </c>
      <c r="T4" s="185">
        <f ca="1">SUM(X4:AC4)</f>
        <v>7160.1970997904946</v>
      </c>
      <c r="U4" s="185">
        <f ca="1">SUM(X4:AW4)</f>
        <v>62238.63632894816</v>
      </c>
      <c r="V4" s="255">
        <v>2026</v>
      </c>
      <c r="W4" s="255">
        <v>2028</v>
      </c>
      <c r="X4" s="94">
        <f>IF(AND(X$3&lt;=$W4,X$3&gt;$V4),$S4*$G4*$V$2,IF(X$3&gt;$W4,$S4*$G4,0))</f>
        <v>0</v>
      </c>
      <c r="Y4" s="94">
        <f t="shared" ref="Y4:AW16" si="6">IF(AND(Y$3&lt;=$W4,Y$3&gt;$V4),$S4*$G4*$V$2,IF(Y$3&gt;$W4,$S4*$G4,0))</f>
        <v>0</v>
      </c>
      <c r="Z4" s="94">
        <f t="shared" ca="1" si="6"/>
        <v>826.17658843736467</v>
      </c>
      <c r="AA4" s="94">
        <f t="shared" ca="1" si="6"/>
        <v>826.17658843736467</v>
      </c>
      <c r="AB4" s="94">
        <f t="shared" ca="1" si="6"/>
        <v>2753.9219614578824</v>
      </c>
      <c r="AC4" s="94">
        <f t="shared" ca="1" si="6"/>
        <v>2753.9219614578824</v>
      </c>
      <c r="AD4" s="94">
        <f t="shared" ca="1" si="6"/>
        <v>2753.9219614578824</v>
      </c>
      <c r="AE4" s="94">
        <f t="shared" ca="1" si="6"/>
        <v>2753.9219614578824</v>
      </c>
      <c r="AF4" s="94">
        <f t="shared" ca="1" si="6"/>
        <v>2753.9219614578824</v>
      </c>
      <c r="AG4" s="94">
        <f t="shared" ca="1" si="6"/>
        <v>2753.9219614578824</v>
      </c>
      <c r="AH4" s="94">
        <f t="shared" ca="1" si="6"/>
        <v>2753.9219614578824</v>
      </c>
      <c r="AI4" s="94">
        <f t="shared" ca="1" si="6"/>
        <v>2753.9219614578824</v>
      </c>
      <c r="AJ4" s="94">
        <f t="shared" ca="1" si="6"/>
        <v>2753.9219614578824</v>
      </c>
      <c r="AK4" s="94">
        <f t="shared" ca="1" si="6"/>
        <v>2753.9219614578824</v>
      </c>
      <c r="AL4" s="94">
        <f t="shared" ca="1" si="6"/>
        <v>2753.9219614578824</v>
      </c>
      <c r="AM4" s="94">
        <f t="shared" ca="1" si="6"/>
        <v>2753.9219614578824</v>
      </c>
      <c r="AN4" s="94">
        <f t="shared" ca="1" si="6"/>
        <v>2753.9219614578824</v>
      </c>
      <c r="AO4" s="94">
        <f t="shared" ca="1" si="6"/>
        <v>2753.9219614578824</v>
      </c>
      <c r="AP4" s="94">
        <f t="shared" ca="1" si="6"/>
        <v>2753.9219614578824</v>
      </c>
      <c r="AQ4" s="94">
        <f t="shared" ca="1" si="6"/>
        <v>2753.9219614578824</v>
      </c>
      <c r="AR4" s="94">
        <f t="shared" ca="1" si="6"/>
        <v>2753.9219614578824</v>
      </c>
      <c r="AS4" s="94">
        <f t="shared" ca="1" si="6"/>
        <v>2753.9219614578824</v>
      </c>
      <c r="AT4" s="94">
        <f t="shared" ca="1" si="6"/>
        <v>2753.9219614578824</v>
      </c>
      <c r="AU4" s="94">
        <f t="shared" ca="1" si="6"/>
        <v>2753.9219614578824</v>
      </c>
      <c r="AV4" s="94">
        <f t="shared" ca="1" si="6"/>
        <v>2753.9219614578824</v>
      </c>
      <c r="AW4" s="94">
        <f t="shared" ca="1" si="6"/>
        <v>2753.9219614578824</v>
      </c>
    </row>
    <row r="5" spans="1:49" x14ac:dyDescent="0.2">
      <c r="A5" s="227" t="str">
        <f>INDEX(Lists!$B$3:$B$20,MATCH(C5,Lists!$D$3:$D$20,0))</f>
        <v>Open Space</v>
      </c>
      <c r="B5" s="222" t="str">
        <f>INDEX(Lists!$C$3:$C$20,MATCH(C5,Lists!$D$3:$D$20,0))</f>
        <v>Brownfield</v>
      </c>
      <c r="C5" s="223" t="str">
        <f>Lists!$D4</f>
        <v>Brownfield Trees-EXAMPLE</v>
      </c>
      <c r="D5" s="214">
        <f t="shared" si="1"/>
        <v>34761148</v>
      </c>
      <c r="E5" s="215">
        <f>100%-E4</f>
        <v>0.5</v>
      </c>
      <c r="F5" s="319">
        <f>D5/D$23</f>
        <v>0.2</v>
      </c>
      <c r="G5" s="251">
        <f ca="1">IFERROR(AVERAGEIFS(Projects!$J:$J,Projects!$I:$I,$C5),0)</f>
        <v>54</v>
      </c>
      <c r="H5" s="185">
        <f ca="1">M5+T5</f>
        <v>5014.8967019999991</v>
      </c>
      <c r="I5" s="185">
        <f t="shared" ref="I5" ca="1" si="7">N5+U5</f>
        <v>42594.102102000012</v>
      </c>
      <c r="J5" s="187">
        <f ca="1">COUNTIFS(Projects!$J:$J,"&lt;&gt;""",Projects!$I:$I,$C5)</f>
        <v>1</v>
      </c>
      <c r="K5" s="175">
        <f>SUMIFS(Projects!$F:$F,Projects!$I:$I,$C5)</f>
        <v>1028571.4285714286</v>
      </c>
      <c r="L5" s="175">
        <f>AVERAGEIFS(Projects!$F:$F,Projects!$I:$I,$C5)</f>
        <v>1028571.4285714286</v>
      </c>
      <c r="M5" s="185">
        <f ca="1">IFERROR(SUMIFS(Projects!$K:$K,Projects!$I:$I,$C5),"")</f>
        <v>270</v>
      </c>
      <c r="N5" s="185">
        <f ca="1">SUMIFS(Projects!$L:$L,Projects!$I:$I,$C5)</f>
        <v>1350</v>
      </c>
      <c r="O5" s="185">
        <f ca="1">IFERROR(AVERAGEIFS(Projects!$K:$K,Projects!$I:$I,$C5),0)</f>
        <v>270</v>
      </c>
      <c r="P5" s="185">
        <f ca="1">IFERROR(AVERAGEIFS(Projects!$L:$L,Projects!$I:$I,$C5),0)</f>
        <v>1350</v>
      </c>
      <c r="Q5" s="175">
        <f t="shared" si="3"/>
        <v>34761148</v>
      </c>
      <c r="R5" s="177">
        <f t="shared" si="4"/>
        <v>0</v>
      </c>
      <c r="S5" s="183">
        <f t="shared" ref="S5" si="8">Q5/L5</f>
        <v>33.795560555555554</v>
      </c>
      <c r="T5" s="185">
        <f t="shared" ref="T5:T19" ca="1" si="9">SUM(X5:AC5)</f>
        <v>4744.8967019999991</v>
      </c>
      <c r="U5" s="185">
        <f t="shared" ref="U5:U19" ca="1" si="10">SUM(X5:AW5)</f>
        <v>41244.102102000012</v>
      </c>
      <c r="V5" s="255">
        <v>2026</v>
      </c>
      <c r="W5" s="255">
        <v>2028</v>
      </c>
      <c r="X5" s="94">
        <f t="shared" ref="X5:AM19" si="11">IF(AND(X$3&lt;=$W5,X$3&gt;$V5),$S5*$G5*$V$2,IF(X$3&gt;$W5,$S5*$G5,0))</f>
        <v>0</v>
      </c>
      <c r="Y5" s="94">
        <f t="shared" si="11"/>
        <v>0</v>
      </c>
      <c r="Z5" s="94">
        <f t="shared" ca="1" si="11"/>
        <v>547.48808099999997</v>
      </c>
      <c r="AA5" s="94">
        <f t="shared" ca="1" si="11"/>
        <v>547.48808099999997</v>
      </c>
      <c r="AB5" s="94">
        <f t="shared" ca="1" si="11"/>
        <v>1824.9602699999998</v>
      </c>
      <c r="AC5" s="94">
        <f t="shared" ca="1" si="11"/>
        <v>1824.9602699999998</v>
      </c>
      <c r="AD5" s="94">
        <f t="shared" ca="1" si="11"/>
        <v>1824.9602699999998</v>
      </c>
      <c r="AE5" s="94">
        <f t="shared" ca="1" si="11"/>
        <v>1824.9602699999998</v>
      </c>
      <c r="AF5" s="94">
        <f t="shared" ca="1" si="11"/>
        <v>1824.9602699999998</v>
      </c>
      <c r="AG5" s="94">
        <f t="shared" ca="1" si="11"/>
        <v>1824.9602699999998</v>
      </c>
      <c r="AH5" s="94">
        <f t="shared" ca="1" si="11"/>
        <v>1824.9602699999998</v>
      </c>
      <c r="AI5" s="94">
        <f t="shared" ca="1" si="11"/>
        <v>1824.9602699999998</v>
      </c>
      <c r="AJ5" s="94">
        <f t="shared" ca="1" si="11"/>
        <v>1824.9602699999998</v>
      </c>
      <c r="AK5" s="94">
        <f t="shared" ca="1" si="11"/>
        <v>1824.9602699999998</v>
      </c>
      <c r="AL5" s="94">
        <f t="shared" ca="1" si="11"/>
        <v>1824.9602699999998</v>
      </c>
      <c r="AM5" s="94">
        <f t="shared" ca="1" si="11"/>
        <v>1824.9602699999998</v>
      </c>
      <c r="AN5" s="94">
        <f t="shared" ca="1" si="6"/>
        <v>1824.9602699999998</v>
      </c>
      <c r="AO5" s="94">
        <f t="shared" ca="1" si="6"/>
        <v>1824.9602699999998</v>
      </c>
      <c r="AP5" s="94">
        <f t="shared" ca="1" si="6"/>
        <v>1824.9602699999998</v>
      </c>
      <c r="AQ5" s="94">
        <f t="shared" ca="1" si="6"/>
        <v>1824.9602699999998</v>
      </c>
      <c r="AR5" s="94">
        <f t="shared" ca="1" si="6"/>
        <v>1824.9602699999998</v>
      </c>
      <c r="AS5" s="94">
        <f t="shared" ca="1" si="6"/>
        <v>1824.9602699999998</v>
      </c>
      <c r="AT5" s="94">
        <f t="shared" ca="1" si="6"/>
        <v>1824.9602699999998</v>
      </c>
      <c r="AU5" s="94">
        <f t="shared" ca="1" si="6"/>
        <v>1824.9602699999998</v>
      </c>
      <c r="AV5" s="94">
        <f t="shared" ca="1" si="6"/>
        <v>1824.9602699999998</v>
      </c>
      <c r="AW5" s="94">
        <f t="shared" ca="1" si="6"/>
        <v>1824.9602699999998</v>
      </c>
    </row>
    <row r="6" spans="1:49" x14ac:dyDescent="0.2">
      <c r="A6" s="227" t="str">
        <f>INDEX(Lists!$B$3:$B$20,MATCH(C6,Lists!$D$3:$D$20,0))</f>
        <v>Open Space</v>
      </c>
      <c r="B6" s="218" t="str">
        <f>INDEX(Lists!$C$3:$C$20,MATCH(C6,Lists!$D$3:$D$20,0))</f>
        <v>Trail</v>
      </c>
      <c r="C6" s="219" t="str">
        <f>Lists!$D5</f>
        <v>WalkBike</v>
      </c>
      <c r="D6" s="210">
        <f t="shared" si="1"/>
        <v>52141722</v>
      </c>
      <c r="E6" s="211">
        <v>1</v>
      </c>
      <c r="F6" s="319">
        <f>D6/D$23</f>
        <v>0.3</v>
      </c>
      <c r="G6" s="251">
        <f ca="1">IFERROR(AVERAGEIFS(Projects!$J:$J,Projects!$I:$I,$C6),0)</f>
        <v>16.63993704382154</v>
      </c>
      <c r="H6" s="185">
        <f t="shared" ref="H6:H7" ca="1" si="12">M6+T6</f>
        <v>317.29247394249342</v>
      </c>
      <c r="I6" s="185">
        <f t="shared" ca="1" si="2"/>
        <v>2725.4614094164422</v>
      </c>
      <c r="J6" s="187">
        <f ca="1">COUNTIFS(Projects!$J:$J,"&lt;&gt;""",Projects!$I:$I,$C6)</f>
        <v>2</v>
      </c>
      <c r="K6" s="175">
        <f>SUMIFS(Projects!$F:$F,Projects!$I:$I,$C6)</f>
        <v>14898740</v>
      </c>
      <c r="L6" s="175">
        <f>AVERAGEIFS(Projects!$F:$F,Projects!$I:$I,$C6)</f>
        <v>7449370</v>
      </c>
      <c r="M6" s="185">
        <f ca="1">IFERROR(SUMIFS(Projects!$K:$K,Projects!$I:$I,$C6),"")</f>
        <v>100.99575662400001</v>
      </c>
      <c r="N6" s="185">
        <f ca="1">SUMIFS(Projects!$L:$L,Projects!$I:$I,$C6)</f>
        <v>845.3437896480001</v>
      </c>
      <c r="O6" s="185">
        <f ca="1">IFERROR(AVERAGEIFS(Projects!$K:$K,Projects!$I:$I,$C6),0)</f>
        <v>50.497878312000005</v>
      </c>
      <c r="P6" s="185">
        <f ca="1">IFERROR(AVERAGEIFS(Projects!$L:$L,Projects!$I:$I,$C6),0)</f>
        <v>422.67189482400005</v>
      </c>
      <c r="Q6" s="175">
        <f t="shared" si="3"/>
        <v>37242982</v>
      </c>
      <c r="R6" s="177">
        <f t="shared" si="4"/>
        <v>0.28573548069624549</v>
      </c>
      <c r="S6" s="183">
        <f t="shared" si="5"/>
        <v>4.9994807614603651</v>
      </c>
      <c r="T6" s="185">
        <f t="shared" ca="1" si="9"/>
        <v>216.29671731849339</v>
      </c>
      <c r="U6" s="185">
        <f t="shared" ca="1" si="10"/>
        <v>1880.117619768442</v>
      </c>
      <c r="V6" s="255">
        <v>2026</v>
      </c>
      <c r="W6" s="255">
        <v>2028</v>
      </c>
      <c r="X6" s="94">
        <f t="shared" si="11"/>
        <v>0</v>
      </c>
      <c r="Y6" s="94">
        <f t="shared" si="11"/>
        <v>0</v>
      </c>
      <c r="Z6" s="94">
        <f t="shared" ca="1" si="11"/>
        <v>24.957313536749236</v>
      </c>
      <c r="AA6" s="94">
        <f t="shared" ca="1" si="11"/>
        <v>24.957313536749236</v>
      </c>
      <c r="AB6" s="94">
        <f t="shared" ca="1" si="11"/>
        <v>83.191045122497457</v>
      </c>
      <c r="AC6" s="94">
        <f t="shared" ca="1" si="11"/>
        <v>83.191045122497457</v>
      </c>
      <c r="AD6" s="94">
        <f t="shared" ca="1" si="6"/>
        <v>83.191045122497457</v>
      </c>
      <c r="AE6" s="94">
        <f t="shared" ca="1" si="6"/>
        <v>83.191045122497457</v>
      </c>
      <c r="AF6" s="94">
        <f t="shared" ca="1" si="6"/>
        <v>83.191045122497457</v>
      </c>
      <c r="AG6" s="94">
        <f t="shared" ca="1" si="6"/>
        <v>83.191045122497457</v>
      </c>
      <c r="AH6" s="94">
        <f t="shared" ca="1" si="6"/>
        <v>83.191045122497457</v>
      </c>
      <c r="AI6" s="94">
        <f t="shared" ca="1" si="6"/>
        <v>83.191045122497457</v>
      </c>
      <c r="AJ6" s="94">
        <f t="shared" ca="1" si="6"/>
        <v>83.191045122497457</v>
      </c>
      <c r="AK6" s="94">
        <f t="shared" ca="1" si="6"/>
        <v>83.191045122497457</v>
      </c>
      <c r="AL6" s="94">
        <f t="shared" ca="1" si="6"/>
        <v>83.191045122497457</v>
      </c>
      <c r="AM6" s="94">
        <f t="shared" ca="1" si="6"/>
        <v>83.191045122497457</v>
      </c>
      <c r="AN6" s="94">
        <f t="shared" ca="1" si="6"/>
        <v>83.191045122497457</v>
      </c>
      <c r="AO6" s="94">
        <f t="shared" ca="1" si="6"/>
        <v>83.191045122497457</v>
      </c>
      <c r="AP6" s="94">
        <f t="shared" ca="1" si="6"/>
        <v>83.191045122497457</v>
      </c>
      <c r="AQ6" s="94">
        <f t="shared" ca="1" si="6"/>
        <v>83.191045122497457</v>
      </c>
      <c r="AR6" s="94">
        <f t="shared" ca="1" si="6"/>
        <v>83.191045122497457</v>
      </c>
      <c r="AS6" s="94">
        <f t="shared" ca="1" si="6"/>
        <v>83.191045122497457</v>
      </c>
      <c r="AT6" s="94">
        <f t="shared" ca="1" si="6"/>
        <v>83.191045122497457</v>
      </c>
      <c r="AU6" s="94">
        <f t="shared" ca="1" si="6"/>
        <v>83.191045122497457</v>
      </c>
      <c r="AV6" s="94">
        <f t="shared" ca="1" si="6"/>
        <v>83.191045122497457</v>
      </c>
      <c r="AW6" s="94">
        <f t="shared" ca="1" si="6"/>
        <v>83.191045122497457</v>
      </c>
    </row>
    <row r="7" spans="1:49" x14ac:dyDescent="0.2">
      <c r="A7" s="227" t="str">
        <f>INDEX(Lists!$B$3:$B$20,MATCH(C7,Lists!$D$3:$D$20,0))</f>
        <v>Open Space</v>
      </c>
      <c r="B7" s="218" t="s">
        <v>48</v>
      </c>
      <c r="C7" s="219" t="str">
        <f>Lists!$D6</f>
        <v>Carbon Storage</v>
      </c>
      <c r="D7" s="210">
        <f t="shared" si="1"/>
        <v>34761148</v>
      </c>
      <c r="E7" s="211">
        <v>1</v>
      </c>
      <c r="F7" s="319">
        <f>D7/D$23</f>
        <v>0.2</v>
      </c>
      <c r="G7" s="251">
        <f ca="1">IFERROR(AVERAGEIFS(Projects!$J:$J,Projects!$I:$I,$C7),0)</f>
        <v>21.687912936782382</v>
      </c>
      <c r="H7" s="185">
        <f t="shared" ca="1" si="12"/>
        <v>1114.4529171497295</v>
      </c>
      <c r="I7" s="185">
        <f t="shared" ca="1" si="2"/>
        <v>9286.775425622438</v>
      </c>
      <c r="J7" s="187">
        <f ca="1">COUNTIFS(Projects!$J:$J,"&lt;&gt;""",Projects!$I:$I,$C7)</f>
        <v>1</v>
      </c>
      <c r="K7" s="175">
        <f>SUMIFS(Projects!$F:$F,Projects!$I:$I,$C7)</f>
        <v>1845000</v>
      </c>
      <c r="L7" s="175">
        <f>AVERAGEIFS(Projects!$F:$F,Projects!$I:$I,$C7)</f>
        <v>1845000</v>
      </c>
      <c r="M7" s="185">
        <f ca="1">IFERROR(SUMIFS(Projects!$K:$K,Projects!$I:$I,$C7),"")</f>
        <v>108.43956468391198</v>
      </c>
      <c r="N7" s="185">
        <f ca="1">SUMIFS(Projects!$L:$L,Projects!$I:$I,$C7)</f>
        <v>542.19782341955954</v>
      </c>
      <c r="O7" s="185">
        <f ca="1">IFERROR(AVERAGEIFS(Projects!$K:$K,Projects!$I:$I,$C7),0)</f>
        <v>108.43956468391198</v>
      </c>
      <c r="P7" s="185">
        <f ca="1">IFERROR(AVERAGEIFS(Projects!$L:$L,Projects!$I:$I,$C7),0)</f>
        <v>542.19782341955954</v>
      </c>
      <c r="Q7" s="175">
        <f t="shared" si="3"/>
        <v>32916148</v>
      </c>
      <c r="R7" s="177">
        <f t="shared" si="4"/>
        <v>5.3076497933842691E-2</v>
      </c>
      <c r="S7" s="183">
        <f t="shared" si="5"/>
        <v>17.840730623306232</v>
      </c>
      <c r="T7" s="185">
        <f t="shared" ca="1" si="9"/>
        <v>1006.0133524658174</v>
      </c>
      <c r="U7" s="185">
        <f t="shared" ca="1" si="10"/>
        <v>8744.5776022028786</v>
      </c>
      <c r="V7" s="255">
        <v>2026</v>
      </c>
      <c r="W7" s="255">
        <v>2028</v>
      </c>
      <c r="X7" s="94">
        <f t="shared" si="11"/>
        <v>0</v>
      </c>
      <c r="Y7" s="94">
        <f t="shared" si="11"/>
        <v>0</v>
      </c>
      <c r="Z7" s="94">
        <f t="shared" ca="1" si="11"/>
        <v>116.07846374605585</v>
      </c>
      <c r="AA7" s="94">
        <f t="shared" ca="1" si="11"/>
        <v>116.07846374605585</v>
      </c>
      <c r="AB7" s="94">
        <f t="shared" ca="1" si="11"/>
        <v>386.92821248685283</v>
      </c>
      <c r="AC7" s="94">
        <f t="shared" ca="1" si="11"/>
        <v>386.92821248685283</v>
      </c>
      <c r="AD7" s="94">
        <f t="shared" ca="1" si="6"/>
        <v>386.92821248685283</v>
      </c>
      <c r="AE7" s="94">
        <f t="shared" ca="1" si="6"/>
        <v>386.92821248685283</v>
      </c>
      <c r="AF7" s="94">
        <f t="shared" ca="1" si="6"/>
        <v>386.92821248685283</v>
      </c>
      <c r="AG7" s="94">
        <f t="shared" ca="1" si="6"/>
        <v>386.92821248685283</v>
      </c>
      <c r="AH7" s="94">
        <f t="shared" ca="1" si="6"/>
        <v>386.92821248685283</v>
      </c>
      <c r="AI7" s="94">
        <f t="shared" ca="1" si="6"/>
        <v>386.92821248685283</v>
      </c>
      <c r="AJ7" s="94">
        <f t="shared" ca="1" si="6"/>
        <v>386.92821248685283</v>
      </c>
      <c r="AK7" s="94">
        <f t="shared" ca="1" si="6"/>
        <v>386.92821248685283</v>
      </c>
      <c r="AL7" s="94">
        <f t="shared" ca="1" si="6"/>
        <v>386.92821248685283</v>
      </c>
      <c r="AM7" s="94">
        <f t="shared" ca="1" si="6"/>
        <v>386.92821248685283</v>
      </c>
      <c r="AN7" s="94">
        <f t="shared" ca="1" si="6"/>
        <v>386.92821248685283</v>
      </c>
      <c r="AO7" s="94">
        <f t="shared" ca="1" si="6"/>
        <v>386.92821248685283</v>
      </c>
      <c r="AP7" s="94">
        <f t="shared" ca="1" si="6"/>
        <v>386.92821248685283</v>
      </c>
      <c r="AQ7" s="94">
        <f t="shared" ca="1" si="6"/>
        <v>386.92821248685283</v>
      </c>
      <c r="AR7" s="94">
        <f t="shared" ca="1" si="6"/>
        <v>386.92821248685283</v>
      </c>
      <c r="AS7" s="94">
        <f t="shared" ca="1" si="6"/>
        <v>386.92821248685283</v>
      </c>
      <c r="AT7" s="94">
        <f t="shared" ca="1" si="6"/>
        <v>386.92821248685283</v>
      </c>
      <c r="AU7" s="94">
        <f t="shared" ca="1" si="6"/>
        <v>386.92821248685283</v>
      </c>
      <c r="AV7" s="94">
        <f t="shared" ca="1" si="6"/>
        <v>386.92821248685283</v>
      </c>
      <c r="AW7" s="94">
        <f t="shared" ca="1" si="6"/>
        <v>386.92821248685283</v>
      </c>
    </row>
    <row r="8" spans="1:49" x14ac:dyDescent="0.2">
      <c r="A8" s="228" t="str">
        <f>INDEX(Lists!$B$3:$B$20,MATCH(C8,Lists!$D$3:$D$20,0))</f>
        <v>Open Space</v>
      </c>
      <c r="B8" s="218" t="s">
        <v>49</v>
      </c>
      <c r="C8" s="219" t="str">
        <f>Lists!$D7</f>
        <v>Tree Planting</v>
      </c>
      <c r="D8" s="210">
        <f t="shared" si="1"/>
        <v>17380574</v>
      </c>
      <c r="E8" s="211">
        <v>1</v>
      </c>
      <c r="F8" s="319">
        <f>D8/D$23</f>
        <v>0.1</v>
      </c>
      <c r="G8" s="251">
        <f ca="1">IFERROR(AVERAGEIFS(Projects!$J:$J,Projects!$I:$I,$C8),0)</f>
        <v>132</v>
      </c>
      <c r="H8" s="185">
        <f t="shared" ref="H8" ca="1" si="13">M8+T8</f>
        <v>1930.9690718990889</v>
      </c>
      <c r="I8" s="185">
        <f t="shared" ref="I8" ca="1" si="14">N8+U8</f>
        <v>12649.19270189208</v>
      </c>
      <c r="J8" s="187">
        <f ca="1">COUNTIFS(Projects!$J:$J,"&lt;&gt;""",Projects!$I:$I,$C8)</f>
        <v>2</v>
      </c>
      <c r="K8" s="175">
        <f>SUMIFS(Projects!$F:$F,Projects!$I:$I,$C8)</f>
        <v>8562000</v>
      </c>
      <c r="L8" s="175">
        <f>AVERAGEIFS(Projects!$F:$F,Projects!$I:$I,$C8)</f>
        <v>4281000</v>
      </c>
      <c r="M8" s="185">
        <f ca="1">IFERROR(SUMIFS(Projects!$K:$K,Projects!$I:$I,$C8),"")</f>
        <v>1224</v>
      </c>
      <c r="N8" s="185">
        <f ca="1">SUMIFS(Projects!$L:$L,Projects!$I:$I,$C8)</f>
        <v>6504</v>
      </c>
      <c r="O8" s="185">
        <f ca="1">IFERROR(AVERAGEIFS(Projects!$K:$K,Projects!$I:$I,$C8),0)</f>
        <v>612</v>
      </c>
      <c r="P8" s="185">
        <f ca="1">IFERROR(AVERAGEIFS(Projects!$L:$L,Projects!$I:$I,$C8),0)</f>
        <v>3252</v>
      </c>
      <c r="Q8" s="175">
        <f t="shared" si="3"/>
        <v>8818574</v>
      </c>
      <c r="R8" s="177">
        <f t="shared" si="4"/>
        <v>0.49261894342499851</v>
      </c>
      <c r="S8" s="183">
        <f t="shared" ref="S8" si="15">Q8/L8</f>
        <v>2.0599331931791638</v>
      </c>
      <c r="T8" s="185">
        <f t="shared" ca="1" si="9"/>
        <v>706.96907189908893</v>
      </c>
      <c r="U8" s="185">
        <f t="shared" ca="1" si="10"/>
        <v>6145.1927018920796</v>
      </c>
      <c r="V8" s="255">
        <v>2026</v>
      </c>
      <c r="W8" s="255">
        <v>2028</v>
      </c>
      <c r="X8" s="94">
        <f t="shared" si="11"/>
        <v>0</v>
      </c>
      <c r="Y8" s="94">
        <f t="shared" si="11"/>
        <v>0</v>
      </c>
      <c r="Z8" s="94">
        <f t="shared" ca="1" si="11"/>
        <v>81.573354449894879</v>
      </c>
      <c r="AA8" s="94">
        <f t="shared" ca="1" si="11"/>
        <v>81.573354449894879</v>
      </c>
      <c r="AB8" s="94">
        <f t="shared" ca="1" si="11"/>
        <v>271.91118149964962</v>
      </c>
      <c r="AC8" s="94">
        <f t="shared" ca="1" si="11"/>
        <v>271.91118149964962</v>
      </c>
      <c r="AD8" s="94">
        <f t="shared" ca="1" si="6"/>
        <v>271.91118149964962</v>
      </c>
      <c r="AE8" s="94">
        <f t="shared" ca="1" si="6"/>
        <v>271.91118149964962</v>
      </c>
      <c r="AF8" s="94">
        <f t="shared" ca="1" si="6"/>
        <v>271.91118149964962</v>
      </c>
      <c r="AG8" s="94">
        <f t="shared" ca="1" si="6"/>
        <v>271.91118149964962</v>
      </c>
      <c r="AH8" s="94">
        <f t="shared" ca="1" si="6"/>
        <v>271.91118149964962</v>
      </c>
      <c r="AI8" s="94">
        <f t="shared" ca="1" si="6"/>
        <v>271.91118149964962</v>
      </c>
      <c r="AJ8" s="94">
        <f t="shared" ca="1" si="6"/>
        <v>271.91118149964962</v>
      </c>
      <c r="AK8" s="94">
        <f t="shared" ca="1" si="6"/>
        <v>271.91118149964962</v>
      </c>
      <c r="AL8" s="94">
        <f t="shared" ca="1" si="6"/>
        <v>271.91118149964962</v>
      </c>
      <c r="AM8" s="94">
        <f t="shared" ca="1" si="6"/>
        <v>271.91118149964962</v>
      </c>
      <c r="AN8" s="94">
        <f t="shared" ca="1" si="6"/>
        <v>271.91118149964962</v>
      </c>
      <c r="AO8" s="94">
        <f t="shared" ca="1" si="6"/>
        <v>271.91118149964962</v>
      </c>
      <c r="AP8" s="94">
        <f t="shared" ca="1" si="6"/>
        <v>271.91118149964962</v>
      </c>
      <c r="AQ8" s="94">
        <f t="shared" ca="1" si="6"/>
        <v>271.91118149964962</v>
      </c>
      <c r="AR8" s="94">
        <f t="shared" ca="1" si="6"/>
        <v>271.91118149964962</v>
      </c>
      <c r="AS8" s="94">
        <f t="shared" ca="1" si="6"/>
        <v>271.91118149964962</v>
      </c>
      <c r="AT8" s="94">
        <f t="shared" ca="1" si="6"/>
        <v>271.91118149964962</v>
      </c>
      <c r="AU8" s="94">
        <f t="shared" ca="1" si="6"/>
        <v>271.91118149964962</v>
      </c>
      <c r="AV8" s="94">
        <f t="shared" ca="1" si="6"/>
        <v>271.91118149964962</v>
      </c>
      <c r="AW8" s="94">
        <f t="shared" ca="1" si="6"/>
        <v>271.91118149964962</v>
      </c>
    </row>
    <row r="9" spans="1:49" x14ac:dyDescent="0.2">
      <c r="A9" s="226" t="str">
        <f>INDEX(Lists!$B$3:$B$20,MATCH(C9,Lists!$D$3:$D$20,0))</f>
        <v>Modernization</v>
      </c>
      <c r="B9" s="220" t="str">
        <f>INDEX(Lists!$C$3:$C$20,MATCH(C9,Lists!$D$3:$D$20,0))</f>
        <v>Energy Insights Program</v>
      </c>
      <c r="C9" s="221" t="str">
        <f>Lists!$D8</f>
        <v>EIP Elec EE</v>
      </c>
      <c r="D9" s="212">
        <f t="shared" si="1"/>
        <v>9000000</v>
      </c>
      <c r="E9" s="213">
        <v>0.9</v>
      </c>
      <c r="F9" s="320">
        <f t="shared" ref="F9:F20" si="16">D9/D$31</f>
        <v>3.7285219391646786E-2</v>
      </c>
      <c r="G9" s="251">
        <f ca="1">IFERROR(AVERAGEIFS(Projects!$J:$J,Projects!$I:$I,$C9),0)</f>
        <v>3278.8251554280973</v>
      </c>
      <c r="H9" s="185">
        <f t="shared" ref="H9:H19" ca="1" si="17">M9+T9</f>
        <v>57312.550906721044</v>
      </c>
      <c r="I9" s="185">
        <f t="shared" ref="I9:I16" ca="1" si="18">N9+U9</f>
        <v>129942.63264175711</v>
      </c>
      <c r="J9" s="187">
        <f ca="1">COUNTIFS(Projects!$J:$J,"&lt;&gt;""",Projects!$I:$I,$C9)</f>
        <v>1</v>
      </c>
      <c r="K9" s="175">
        <f>SUMIFS(Projects!$F:$F,Projects!$I:$I,$C9)</f>
        <v>5614000</v>
      </c>
      <c r="L9" s="175">
        <f>AVERAGEIFS(Projects!$F:$F,Projects!$I:$I,$C9)</f>
        <v>5614000</v>
      </c>
      <c r="M9" s="185">
        <f ca="1">IFERROR(SUMIFS(Projects!$K:$K,Projects!$I:$I,$C9),"")</f>
        <v>52170.857793374627</v>
      </c>
      <c r="N9" s="185">
        <f ca="1">SUMIFS(Projects!$L:$L,Projects!$I:$I,$C9)</f>
        <v>85249.454041130535</v>
      </c>
      <c r="O9" s="185">
        <f ca="1">IFERROR(AVERAGEIFS(Projects!$K:$K,Projects!$I:$I,$C9),0)</f>
        <v>52170.857793374627</v>
      </c>
      <c r="P9" s="185">
        <f ca="1">IFERROR(AVERAGEIFS(Projects!$L:$L,Projects!$I:$I,$C9),0)</f>
        <v>85249.454041130535</v>
      </c>
      <c r="Q9" s="175">
        <f t="shared" si="3"/>
        <v>3386000</v>
      </c>
      <c r="R9" s="177">
        <f t="shared" si="4"/>
        <v>0.62377777777777776</v>
      </c>
      <c r="S9" s="183">
        <f t="shared" ref="S9:S19" si="19">Q9/L9</f>
        <v>0.6031350195938725</v>
      </c>
      <c r="T9" s="185">
        <f t="shared" ca="1" si="9"/>
        <v>5141.6931133464195</v>
      </c>
      <c r="U9" s="185">
        <f t="shared" ca="1" si="10"/>
        <v>44693.178600626576</v>
      </c>
      <c r="V9" s="255">
        <v>2026</v>
      </c>
      <c r="W9" s="255">
        <v>2028</v>
      </c>
      <c r="X9" s="94">
        <f t="shared" si="11"/>
        <v>0</v>
      </c>
      <c r="Y9" s="94">
        <f t="shared" si="11"/>
        <v>0</v>
      </c>
      <c r="Z9" s="94">
        <f t="shared" ca="1" si="11"/>
        <v>593.2722823092023</v>
      </c>
      <c r="AA9" s="94">
        <f t="shared" ca="1" si="11"/>
        <v>593.2722823092023</v>
      </c>
      <c r="AB9" s="94">
        <f t="shared" ca="1" si="11"/>
        <v>1977.5742743640076</v>
      </c>
      <c r="AC9" s="94">
        <f t="shared" ca="1" si="11"/>
        <v>1977.5742743640076</v>
      </c>
      <c r="AD9" s="94">
        <f t="shared" ca="1" si="6"/>
        <v>1977.5742743640076</v>
      </c>
      <c r="AE9" s="94">
        <f t="shared" ca="1" si="6"/>
        <v>1977.5742743640076</v>
      </c>
      <c r="AF9" s="94">
        <f t="shared" ca="1" si="6"/>
        <v>1977.5742743640076</v>
      </c>
      <c r="AG9" s="94">
        <f t="shared" ca="1" si="6"/>
        <v>1977.5742743640076</v>
      </c>
      <c r="AH9" s="94">
        <f t="shared" ca="1" si="6"/>
        <v>1977.5742743640076</v>
      </c>
      <c r="AI9" s="94">
        <f t="shared" ca="1" si="6"/>
        <v>1977.5742743640076</v>
      </c>
      <c r="AJ9" s="94">
        <f t="shared" ca="1" si="6"/>
        <v>1977.5742743640076</v>
      </c>
      <c r="AK9" s="94">
        <f t="shared" ca="1" si="6"/>
        <v>1977.5742743640076</v>
      </c>
      <c r="AL9" s="94">
        <f t="shared" ca="1" si="6"/>
        <v>1977.5742743640076</v>
      </c>
      <c r="AM9" s="94">
        <f t="shared" ca="1" si="6"/>
        <v>1977.5742743640076</v>
      </c>
      <c r="AN9" s="94">
        <f t="shared" ca="1" si="6"/>
        <v>1977.5742743640076</v>
      </c>
      <c r="AO9" s="94">
        <f t="shared" ca="1" si="6"/>
        <v>1977.5742743640076</v>
      </c>
      <c r="AP9" s="94">
        <f t="shared" ca="1" si="6"/>
        <v>1977.5742743640076</v>
      </c>
      <c r="AQ9" s="94">
        <f t="shared" ca="1" si="6"/>
        <v>1977.5742743640076</v>
      </c>
      <c r="AR9" s="94">
        <f t="shared" ca="1" si="6"/>
        <v>1977.5742743640076</v>
      </c>
      <c r="AS9" s="94">
        <f t="shared" ca="1" si="6"/>
        <v>1977.5742743640076</v>
      </c>
      <c r="AT9" s="94">
        <f t="shared" ca="1" si="6"/>
        <v>1977.5742743640076</v>
      </c>
      <c r="AU9" s="94">
        <f t="shared" ca="1" si="6"/>
        <v>1977.5742743640076</v>
      </c>
      <c r="AV9" s="94">
        <f t="shared" ca="1" si="6"/>
        <v>1977.5742743640076</v>
      </c>
      <c r="AW9" s="94">
        <f t="shared" ca="1" si="6"/>
        <v>1977.5742743640076</v>
      </c>
    </row>
    <row r="10" spans="1:49" x14ac:dyDescent="0.2">
      <c r="A10" s="227" t="str">
        <f>INDEX(Lists!$B$3:$B$20,MATCH(C10,Lists!$D$3:$D$20,0))</f>
        <v>Modernization</v>
      </c>
      <c r="B10" s="222" t="str">
        <f>INDEX(Lists!$C$3:$C$20,MATCH(C10,Lists!$D$3:$D$20,0))</f>
        <v>Energy Insights Program</v>
      </c>
      <c r="C10" s="223" t="str">
        <f>Lists!$D9</f>
        <v>EIP NG EE</v>
      </c>
      <c r="D10" s="214">
        <f t="shared" si="1"/>
        <v>999999.99999999977</v>
      </c>
      <c r="E10" s="215">
        <f>(100%-E9)</f>
        <v>9.9999999999999978E-2</v>
      </c>
      <c r="F10" s="323">
        <f t="shared" si="16"/>
        <v>4.1428021546274195E-3</v>
      </c>
      <c r="G10" s="251">
        <f ca="1">IFERROR(AVERAGEIFS(Projects!$J:$J,Projects!$I:$I,$C10),0)</f>
        <v>1821.1017962065334</v>
      </c>
      <c r="H10" s="185">
        <f t="shared" ca="1" si="17"/>
        <v>23674.323350684932</v>
      </c>
      <c r="I10" s="185">
        <f t="shared" ca="1" si="18"/>
        <v>88505.547295637487</v>
      </c>
      <c r="J10" s="187">
        <f ca="1">COUNTIFS(Projects!$J:$J,"&lt;&gt;""",Projects!$I:$I,$C10)</f>
        <v>1</v>
      </c>
      <c r="K10" s="175">
        <f>SUMIFS(Projects!$F:$F,Projects!$I:$I,$C10)</f>
        <v>500000</v>
      </c>
      <c r="L10" s="175">
        <f>AVERAGEIFS(Projects!$F:$F,Projects!$I:$I,$C10)</f>
        <v>500000</v>
      </c>
      <c r="M10" s="185">
        <f ca="1">IFERROR(SUMIFS(Projects!$K:$K,Projects!$I:$I,$C10),"")</f>
        <v>18939.458680547948</v>
      </c>
      <c r="N10" s="185">
        <f ca="1">SUMIFS(Projects!$L:$L,Projects!$I:$I,$C10)</f>
        <v>47348.646701369871</v>
      </c>
      <c r="O10" s="185">
        <f ca="1">IFERROR(AVERAGEIFS(Projects!$K:$K,Projects!$I:$I,$C10),0)</f>
        <v>18939.458680547948</v>
      </c>
      <c r="P10" s="185">
        <f ca="1">IFERROR(AVERAGEIFS(Projects!$L:$L,Projects!$I:$I,$C10),0)</f>
        <v>47348.646701369871</v>
      </c>
      <c r="Q10" s="175">
        <f t="shared" si="3"/>
        <v>499999.99999999977</v>
      </c>
      <c r="R10" s="177">
        <f t="shared" si="4"/>
        <v>0.50000000000000011</v>
      </c>
      <c r="S10" s="183">
        <f t="shared" si="19"/>
        <v>0.99999999999999956</v>
      </c>
      <c r="T10" s="185">
        <f ca="1">SUM(X10:AC10)</f>
        <v>4734.8646701369844</v>
      </c>
      <c r="U10" s="185">
        <f t="shared" ca="1" si="10"/>
        <v>41156.900594267609</v>
      </c>
      <c r="V10" s="255">
        <v>2026</v>
      </c>
      <c r="W10" s="255">
        <v>2028</v>
      </c>
      <c r="X10" s="94">
        <f t="shared" si="11"/>
        <v>0</v>
      </c>
      <c r="Y10" s="94">
        <f t="shared" si="11"/>
        <v>0</v>
      </c>
      <c r="Z10" s="94">
        <f ca="1">IF(AND(Z$3&lt;=$W10,Z$3&gt;$V10),$S10*$G10*$V$2,IF(Z$3&gt;$W10,$S10*$G10,0))</f>
        <v>546.33053886195978</v>
      </c>
      <c r="AA10" s="94">
        <f t="shared" ca="1" si="11"/>
        <v>546.33053886195978</v>
      </c>
      <c r="AB10" s="94">
        <f t="shared" ca="1" si="11"/>
        <v>1821.1017962065325</v>
      </c>
      <c r="AC10" s="94">
        <f t="shared" ca="1" si="11"/>
        <v>1821.1017962065325</v>
      </c>
      <c r="AD10" s="94">
        <f t="shared" ca="1" si="6"/>
        <v>1821.1017962065325</v>
      </c>
      <c r="AE10" s="94">
        <f t="shared" ca="1" si="6"/>
        <v>1821.1017962065325</v>
      </c>
      <c r="AF10" s="94">
        <f t="shared" ca="1" si="6"/>
        <v>1821.1017962065325</v>
      </c>
      <c r="AG10" s="94">
        <f t="shared" ca="1" si="6"/>
        <v>1821.1017962065325</v>
      </c>
      <c r="AH10" s="94">
        <f t="shared" ca="1" si="6"/>
        <v>1821.1017962065325</v>
      </c>
      <c r="AI10" s="94">
        <f t="shared" ca="1" si="6"/>
        <v>1821.1017962065325</v>
      </c>
      <c r="AJ10" s="94">
        <f t="shared" ca="1" si="6"/>
        <v>1821.1017962065325</v>
      </c>
      <c r="AK10" s="94">
        <f t="shared" ca="1" si="6"/>
        <v>1821.1017962065325</v>
      </c>
      <c r="AL10" s="94">
        <f t="shared" ca="1" si="6"/>
        <v>1821.1017962065325</v>
      </c>
      <c r="AM10" s="94">
        <f t="shared" ca="1" si="6"/>
        <v>1821.1017962065325</v>
      </c>
      <c r="AN10" s="94">
        <f t="shared" ca="1" si="6"/>
        <v>1821.1017962065325</v>
      </c>
      <c r="AO10" s="94">
        <f t="shared" ca="1" si="6"/>
        <v>1821.1017962065325</v>
      </c>
      <c r="AP10" s="94">
        <f t="shared" ca="1" si="6"/>
        <v>1821.1017962065325</v>
      </c>
      <c r="AQ10" s="94">
        <f t="shared" ca="1" si="6"/>
        <v>1821.1017962065325</v>
      </c>
      <c r="AR10" s="94">
        <f t="shared" ca="1" si="6"/>
        <v>1821.1017962065325</v>
      </c>
      <c r="AS10" s="94">
        <f t="shared" ca="1" si="6"/>
        <v>1821.1017962065325</v>
      </c>
      <c r="AT10" s="94">
        <f t="shared" ca="1" si="6"/>
        <v>1821.1017962065325</v>
      </c>
      <c r="AU10" s="94">
        <f t="shared" ca="1" si="6"/>
        <v>1821.1017962065325</v>
      </c>
      <c r="AV10" s="94">
        <f t="shared" ca="1" si="6"/>
        <v>1821.1017962065325</v>
      </c>
      <c r="AW10" s="94">
        <f t="shared" ca="1" si="6"/>
        <v>1821.1017962065325</v>
      </c>
    </row>
    <row r="11" spans="1:49" x14ac:dyDescent="0.2">
      <c r="A11" s="224" t="str">
        <f>INDEX(Lists!$B$3:$B$20,MATCH(C11,Lists!$D$3:$D$20,0))</f>
        <v>Modernization</v>
      </c>
      <c r="B11" s="220" t="str">
        <f>INDEX(Lists!$C$3:$C$20,MATCH(C11,Lists!$D$3:$D$20,0))</f>
        <v>Building-Upgrades</v>
      </c>
      <c r="C11" s="221" t="str">
        <f>Lists!$D10</f>
        <v>Solar</v>
      </c>
      <c r="D11" s="212">
        <f t="shared" si="1"/>
        <v>33319082.047680005</v>
      </c>
      <c r="E11" s="213">
        <v>0.4</v>
      </c>
      <c r="F11" s="322">
        <f t="shared" si="16"/>
        <v>0.13803436489733653</v>
      </c>
      <c r="G11" s="251">
        <f ca="1">IFERROR(AVERAGEIFS(Projects!$J:$J,Projects!$I:$I,$C11),0)</f>
        <v>462.24990021965476</v>
      </c>
      <c r="H11" s="185">
        <f ca="1">M11+T11</f>
        <v>16432.137590690163</v>
      </c>
      <c r="I11" s="185">
        <f t="shared" ca="1" si="18"/>
        <v>107970.43014134761</v>
      </c>
      <c r="J11" s="187">
        <f ca="1">COUNTIFS(Projects!$J:$J,"&lt;&gt;""",Projects!$I:$I,$C11)</f>
        <v>2</v>
      </c>
      <c r="K11" s="175">
        <f>SUMIFS(Projects!$F:$F,Projects!$I:$I,$C11)</f>
        <v>6582960</v>
      </c>
      <c r="L11" s="175">
        <f>AVERAGEIFS(Projects!$F:$F,Projects!$I:$I,$C11)</f>
        <v>3291480</v>
      </c>
      <c r="M11" s="185">
        <f ca="1">IFERROR(SUMIFS(Projects!$K:$K,Projects!$I:$I,$C11),"")</f>
        <v>6669.7202748074787</v>
      </c>
      <c r="N11" s="185">
        <f ca="1">SUMIFS(Projects!$L:$L,Projects!$I:$I,$C11)</f>
        <v>23112.49501098274</v>
      </c>
      <c r="O11" s="185">
        <f ca="1">IFERROR(AVERAGEIFS(Projects!$K:$K,Projects!$I:$I,$C11),0)</f>
        <v>3334.8601374037394</v>
      </c>
      <c r="P11" s="185">
        <f ca="1">IFERROR(AVERAGEIFS(Projects!$L:$L,Projects!$I:$I,$C11),0)</f>
        <v>11556.24750549137</v>
      </c>
      <c r="Q11" s="175">
        <f t="shared" si="3"/>
        <v>26736122.047680005</v>
      </c>
      <c r="R11" s="177">
        <f t="shared" si="4"/>
        <v>0.19757327019332963</v>
      </c>
      <c r="S11" s="183">
        <f>Q11/L11</f>
        <v>8.122826827955814</v>
      </c>
      <c r="T11" s="185">
        <f t="shared" ca="1" si="9"/>
        <v>9762.4173158826852</v>
      </c>
      <c r="U11" s="185">
        <f t="shared" ca="1" si="10"/>
        <v>84857.935130364858</v>
      </c>
      <c r="V11" s="255">
        <v>2026</v>
      </c>
      <c r="W11" s="255">
        <v>2028</v>
      </c>
      <c r="X11" s="94">
        <f t="shared" si="11"/>
        <v>0</v>
      </c>
      <c r="Y11" s="94">
        <f t="shared" si="11"/>
        <v>0</v>
      </c>
      <c r="Z11" s="94">
        <f t="shared" ca="1" si="11"/>
        <v>1126.432767217233</v>
      </c>
      <c r="AA11" s="94">
        <f t="shared" ca="1" si="11"/>
        <v>1126.432767217233</v>
      </c>
      <c r="AB11" s="94">
        <f t="shared" ca="1" si="11"/>
        <v>3754.77589072411</v>
      </c>
      <c r="AC11" s="94">
        <f t="shared" ca="1" si="11"/>
        <v>3754.77589072411</v>
      </c>
      <c r="AD11" s="94">
        <f t="shared" ca="1" si="6"/>
        <v>3754.77589072411</v>
      </c>
      <c r="AE11" s="94">
        <f t="shared" ca="1" si="6"/>
        <v>3754.77589072411</v>
      </c>
      <c r="AF11" s="94">
        <f t="shared" ca="1" si="6"/>
        <v>3754.77589072411</v>
      </c>
      <c r="AG11" s="94">
        <f t="shared" ca="1" si="6"/>
        <v>3754.77589072411</v>
      </c>
      <c r="AH11" s="94">
        <f t="shared" ca="1" si="6"/>
        <v>3754.77589072411</v>
      </c>
      <c r="AI11" s="94">
        <f t="shared" ca="1" si="6"/>
        <v>3754.77589072411</v>
      </c>
      <c r="AJ11" s="94">
        <f t="shared" ca="1" si="6"/>
        <v>3754.77589072411</v>
      </c>
      <c r="AK11" s="94">
        <f t="shared" ca="1" si="6"/>
        <v>3754.77589072411</v>
      </c>
      <c r="AL11" s="94">
        <f t="shared" ca="1" si="6"/>
        <v>3754.77589072411</v>
      </c>
      <c r="AM11" s="94">
        <f t="shared" ca="1" si="6"/>
        <v>3754.77589072411</v>
      </c>
      <c r="AN11" s="94">
        <f t="shared" ca="1" si="6"/>
        <v>3754.77589072411</v>
      </c>
      <c r="AO11" s="94">
        <f t="shared" ca="1" si="6"/>
        <v>3754.77589072411</v>
      </c>
      <c r="AP11" s="94">
        <f t="shared" ca="1" si="6"/>
        <v>3754.77589072411</v>
      </c>
      <c r="AQ11" s="94">
        <f t="shared" ca="1" si="6"/>
        <v>3754.77589072411</v>
      </c>
      <c r="AR11" s="94">
        <f t="shared" ca="1" si="6"/>
        <v>3754.77589072411</v>
      </c>
      <c r="AS11" s="94">
        <f t="shared" ca="1" si="6"/>
        <v>3754.77589072411</v>
      </c>
      <c r="AT11" s="94">
        <f t="shared" ca="1" si="6"/>
        <v>3754.77589072411</v>
      </c>
      <c r="AU11" s="94">
        <f t="shared" ca="1" si="6"/>
        <v>3754.77589072411</v>
      </c>
      <c r="AV11" s="94">
        <f t="shared" ca="1" si="6"/>
        <v>3754.77589072411</v>
      </c>
      <c r="AW11" s="94">
        <f t="shared" ca="1" si="6"/>
        <v>3754.77589072411</v>
      </c>
    </row>
    <row r="12" spans="1:49" x14ac:dyDescent="0.2">
      <c r="A12" s="227" t="str">
        <f>INDEX(Lists!$B$3:$B$20,MATCH(C12,Lists!$D$3:$D$20,0))</f>
        <v>Modernization</v>
      </c>
      <c r="B12" s="224" t="str">
        <f>INDEX(Lists!$C$3:$C$20,MATCH(C12,Lists!$D$3:$D$20,0))</f>
        <v>Building-Upgrades</v>
      </c>
      <c r="C12" s="225" t="str">
        <f>Lists!$D11</f>
        <v>HVAC EE</v>
      </c>
      <c r="D12" s="216">
        <f t="shared" si="1"/>
        <v>16659541.023840003</v>
      </c>
      <c r="E12" s="217">
        <v>0.2</v>
      </c>
      <c r="F12" s="322">
        <f t="shared" si="16"/>
        <v>6.9017182448668266E-2</v>
      </c>
      <c r="G12" s="251">
        <f ca="1">IFERROR(AVERAGEIFS(Projects!$J:$J,Projects!$I:$I,$C12),0)</f>
        <v>6.1175426208811219</v>
      </c>
      <c r="H12" s="185">
        <f t="shared" ca="1" si="17"/>
        <v>187.86388012748219</v>
      </c>
      <c r="I12" s="185">
        <f t="shared" ca="1" si="18"/>
        <v>1151.7588325448714</v>
      </c>
      <c r="J12" s="187">
        <f ca="1">COUNTIFS(Projects!$J:$J,"&lt;&gt;""",Projects!$I:$I,$C12)</f>
        <v>3</v>
      </c>
      <c r="K12" s="175">
        <f>SUMIFS(Projects!$F:$F,Projects!$I:$I,$C12)</f>
        <v>6343053.0873668082</v>
      </c>
      <c r="L12" s="175">
        <f>AVERAGEIFS(Projects!$F:$F,Projects!$I:$I,$C12)</f>
        <v>2114351.0291222692</v>
      </c>
      <c r="M12" s="185">
        <f ca="1">IFERROR(SUMIFS(Projects!$K:$K,Projects!$I:$I,$C12),"")</f>
        <v>110.25612255659834</v>
      </c>
      <c r="N12" s="185">
        <f ca="1">SUMIFS(Projects!$L:$L,Projects!$I:$I,$C12)</f>
        <v>477.1683244287276</v>
      </c>
      <c r="O12" s="185">
        <f ca="1">IFERROR(AVERAGEIFS(Projects!$K:$K,Projects!$I:$I,$C12),0)</f>
        <v>36.75204085219945</v>
      </c>
      <c r="P12" s="185">
        <f ca="1">IFERROR(AVERAGEIFS(Projects!$L:$L,Projects!$I:$I,$C12),0)</f>
        <v>159.05610814290921</v>
      </c>
      <c r="Q12" s="175">
        <f t="shared" si="3"/>
        <v>10316487.936473195</v>
      </c>
      <c r="R12" s="177">
        <f t="shared" si="4"/>
        <v>0.38074596882890249</v>
      </c>
      <c r="S12" s="183">
        <f t="shared" si="19"/>
        <v>4.8792692388244916</v>
      </c>
      <c r="T12" s="185">
        <f t="shared" ca="1" si="9"/>
        <v>77.607757570883848</v>
      </c>
      <c r="U12" s="185">
        <f t="shared" ca="1" si="10"/>
        <v>674.59050811614395</v>
      </c>
      <c r="V12" s="255">
        <v>2026</v>
      </c>
      <c r="W12" s="255">
        <v>2028</v>
      </c>
      <c r="X12" s="94">
        <f t="shared" si="11"/>
        <v>0</v>
      </c>
      <c r="Y12" s="94">
        <f t="shared" si="11"/>
        <v>0</v>
      </c>
      <c r="Z12" s="94">
        <f t="shared" ca="1" si="11"/>
        <v>8.9547412581789043</v>
      </c>
      <c r="AA12" s="94">
        <f t="shared" ca="1" si="11"/>
        <v>8.9547412581789043</v>
      </c>
      <c r="AB12" s="94">
        <f t="shared" ca="1" si="11"/>
        <v>29.849137527263018</v>
      </c>
      <c r="AC12" s="94">
        <f t="shared" ca="1" si="11"/>
        <v>29.849137527263018</v>
      </c>
      <c r="AD12" s="94">
        <f t="shared" ca="1" si="6"/>
        <v>29.849137527263018</v>
      </c>
      <c r="AE12" s="94">
        <f t="shared" ca="1" si="6"/>
        <v>29.849137527263018</v>
      </c>
      <c r="AF12" s="94">
        <f t="shared" ca="1" si="6"/>
        <v>29.849137527263018</v>
      </c>
      <c r="AG12" s="94">
        <f t="shared" ca="1" si="6"/>
        <v>29.849137527263018</v>
      </c>
      <c r="AH12" s="94">
        <f t="shared" ca="1" si="6"/>
        <v>29.849137527263018</v>
      </c>
      <c r="AI12" s="94">
        <f t="shared" ca="1" si="6"/>
        <v>29.849137527263018</v>
      </c>
      <c r="AJ12" s="94">
        <f t="shared" ca="1" si="6"/>
        <v>29.849137527263018</v>
      </c>
      <c r="AK12" s="94">
        <f t="shared" ca="1" si="6"/>
        <v>29.849137527263018</v>
      </c>
      <c r="AL12" s="94">
        <f t="shared" ca="1" si="6"/>
        <v>29.849137527263018</v>
      </c>
      <c r="AM12" s="94">
        <f t="shared" ca="1" si="6"/>
        <v>29.849137527263018</v>
      </c>
      <c r="AN12" s="94">
        <f t="shared" ca="1" si="6"/>
        <v>29.849137527263018</v>
      </c>
      <c r="AO12" s="94">
        <f t="shared" ca="1" si="6"/>
        <v>29.849137527263018</v>
      </c>
      <c r="AP12" s="94">
        <f t="shared" ca="1" si="6"/>
        <v>29.849137527263018</v>
      </c>
      <c r="AQ12" s="94">
        <f t="shared" ca="1" si="6"/>
        <v>29.849137527263018</v>
      </c>
      <c r="AR12" s="94">
        <f t="shared" ca="1" si="6"/>
        <v>29.849137527263018</v>
      </c>
      <c r="AS12" s="94">
        <f t="shared" ca="1" si="6"/>
        <v>29.849137527263018</v>
      </c>
      <c r="AT12" s="94">
        <f t="shared" ca="1" si="6"/>
        <v>29.849137527263018</v>
      </c>
      <c r="AU12" s="94">
        <f t="shared" ca="1" si="6"/>
        <v>29.849137527263018</v>
      </c>
      <c r="AV12" s="94">
        <f t="shared" ca="1" si="6"/>
        <v>29.849137527263018</v>
      </c>
      <c r="AW12" s="94">
        <f t="shared" ca="1" si="6"/>
        <v>29.849137527263018</v>
      </c>
    </row>
    <row r="13" spans="1:49" x14ac:dyDescent="0.2">
      <c r="A13" s="227" t="str">
        <f>INDEX(Lists!$B$3:$B$20,MATCH(C13,Lists!$D$3:$D$20,0))</f>
        <v>Modernization</v>
      </c>
      <c r="B13" s="224" t="str">
        <f>INDEX(Lists!$C$3:$C$20,MATCH(C13,Lists!$D$3:$D$20,0))</f>
        <v>Building-Upgrades</v>
      </c>
      <c r="C13" s="225" t="str">
        <f>Lists!$D12</f>
        <v>LED EE</v>
      </c>
      <c r="D13" s="216">
        <f t="shared" si="1"/>
        <v>24989311.53576</v>
      </c>
      <c r="E13" s="217">
        <v>0.3</v>
      </c>
      <c r="F13" s="322">
        <f t="shared" si="16"/>
        <v>0.10352577367300239</v>
      </c>
      <c r="G13" s="251">
        <f ca="1">IFERROR(AVERAGEIFS(Projects!$J:$J,Projects!$I:$I,$C13),0)</f>
        <v>17.181081678623453</v>
      </c>
      <c r="H13" s="185">
        <f t="shared" ca="1" si="17"/>
        <v>324.82979529286058</v>
      </c>
      <c r="I13" s="185">
        <f t="shared" ca="1" si="18"/>
        <v>2149.7083455234338</v>
      </c>
      <c r="J13" s="187">
        <f ca="1">COUNTIFS(Projects!$J:$J,"&lt;&gt;""",Projects!$I:$I,$C13)</f>
        <v>1</v>
      </c>
      <c r="K13" s="175">
        <f>SUMIFS(Projects!$F:$F,Projects!$I:$I,$C13)</f>
        <v>4639791</v>
      </c>
      <c r="L13" s="175">
        <f>AVERAGEIFS(Projects!$F:$F,Projects!$I:$I,$C13)</f>
        <v>4639791</v>
      </c>
      <c r="M13" s="185">
        <f ca="1">IFERROR(SUMIFS(Projects!$K:$K,Projects!$I:$I,$C13),"")</f>
        <v>128.90941578463136</v>
      </c>
      <c r="N13" s="185">
        <f ca="1">SUMIFS(Projects!$L:$L,Projects!$I:$I,$C13)</f>
        <v>446.70812364420982</v>
      </c>
      <c r="O13" s="185">
        <f ca="1">IFERROR(AVERAGEIFS(Projects!$K:$K,Projects!$I:$I,$C13),0)</f>
        <v>128.90941578463136</v>
      </c>
      <c r="P13" s="185">
        <f ca="1">IFERROR(AVERAGEIFS(Projects!$L:$L,Projects!$I:$I,$C13),0)</f>
        <v>446.70812364420982</v>
      </c>
      <c r="Q13" s="175">
        <f t="shared" si="3"/>
        <v>20349520.53576</v>
      </c>
      <c r="R13" s="177">
        <f t="shared" si="4"/>
        <v>0.18567102152295809</v>
      </c>
      <c r="S13" s="183">
        <f t="shared" si="19"/>
        <v>4.3858700824584558</v>
      </c>
      <c r="T13" s="185">
        <f t="shared" ca="1" si="9"/>
        <v>195.92037950822925</v>
      </c>
      <c r="U13" s="185">
        <f t="shared" ca="1" si="10"/>
        <v>1703.000221879224</v>
      </c>
      <c r="V13" s="255">
        <v>2026</v>
      </c>
      <c r="W13" s="255">
        <v>2028</v>
      </c>
      <c r="X13" s="94">
        <f t="shared" si="11"/>
        <v>0</v>
      </c>
      <c r="Y13" s="94">
        <f t="shared" si="11"/>
        <v>0</v>
      </c>
      <c r="Z13" s="94">
        <f t="shared" ca="1" si="11"/>
        <v>22.606197635564914</v>
      </c>
      <c r="AA13" s="94">
        <f t="shared" ca="1" si="11"/>
        <v>22.606197635564914</v>
      </c>
      <c r="AB13" s="94">
        <f t="shared" ca="1" si="11"/>
        <v>75.353992118549712</v>
      </c>
      <c r="AC13" s="94">
        <f t="shared" ca="1" si="11"/>
        <v>75.353992118549712</v>
      </c>
      <c r="AD13" s="94">
        <f t="shared" ca="1" si="6"/>
        <v>75.353992118549712</v>
      </c>
      <c r="AE13" s="94">
        <f t="shared" ca="1" si="6"/>
        <v>75.353992118549712</v>
      </c>
      <c r="AF13" s="94">
        <f t="shared" ca="1" si="6"/>
        <v>75.353992118549712</v>
      </c>
      <c r="AG13" s="94">
        <f t="shared" ca="1" si="6"/>
        <v>75.353992118549712</v>
      </c>
      <c r="AH13" s="94">
        <f t="shared" ca="1" si="6"/>
        <v>75.353992118549712</v>
      </c>
      <c r="AI13" s="94">
        <f t="shared" ca="1" si="6"/>
        <v>75.353992118549712</v>
      </c>
      <c r="AJ13" s="94">
        <f t="shared" ca="1" si="6"/>
        <v>75.353992118549712</v>
      </c>
      <c r="AK13" s="94">
        <f t="shared" ca="1" si="6"/>
        <v>75.353992118549712</v>
      </c>
      <c r="AL13" s="94">
        <f t="shared" ca="1" si="6"/>
        <v>75.353992118549712</v>
      </c>
      <c r="AM13" s="94">
        <f t="shared" ca="1" si="6"/>
        <v>75.353992118549712</v>
      </c>
      <c r="AN13" s="94">
        <f t="shared" ca="1" si="6"/>
        <v>75.353992118549712</v>
      </c>
      <c r="AO13" s="94">
        <f t="shared" ca="1" si="6"/>
        <v>75.353992118549712</v>
      </c>
      <c r="AP13" s="94">
        <f t="shared" ca="1" si="6"/>
        <v>75.353992118549712</v>
      </c>
      <c r="AQ13" s="94">
        <f t="shared" ca="1" si="6"/>
        <v>75.353992118549712</v>
      </c>
      <c r="AR13" s="94">
        <f t="shared" ca="1" si="6"/>
        <v>75.353992118549712</v>
      </c>
      <c r="AS13" s="94">
        <f t="shared" ca="1" si="6"/>
        <v>75.353992118549712</v>
      </c>
      <c r="AT13" s="94">
        <f t="shared" ca="1" si="6"/>
        <v>75.353992118549712</v>
      </c>
      <c r="AU13" s="94">
        <f t="shared" ca="1" si="6"/>
        <v>75.353992118549712</v>
      </c>
      <c r="AV13" s="94">
        <f t="shared" ca="1" si="6"/>
        <v>75.353992118549712</v>
      </c>
      <c r="AW13" s="94">
        <f t="shared" ca="1" si="6"/>
        <v>75.353992118549712</v>
      </c>
    </row>
    <row r="14" spans="1:49" x14ac:dyDescent="0.2">
      <c r="A14" s="227" t="str">
        <f>INDEX(Lists!$B$3:$B$20,MATCH(C14,Lists!$D$3:$D$20,0))</f>
        <v>Modernization</v>
      </c>
      <c r="B14" s="222" t="str">
        <f>INDEX(Lists!$C$3:$C$20,MATCH(C14,Lists!$D$3:$D$20,0))</f>
        <v>Building-Upgrades</v>
      </c>
      <c r="C14" s="223" t="str">
        <f>Lists!$D13</f>
        <v>Windows EE</v>
      </c>
      <c r="D14" s="214">
        <f t="shared" si="1"/>
        <v>8329770.5119199986</v>
      </c>
      <c r="E14" s="215">
        <f>(100%-E12-E13-E11)</f>
        <v>9.9999999999999978E-2</v>
      </c>
      <c r="F14" s="322">
        <f t="shared" si="16"/>
        <v>3.4508591224334126E-2</v>
      </c>
      <c r="G14" s="251">
        <f ca="1">IFERROR(AVERAGEIFS(Projects!$J:$J,Projects!$I:$I,$C14),0)</f>
        <v>3.5195674071609826</v>
      </c>
      <c r="H14" s="185">
        <f t="shared" ca="1" si="17"/>
        <v>21.015951537475686</v>
      </c>
      <c r="I14" s="185">
        <f t="shared" ca="1" si="18"/>
        <v>115.10142299287477</v>
      </c>
      <c r="J14" s="187">
        <f ca="1">COUNTIFS(Projects!$J:$J,"&lt;&gt;""",Projects!$I:$I,$C14)</f>
        <v>1</v>
      </c>
      <c r="K14" s="175">
        <f>SUMIFS(Projects!$F:$F,Projects!$I:$I,$C14)</f>
        <v>6424290</v>
      </c>
      <c r="L14" s="175">
        <f>AVERAGEIFS(Projects!$F:$F,Projects!$I:$I,$C14)</f>
        <v>6424290</v>
      </c>
      <c r="M14" s="185">
        <f ca="1">IFERROR(SUMIFS(Projects!$K:$K,Projects!$I:$I,$C14),"")</f>
        <v>18.301750517237103</v>
      </c>
      <c r="N14" s="185">
        <f ca="1">SUMIFS(Projects!$L:$L,Projects!$I:$I,$C14)</f>
        <v>91.508752586185551</v>
      </c>
      <c r="O14" s="185">
        <f ca="1">IFERROR(AVERAGEIFS(Projects!$K:$K,Projects!$I:$I,$C14),0)</f>
        <v>18.301750517237103</v>
      </c>
      <c r="P14" s="185">
        <f ca="1">IFERROR(AVERAGEIFS(Projects!$L:$L,Projects!$I:$I,$C14),0)</f>
        <v>91.508752586185551</v>
      </c>
      <c r="Q14" s="175">
        <f t="shared" si="3"/>
        <v>1905480.5119199986</v>
      </c>
      <c r="R14" s="177">
        <f t="shared" si="4"/>
        <v>0.77124453678606941</v>
      </c>
      <c r="S14" s="183">
        <f t="shared" si="19"/>
        <v>0.2966056189742366</v>
      </c>
      <c r="T14" s="185">
        <f t="shared" ca="1" si="9"/>
        <v>2.7142010202385842</v>
      </c>
      <c r="U14" s="185">
        <f t="shared" ca="1" si="10"/>
        <v>23.59267040668923</v>
      </c>
      <c r="V14" s="255">
        <v>2026</v>
      </c>
      <c r="W14" s="255">
        <v>2028</v>
      </c>
      <c r="X14" s="94">
        <f t="shared" si="11"/>
        <v>0</v>
      </c>
      <c r="Y14" s="94">
        <f t="shared" si="11"/>
        <v>0</v>
      </c>
      <c r="Z14" s="94">
        <f t="shared" ca="1" si="11"/>
        <v>0.31317704079675968</v>
      </c>
      <c r="AA14" s="94">
        <f t="shared" ca="1" si="11"/>
        <v>0.31317704079675968</v>
      </c>
      <c r="AB14" s="94">
        <f t="shared" ca="1" si="11"/>
        <v>1.0439234693225323</v>
      </c>
      <c r="AC14" s="94">
        <f t="shared" ca="1" si="11"/>
        <v>1.0439234693225323</v>
      </c>
      <c r="AD14" s="94">
        <f t="shared" ca="1" si="6"/>
        <v>1.0439234693225323</v>
      </c>
      <c r="AE14" s="94">
        <f t="shared" ca="1" si="6"/>
        <v>1.0439234693225323</v>
      </c>
      <c r="AF14" s="94">
        <f t="shared" ca="1" si="6"/>
        <v>1.0439234693225323</v>
      </c>
      <c r="AG14" s="94">
        <f t="shared" ca="1" si="6"/>
        <v>1.0439234693225323</v>
      </c>
      <c r="AH14" s="94">
        <f t="shared" ca="1" si="6"/>
        <v>1.0439234693225323</v>
      </c>
      <c r="AI14" s="94">
        <f t="shared" ca="1" si="6"/>
        <v>1.0439234693225323</v>
      </c>
      <c r="AJ14" s="94">
        <f t="shared" ca="1" si="6"/>
        <v>1.0439234693225323</v>
      </c>
      <c r="AK14" s="94">
        <f t="shared" ca="1" si="6"/>
        <v>1.0439234693225323</v>
      </c>
      <c r="AL14" s="94">
        <f t="shared" ca="1" si="6"/>
        <v>1.0439234693225323</v>
      </c>
      <c r="AM14" s="94">
        <f t="shared" ca="1" si="6"/>
        <v>1.0439234693225323</v>
      </c>
      <c r="AN14" s="94">
        <f t="shared" ca="1" si="6"/>
        <v>1.0439234693225323</v>
      </c>
      <c r="AO14" s="94">
        <f t="shared" ca="1" si="6"/>
        <v>1.0439234693225323</v>
      </c>
      <c r="AP14" s="94">
        <f t="shared" ca="1" si="6"/>
        <v>1.0439234693225323</v>
      </c>
      <c r="AQ14" s="94">
        <f t="shared" ca="1" si="6"/>
        <v>1.0439234693225323</v>
      </c>
      <c r="AR14" s="94">
        <f t="shared" ca="1" si="6"/>
        <v>1.0439234693225323</v>
      </c>
      <c r="AS14" s="94">
        <f t="shared" ca="1" si="6"/>
        <v>1.0439234693225323</v>
      </c>
      <c r="AT14" s="94">
        <f t="shared" ca="1" si="6"/>
        <v>1.0439234693225323</v>
      </c>
      <c r="AU14" s="94">
        <f t="shared" ca="1" si="6"/>
        <v>1.0439234693225323</v>
      </c>
      <c r="AV14" s="94">
        <f t="shared" ca="1" si="6"/>
        <v>1.0439234693225323</v>
      </c>
      <c r="AW14" s="94">
        <f t="shared" ca="1" si="6"/>
        <v>1.0439234693225323</v>
      </c>
    </row>
    <row r="15" spans="1:49" x14ac:dyDescent="0.2">
      <c r="A15" s="227" t="str">
        <f>INDEX(Lists!$B$3:$B$20,MATCH(C15,Lists!$D$3:$D$20,0))</f>
        <v>Modernization</v>
      </c>
      <c r="B15" s="218" t="str">
        <f>INDEX(Lists!$C$3:$C$20,MATCH(C15,Lists!$D$3:$D$20,0))</f>
        <v>Building-EV Infrastructure</v>
      </c>
      <c r="C15" s="219" t="str">
        <f>Lists!$D14</f>
        <v>EV-EXAMPLE</v>
      </c>
      <c r="D15" s="210">
        <f t="shared" si="1"/>
        <v>27765901.706400003</v>
      </c>
      <c r="E15" s="211">
        <v>1</v>
      </c>
      <c r="F15" s="322">
        <f t="shared" si="16"/>
        <v>0.1150286374144471</v>
      </c>
      <c r="G15" s="251">
        <f ca="1">IFERROR(AVERAGEIFS(Projects!$J:$J,Projects!$I:$I,$C15),0)</f>
        <v>4.5076492709918314</v>
      </c>
      <c r="H15" s="185">
        <f t="shared" ca="1" si="17"/>
        <v>2729.9766589680826</v>
      </c>
      <c r="I15" s="185">
        <f t="shared" ca="1" si="18"/>
        <v>23700.581528014147</v>
      </c>
      <c r="J15" s="187">
        <f ca="1">COUNTIFS(Projects!$J:$J,"&lt;&gt;""",Projects!$I:$I,$C15)</f>
        <v>1</v>
      </c>
      <c r="K15" s="175">
        <f>SUMIFS(Projects!$F:$F,Projects!$I:$I,$C15)</f>
        <v>119917.13363523668</v>
      </c>
      <c r="L15" s="175">
        <f>AVERAGEIFS(Projects!$F:$F,Projects!$I:$I,$C15)</f>
        <v>119917.13363523668</v>
      </c>
      <c r="M15" s="185">
        <f ca="1">IFERROR(SUMIFS(Projects!$K:$K,Projects!$I:$I,$C15),"")</f>
        <v>16.325562940546309</v>
      </c>
      <c r="N15" s="185">
        <f ca="1">SUMIFS(Projects!$L:$L,Projects!$I:$I,$C15)</f>
        <v>112.69123177479578</v>
      </c>
      <c r="O15" s="185">
        <f ca="1">IFERROR(AVERAGEIFS(Projects!$K:$K,Projects!$I:$I,$C15),0)</f>
        <v>16.325562940546309</v>
      </c>
      <c r="P15" s="185">
        <f ca="1">IFERROR(AVERAGEIFS(Projects!$L:$L,Projects!$I:$I,$C15),0)</f>
        <v>112.69123177479578</v>
      </c>
      <c r="Q15" s="175">
        <f t="shared" si="3"/>
        <v>27765901.706400003</v>
      </c>
      <c r="R15" s="177">
        <f t="shared" si="4"/>
        <v>0</v>
      </c>
      <c r="S15" s="183">
        <f t="shared" si="19"/>
        <v>231.5424065326493</v>
      </c>
      <c r="T15" s="185">
        <f t="shared" ca="1" si="9"/>
        <v>2713.6510960275364</v>
      </c>
      <c r="U15" s="185">
        <f t="shared" ca="1" si="10"/>
        <v>23587.890296239351</v>
      </c>
      <c r="V15" s="255">
        <v>2026</v>
      </c>
      <c r="W15" s="255">
        <v>2028</v>
      </c>
      <c r="X15" s="94">
        <f t="shared" si="11"/>
        <v>0</v>
      </c>
      <c r="Y15" s="94">
        <f t="shared" si="11"/>
        <v>0</v>
      </c>
      <c r="Z15" s="94">
        <f t="shared" ca="1" si="11"/>
        <v>313.11358800317726</v>
      </c>
      <c r="AA15" s="94">
        <f t="shared" ca="1" si="11"/>
        <v>313.11358800317726</v>
      </c>
      <c r="AB15" s="94">
        <f t="shared" ca="1" si="11"/>
        <v>1043.7119600105909</v>
      </c>
      <c r="AC15" s="94">
        <f t="shared" ca="1" si="11"/>
        <v>1043.7119600105909</v>
      </c>
      <c r="AD15" s="94">
        <f t="shared" ca="1" si="6"/>
        <v>1043.7119600105909</v>
      </c>
      <c r="AE15" s="94">
        <f t="shared" ca="1" si="6"/>
        <v>1043.7119600105909</v>
      </c>
      <c r="AF15" s="94">
        <f t="shared" ca="1" si="6"/>
        <v>1043.7119600105909</v>
      </c>
      <c r="AG15" s="94">
        <f t="shared" ca="1" si="6"/>
        <v>1043.7119600105909</v>
      </c>
      <c r="AH15" s="94">
        <f t="shared" ca="1" si="6"/>
        <v>1043.7119600105909</v>
      </c>
      <c r="AI15" s="94">
        <f t="shared" ca="1" si="6"/>
        <v>1043.7119600105909</v>
      </c>
      <c r="AJ15" s="94">
        <f t="shared" ca="1" si="6"/>
        <v>1043.7119600105909</v>
      </c>
      <c r="AK15" s="94">
        <f t="shared" ca="1" si="6"/>
        <v>1043.7119600105909</v>
      </c>
      <c r="AL15" s="94">
        <f t="shared" ca="1" si="6"/>
        <v>1043.7119600105909</v>
      </c>
      <c r="AM15" s="94">
        <f t="shared" ca="1" si="6"/>
        <v>1043.7119600105909</v>
      </c>
      <c r="AN15" s="94">
        <f t="shared" ca="1" si="6"/>
        <v>1043.7119600105909</v>
      </c>
      <c r="AO15" s="94">
        <f t="shared" ca="1" si="6"/>
        <v>1043.7119600105909</v>
      </c>
      <c r="AP15" s="94">
        <f t="shared" ca="1" si="6"/>
        <v>1043.7119600105909</v>
      </c>
      <c r="AQ15" s="94">
        <f t="shared" ca="1" si="6"/>
        <v>1043.7119600105909</v>
      </c>
      <c r="AR15" s="94">
        <f t="shared" ca="1" si="6"/>
        <v>1043.7119600105909</v>
      </c>
      <c r="AS15" s="94">
        <f t="shared" ca="1" si="6"/>
        <v>1043.7119600105909</v>
      </c>
      <c r="AT15" s="94">
        <f t="shared" ca="1" si="6"/>
        <v>1043.7119600105909</v>
      </c>
      <c r="AU15" s="94">
        <f t="shared" ca="1" si="6"/>
        <v>1043.7119600105909</v>
      </c>
      <c r="AV15" s="94">
        <f t="shared" ca="1" si="6"/>
        <v>1043.7119600105909</v>
      </c>
      <c r="AW15" s="94">
        <f t="shared" ca="1" si="6"/>
        <v>1043.7119600105909</v>
      </c>
    </row>
    <row r="16" spans="1:49" x14ac:dyDescent="0.2">
      <c r="A16" s="227" t="str">
        <f>INDEX(Lists!$B$3:$B$20,MATCH(C16,Lists!$D$3:$D$20,0))</f>
        <v>Modernization</v>
      </c>
      <c r="B16" s="220" t="str">
        <f>INDEX(Lists!$C$3:$C$20,MATCH(C16,Lists!$D$3:$D$20,0))</f>
        <v>Building-Public Transit</v>
      </c>
      <c r="C16" s="221" t="str">
        <f>Lists!$D15</f>
        <v>Hybrid Buses-EXAMPLE</v>
      </c>
      <c r="D16" s="212">
        <f t="shared" si="1"/>
        <v>18797515.455232803</v>
      </c>
      <c r="E16" s="213">
        <v>0.67700000000000005</v>
      </c>
      <c r="F16" s="322">
        <f t="shared" si="16"/>
        <v>7.7874387529580702E-2</v>
      </c>
      <c r="G16" s="251">
        <f ca="1">IFERROR(AVERAGEIFS(Projects!$J:$J,Projects!$I:$I,$C16),0)</f>
        <v>87.207197276345241</v>
      </c>
      <c r="H16" s="185">
        <f t="shared" ca="1" si="17"/>
        <v>546.80203278266015</v>
      </c>
      <c r="I16" s="185">
        <f t="shared" ca="1" si="18"/>
        <v>4238.2697876303782</v>
      </c>
      <c r="J16" s="187">
        <f ca="1">COUNTIFS(Projects!$J:$J,"&lt;&gt;""",Projects!$I:$I,$C16)</f>
        <v>1</v>
      </c>
      <c r="K16" s="175">
        <f>SUMIFS(Projects!$F:$F,Projects!$I:$I,$C16)</f>
        <v>18797515.455232803</v>
      </c>
      <c r="L16" s="175">
        <f>AVERAGEIFS(Projects!$F:$F,Projects!$I:$I,$C16)</f>
        <v>18797515.455232803</v>
      </c>
      <c r="M16" s="185">
        <f ca="1">IFERROR(SUMIFS(Projects!$K:$K,Projects!$I:$I,$C16),"")</f>
        <v>320.06331986416251</v>
      </c>
      <c r="N16" s="185">
        <f ca="1">SUMIFS(Projects!$L:$L,Projects!$I:$I,$C16)</f>
        <v>2267.3871291849764</v>
      </c>
      <c r="O16" s="185">
        <f ca="1">IFERROR(AVERAGEIFS(Projects!$K:$K,Projects!$I:$I,$C16),0)</f>
        <v>320.06331986416251</v>
      </c>
      <c r="P16" s="185">
        <f ca="1">IFERROR(AVERAGEIFS(Projects!$L:$L,Projects!$I:$I,$C16),0)</f>
        <v>2267.3871291849764</v>
      </c>
      <c r="Q16" s="175">
        <f t="shared" si="3"/>
        <v>18797515.455232803</v>
      </c>
      <c r="R16" s="177">
        <f t="shared" si="4"/>
        <v>0</v>
      </c>
      <c r="S16" s="183">
        <f>Q16/L16</f>
        <v>1</v>
      </c>
      <c r="T16" s="185">
        <f t="shared" ca="1" si="9"/>
        <v>226.73871291849764</v>
      </c>
      <c r="U16" s="185">
        <f t="shared" ca="1" si="10"/>
        <v>1970.8826584454016</v>
      </c>
      <c r="V16" s="255">
        <v>2026</v>
      </c>
      <c r="W16" s="255">
        <v>2028</v>
      </c>
      <c r="X16" s="94">
        <f t="shared" si="11"/>
        <v>0</v>
      </c>
      <c r="Y16" s="94">
        <f t="shared" si="11"/>
        <v>0</v>
      </c>
      <c r="Z16" s="94">
        <f t="shared" ca="1" si="11"/>
        <v>26.162159182903572</v>
      </c>
      <c r="AA16" s="94">
        <f t="shared" ca="1" si="11"/>
        <v>26.162159182903572</v>
      </c>
      <c r="AB16" s="94">
        <f t="shared" ca="1" si="11"/>
        <v>87.207197276345241</v>
      </c>
      <c r="AC16" s="94">
        <f t="shared" ca="1" si="11"/>
        <v>87.207197276345241</v>
      </c>
      <c r="AD16" s="94">
        <f t="shared" ca="1" si="6"/>
        <v>87.207197276345241</v>
      </c>
      <c r="AE16" s="94">
        <f t="shared" ca="1" si="6"/>
        <v>87.207197276345241</v>
      </c>
      <c r="AF16" s="94">
        <f t="shared" ca="1" si="6"/>
        <v>87.207197276345241</v>
      </c>
      <c r="AG16" s="94">
        <f t="shared" ca="1" si="6"/>
        <v>87.207197276345241</v>
      </c>
      <c r="AH16" s="94">
        <f t="shared" ca="1" si="6"/>
        <v>87.207197276345241</v>
      </c>
      <c r="AI16" s="94">
        <f t="shared" ca="1" si="6"/>
        <v>87.207197276345241</v>
      </c>
      <c r="AJ16" s="94">
        <f t="shared" ca="1" si="6"/>
        <v>87.207197276345241</v>
      </c>
      <c r="AK16" s="94">
        <f t="shared" ca="1" si="6"/>
        <v>87.207197276345241</v>
      </c>
      <c r="AL16" s="94">
        <f t="shared" ca="1" si="6"/>
        <v>87.207197276345241</v>
      </c>
      <c r="AM16" s="94">
        <f t="shared" ca="1" si="6"/>
        <v>87.207197276345241</v>
      </c>
      <c r="AN16" s="94">
        <f t="shared" ca="1" si="6"/>
        <v>87.207197276345241</v>
      </c>
      <c r="AO16" s="94">
        <f t="shared" ca="1" si="6"/>
        <v>87.207197276345241</v>
      </c>
      <c r="AP16" s="94">
        <f t="shared" ca="1" si="6"/>
        <v>87.207197276345241</v>
      </c>
      <c r="AQ16" s="94">
        <f t="shared" ca="1" si="6"/>
        <v>87.207197276345241</v>
      </c>
      <c r="AR16" s="94">
        <f t="shared" ca="1" si="6"/>
        <v>87.207197276345241</v>
      </c>
      <c r="AS16" s="94">
        <f t="shared" ca="1" si="6"/>
        <v>87.207197276345241</v>
      </c>
      <c r="AT16" s="94">
        <f t="shared" ca="1" si="6"/>
        <v>87.207197276345241</v>
      </c>
      <c r="AU16" s="94">
        <f t="shared" ca="1" si="6"/>
        <v>87.207197276345241</v>
      </c>
      <c r="AV16" s="94">
        <f t="shared" ca="1" si="6"/>
        <v>87.207197276345241</v>
      </c>
      <c r="AW16" s="94">
        <f t="shared" ca="1" si="6"/>
        <v>87.207197276345241</v>
      </c>
    </row>
    <row r="17" spans="1:49" x14ac:dyDescent="0.2">
      <c r="A17" s="227" t="str">
        <f>INDEX(Lists!$B$3:$B$20,MATCH(C17,Lists!$D$3:$D$20,0))</f>
        <v>Modernization</v>
      </c>
      <c r="B17" s="222" t="str">
        <f>INDEX(Lists!$C$3:$C$20,MATCH(C17,Lists!$D$3:$D$20,0))</f>
        <v>Building-Public Transit</v>
      </c>
      <c r="C17" s="223" t="str">
        <f>Lists!$D16</f>
        <v>Bike Share-EXAMPLE</v>
      </c>
      <c r="D17" s="214">
        <f t="shared" si="1"/>
        <v>8968386.2511672005</v>
      </c>
      <c r="E17" s="215">
        <f>(100%-E16)</f>
        <v>0.32299999999999995</v>
      </c>
      <c r="F17" s="322">
        <f t="shared" si="16"/>
        <v>3.7154249884866417E-2</v>
      </c>
      <c r="G17" s="251">
        <f ca="1">IFERROR(AVERAGEIFS(Projects!$J:$J,Projects!$I:$I,$C17),0)</f>
        <v>119.91348083390287</v>
      </c>
      <c r="H17" s="185">
        <f t="shared" ref="H17" ca="1" si="20">M17+T17</f>
        <v>2598.8275821122324</v>
      </c>
      <c r="I17" s="185">
        <f t="shared" ref="I17" ca="1" si="21">N17+U17</f>
        <v>19689.269719623742</v>
      </c>
      <c r="J17" s="187">
        <f ca="1">COUNTIFS(Projects!$J:$J,"&lt;&gt;""",Projects!$I:$I,$C17)</f>
        <v>1</v>
      </c>
      <c r="K17" s="175">
        <f>SUMIFS(Projects!$F:$F,Projects!$I:$I,$C17)</f>
        <v>1456119.9010780265</v>
      </c>
      <c r="L17" s="175">
        <f>AVERAGEIFS(Projects!$F:$F,Projects!$I:$I,$C17)</f>
        <v>1456119.9010780265</v>
      </c>
      <c r="M17" s="185">
        <f ca="1">IFERROR(SUMIFS(Projects!$K:$K,Projects!$I:$I,$C17),"")</f>
        <v>678.57426278399987</v>
      </c>
      <c r="N17" s="185">
        <f ca="1">SUMIFS(Projects!$L:$L,Projects!$I:$I,$C17)</f>
        <v>2997.8370208475717</v>
      </c>
      <c r="O17" s="185">
        <f ca="1">IFERROR(AVERAGEIFS(Projects!$K:$K,Projects!$I:$I,$C17),0)</f>
        <v>678.57426278399987</v>
      </c>
      <c r="P17" s="185">
        <f ca="1">IFERROR(AVERAGEIFS(Projects!$L:$L,Projects!$I:$I,$C17),0)</f>
        <v>2997.8370208475717</v>
      </c>
      <c r="Q17" s="175">
        <f t="shared" si="3"/>
        <v>8968386.2511672005</v>
      </c>
      <c r="R17" s="177">
        <f t="shared" si="4"/>
        <v>0</v>
      </c>
      <c r="S17" s="183">
        <f t="shared" ref="S17" si="22">Q17/L17</f>
        <v>6.1590987421623238</v>
      </c>
      <c r="T17" s="185">
        <f t="shared" ca="1" si="9"/>
        <v>1920.2533193282325</v>
      </c>
      <c r="U17" s="185">
        <f t="shared" ca="1" si="10"/>
        <v>16691.432698776171</v>
      </c>
      <c r="V17" s="255">
        <v>2026</v>
      </c>
      <c r="W17" s="255">
        <v>2028</v>
      </c>
      <c r="X17" s="94">
        <f t="shared" si="11"/>
        <v>0</v>
      </c>
      <c r="Y17" s="94">
        <f t="shared" si="11"/>
        <v>0</v>
      </c>
      <c r="Z17" s="94">
        <f t="shared" ca="1" si="11"/>
        <v>221.56769069171912</v>
      </c>
      <c r="AA17" s="94">
        <f t="shared" ca="1" si="11"/>
        <v>221.56769069171912</v>
      </c>
      <c r="AB17" s="94">
        <f t="shared" ca="1" si="11"/>
        <v>738.55896897239711</v>
      </c>
      <c r="AC17" s="94">
        <f t="shared" ca="1" si="11"/>
        <v>738.55896897239711</v>
      </c>
      <c r="AD17" s="94">
        <f t="shared" ref="AD17:AW19" ca="1" si="23">IF(AND(AD$3&lt;=$W17,AD$3&gt;$V17),$S17*$G17*$V$2,IF(AD$3&gt;$W17,$S17*$G17,0))</f>
        <v>738.55896897239711</v>
      </c>
      <c r="AE17" s="94">
        <f t="shared" ca="1" si="23"/>
        <v>738.55896897239711</v>
      </c>
      <c r="AF17" s="94">
        <f t="shared" ca="1" si="23"/>
        <v>738.55896897239711</v>
      </c>
      <c r="AG17" s="94">
        <f t="shared" ca="1" si="23"/>
        <v>738.55896897239711</v>
      </c>
      <c r="AH17" s="94">
        <f t="shared" ca="1" si="23"/>
        <v>738.55896897239711</v>
      </c>
      <c r="AI17" s="94">
        <f t="shared" ca="1" si="23"/>
        <v>738.55896897239711</v>
      </c>
      <c r="AJ17" s="94">
        <f t="shared" ca="1" si="23"/>
        <v>738.55896897239711</v>
      </c>
      <c r="AK17" s="94">
        <f t="shared" ca="1" si="23"/>
        <v>738.55896897239711</v>
      </c>
      <c r="AL17" s="94">
        <f t="shared" ca="1" si="23"/>
        <v>738.55896897239711</v>
      </c>
      <c r="AM17" s="94">
        <f t="shared" ca="1" si="23"/>
        <v>738.55896897239711</v>
      </c>
      <c r="AN17" s="94">
        <f t="shared" ca="1" si="23"/>
        <v>738.55896897239711</v>
      </c>
      <c r="AO17" s="94">
        <f t="shared" ca="1" si="23"/>
        <v>738.55896897239711</v>
      </c>
      <c r="AP17" s="94">
        <f t="shared" ca="1" si="23"/>
        <v>738.55896897239711</v>
      </c>
      <c r="AQ17" s="94">
        <f t="shared" ca="1" si="23"/>
        <v>738.55896897239711</v>
      </c>
      <c r="AR17" s="94">
        <f t="shared" ca="1" si="23"/>
        <v>738.55896897239711</v>
      </c>
      <c r="AS17" s="94">
        <f t="shared" ca="1" si="23"/>
        <v>738.55896897239711</v>
      </c>
      <c r="AT17" s="94">
        <f t="shared" ca="1" si="23"/>
        <v>738.55896897239711</v>
      </c>
      <c r="AU17" s="94">
        <f t="shared" ca="1" si="23"/>
        <v>738.55896897239711</v>
      </c>
      <c r="AV17" s="94">
        <f t="shared" ca="1" si="23"/>
        <v>738.55896897239711</v>
      </c>
      <c r="AW17" s="94">
        <f t="shared" ca="1" si="23"/>
        <v>738.55896897239711</v>
      </c>
    </row>
    <row r="18" spans="1:49" x14ac:dyDescent="0.2">
      <c r="A18" s="227" t="str">
        <f>INDEX(Lists!$B$3:$B$20,MATCH(C18,Lists!$D$3:$D$20,0))</f>
        <v>Modernization</v>
      </c>
      <c r="B18" s="218" t="str">
        <f>INDEX(Lists!$C$3:$C$20,MATCH(C18,Lists!$D$3:$D$20,0))</f>
        <v>Manuf-EE</v>
      </c>
      <c r="C18" s="219" t="str">
        <f>Lists!$D17</f>
        <v>Ind EE</v>
      </c>
      <c r="D18" s="210">
        <f t="shared" si="1"/>
        <v>69414754.266000003</v>
      </c>
      <c r="E18" s="211">
        <v>1</v>
      </c>
      <c r="F18" s="322">
        <f t="shared" si="16"/>
        <v>0.28757159353611778</v>
      </c>
      <c r="G18" s="251">
        <f ca="1">IFERROR(AVERAGEIFS(Projects!$J:$J,Projects!$I:$I,$C18),0)</f>
        <v>641.06367086514899</v>
      </c>
      <c r="H18" s="185">
        <f ca="1">M18+T18</f>
        <v>240200.951467206</v>
      </c>
      <c r="I18" s="185">
        <f ca="1">N18+U18</f>
        <v>2070846.5040701423</v>
      </c>
      <c r="J18" s="187">
        <f ca="1">COUNTIFS(Projects!$J:$J,"&lt;&gt;""",Projects!$I:$I,$C18)</f>
        <v>1</v>
      </c>
      <c r="K18" s="175">
        <f>SUMIFS(Projects!$F:$F,Projects!$I:$I,$C18)</f>
        <v>486000</v>
      </c>
      <c r="L18" s="175">
        <f>AVERAGEIFS(Projects!$F:$F,Projects!$I:$I,$C18)</f>
        <v>486000</v>
      </c>
      <c r="M18" s="185">
        <f ca="1">IFERROR(SUMIFS(Projects!$K:$K,Projects!$I:$I,$C18),"")</f>
        <v>3805.7403178196164</v>
      </c>
      <c r="N18" s="185">
        <f ca="1">SUMIFS(Projects!$L:$L,Projects!$I:$I,$C18)</f>
        <v>16026.591771628724</v>
      </c>
      <c r="O18" s="185">
        <f ca="1">IFERROR(AVERAGEIFS(Projects!$K:$K,Projects!$I:$I,$C18),0)</f>
        <v>3805.7403178196164</v>
      </c>
      <c r="P18" s="185">
        <f ca="1">IFERROR(AVERAGEIFS(Projects!$L:$L,Projects!$I:$I,$C18),0)</f>
        <v>16026.591771628724</v>
      </c>
      <c r="Q18" s="175">
        <f t="shared" si="3"/>
        <v>68928754.266000003</v>
      </c>
      <c r="R18" s="177">
        <f t="shared" si="4"/>
        <v>7.0013933657047797E-3</v>
      </c>
      <c r="S18" s="183">
        <f t="shared" si="19"/>
        <v>141.82871248148149</v>
      </c>
      <c r="T18" s="185">
        <f ca="1">SUM(X18:AC18)</f>
        <v>236395.21114938639</v>
      </c>
      <c r="U18" s="185">
        <f t="shared" ca="1" si="10"/>
        <v>2054819.9122985136</v>
      </c>
      <c r="V18" s="255">
        <v>2026</v>
      </c>
      <c r="W18" s="255">
        <v>2028</v>
      </c>
      <c r="X18" s="94">
        <f t="shared" si="11"/>
        <v>0</v>
      </c>
      <c r="Y18" s="94">
        <f t="shared" si="11"/>
        <v>0</v>
      </c>
      <c r="Z18" s="94">
        <f ca="1">IF(AND(Z$3&lt;=$W18,Z$3&gt;$V18),$S18*$G18*$V$2,IF(Z$3&gt;$W18,$S18*$G18,0))</f>
        <v>27276.37051723689</v>
      </c>
      <c r="AA18" s="94">
        <f t="shared" ca="1" si="11"/>
        <v>27276.37051723689</v>
      </c>
      <c r="AB18" s="94">
        <f t="shared" ca="1" si="11"/>
        <v>90921.235057456302</v>
      </c>
      <c r="AC18" s="94">
        <f t="shared" ca="1" si="11"/>
        <v>90921.235057456302</v>
      </c>
      <c r="AD18" s="94">
        <f t="shared" ca="1" si="23"/>
        <v>90921.235057456302</v>
      </c>
      <c r="AE18" s="94">
        <f t="shared" ca="1" si="23"/>
        <v>90921.235057456302</v>
      </c>
      <c r="AF18" s="94">
        <f t="shared" ca="1" si="23"/>
        <v>90921.235057456302</v>
      </c>
      <c r="AG18" s="94">
        <f t="shared" ca="1" si="23"/>
        <v>90921.235057456302</v>
      </c>
      <c r="AH18" s="94">
        <f t="shared" ca="1" si="23"/>
        <v>90921.235057456302</v>
      </c>
      <c r="AI18" s="94">
        <f t="shared" ca="1" si="23"/>
        <v>90921.235057456302</v>
      </c>
      <c r="AJ18" s="94">
        <f t="shared" ca="1" si="23"/>
        <v>90921.235057456302</v>
      </c>
      <c r="AK18" s="94">
        <f t="shared" ca="1" si="23"/>
        <v>90921.235057456302</v>
      </c>
      <c r="AL18" s="94">
        <f t="shared" ca="1" si="23"/>
        <v>90921.235057456302</v>
      </c>
      <c r="AM18" s="94">
        <f t="shared" ca="1" si="23"/>
        <v>90921.235057456302</v>
      </c>
      <c r="AN18" s="94">
        <f t="shared" ca="1" si="23"/>
        <v>90921.235057456302</v>
      </c>
      <c r="AO18" s="94">
        <f t="shared" ca="1" si="23"/>
        <v>90921.235057456302</v>
      </c>
      <c r="AP18" s="94">
        <f t="shared" ca="1" si="23"/>
        <v>90921.235057456302</v>
      </c>
      <c r="AQ18" s="94">
        <f t="shared" ca="1" si="23"/>
        <v>90921.235057456302</v>
      </c>
      <c r="AR18" s="94">
        <f t="shared" ca="1" si="23"/>
        <v>90921.235057456302</v>
      </c>
      <c r="AS18" s="94">
        <f t="shared" ca="1" si="23"/>
        <v>90921.235057456302</v>
      </c>
      <c r="AT18" s="94">
        <f t="shared" ca="1" si="23"/>
        <v>90921.235057456302</v>
      </c>
      <c r="AU18" s="94">
        <f t="shared" ca="1" si="23"/>
        <v>90921.235057456302</v>
      </c>
      <c r="AV18" s="94">
        <f t="shared" ca="1" si="23"/>
        <v>90921.235057456302</v>
      </c>
      <c r="AW18" s="94">
        <f t="shared" ca="1" si="23"/>
        <v>90921.235057456302</v>
      </c>
    </row>
    <row r="19" spans="1:49" x14ac:dyDescent="0.2">
      <c r="A19" s="228" t="str">
        <f>INDEX(Lists!$B$3:$B$20,MATCH(C19,Lists!$D$3:$D$20,0))</f>
        <v>Modernization</v>
      </c>
      <c r="B19" s="218" t="str">
        <f>INDEX(Lists!$C$3:$C$20,MATCH(C19,Lists!$D$3:$D$20,0))</f>
        <v>Manuf-Solar</v>
      </c>
      <c r="C19" s="219" t="str">
        <f>Lists!$D18</f>
        <v>Ind Solar</v>
      </c>
      <c r="D19" s="210">
        <f t="shared" si="1"/>
        <v>23138251.422000002</v>
      </c>
      <c r="E19" s="211">
        <v>1</v>
      </c>
      <c r="F19" s="322">
        <f t="shared" si="16"/>
        <v>9.5857197845372583E-2</v>
      </c>
      <c r="G19" s="251">
        <f ca="1">IFERROR(AVERAGEIFS(Projects!$J:$J,Projects!$I:$I,$C19),0)</f>
        <v>3982.1890953564066</v>
      </c>
      <c r="H19" s="185">
        <f t="shared" ca="1" si="17"/>
        <v>16954.774713575542</v>
      </c>
      <c r="I19" s="185">
        <f ca="1">N19+U19</f>
        <v>148325.75772744018</v>
      </c>
      <c r="J19" s="187">
        <f ca="1">COUNTIFS(Projects!$J:$J,"&lt;&gt;""",Projects!$I:$I,$C19)</f>
        <v>1</v>
      </c>
      <c r="K19" s="175">
        <f>SUMIFS(Projects!$F:$F,Projects!$I:$I,$C19)</f>
        <v>13816695</v>
      </c>
      <c r="L19" s="175">
        <f>AVERAGEIFS(Projects!$F:$F,Projects!$I:$I,$C19)</f>
        <v>13816695</v>
      </c>
      <c r="M19" s="185">
        <f ca="1">IFERROR(SUMIFS(Projects!$K:$K,Projects!$I:$I,$C19),"")</f>
        <v>9969.5643668074808</v>
      </c>
      <c r="N19" s="185">
        <f ca="1">SUMIFS(Projects!$L:$L,Projects!$I:$I,$C19)</f>
        <v>87608.160097840941</v>
      </c>
      <c r="O19" s="185">
        <f ca="1">IFERROR(AVERAGEIFS(Projects!$K:$K,Projects!$I:$I,$C19),0)</f>
        <v>9969.5643668074808</v>
      </c>
      <c r="P19" s="185">
        <f ca="1">IFERROR(AVERAGEIFS(Projects!$L:$L,Projects!$I:$I,$C19),0)</f>
        <v>87608.160097840941</v>
      </c>
      <c r="Q19" s="175">
        <f t="shared" si="3"/>
        <v>9321556.4220000021</v>
      </c>
      <c r="R19" s="177">
        <f t="shared" si="4"/>
        <v>0.5971365228948543</v>
      </c>
      <c r="S19" s="183">
        <f t="shared" si="19"/>
        <v>0.67465891242442577</v>
      </c>
      <c r="T19" s="185">
        <f t="shared" ca="1" si="9"/>
        <v>6985.210346768059</v>
      </c>
      <c r="U19" s="185">
        <f t="shared" ca="1" si="10"/>
        <v>60717.597629599251</v>
      </c>
      <c r="V19" s="255">
        <v>2026</v>
      </c>
      <c r="W19" s="255">
        <v>2028</v>
      </c>
      <c r="X19" s="94">
        <f t="shared" si="11"/>
        <v>0</v>
      </c>
      <c r="Y19" s="94">
        <f t="shared" si="11"/>
        <v>0</v>
      </c>
      <c r="Z19" s="94">
        <f t="shared" ca="1" si="11"/>
        <v>805.98580924246835</v>
      </c>
      <c r="AA19" s="94">
        <f t="shared" ca="1" si="11"/>
        <v>805.98580924246835</v>
      </c>
      <c r="AB19" s="94">
        <f t="shared" ca="1" si="11"/>
        <v>2686.6193641415612</v>
      </c>
      <c r="AC19" s="94">
        <f t="shared" ca="1" si="11"/>
        <v>2686.6193641415612</v>
      </c>
      <c r="AD19" s="94">
        <f t="shared" ca="1" si="23"/>
        <v>2686.6193641415612</v>
      </c>
      <c r="AE19" s="94">
        <f t="shared" ca="1" si="23"/>
        <v>2686.6193641415612</v>
      </c>
      <c r="AF19" s="94">
        <f t="shared" ca="1" si="23"/>
        <v>2686.6193641415612</v>
      </c>
      <c r="AG19" s="94">
        <f t="shared" ca="1" si="23"/>
        <v>2686.6193641415612</v>
      </c>
      <c r="AH19" s="94">
        <f t="shared" ca="1" si="23"/>
        <v>2686.6193641415612</v>
      </c>
      <c r="AI19" s="94">
        <f t="shared" ca="1" si="23"/>
        <v>2686.6193641415612</v>
      </c>
      <c r="AJ19" s="94">
        <f t="shared" ca="1" si="23"/>
        <v>2686.6193641415612</v>
      </c>
      <c r="AK19" s="94">
        <f t="shared" ca="1" si="23"/>
        <v>2686.6193641415612</v>
      </c>
      <c r="AL19" s="94">
        <f t="shared" ca="1" si="23"/>
        <v>2686.6193641415612</v>
      </c>
      <c r="AM19" s="94">
        <f t="shared" ca="1" si="23"/>
        <v>2686.6193641415612</v>
      </c>
      <c r="AN19" s="94">
        <f t="shared" ca="1" si="23"/>
        <v>2686.6193641415612</v>
      </c>
      <c r="AO19" s="94">
        <f t="shared" ca="1" si="23"/>
        <v>2686.6193641415612</v>
      </c>
      <c r="AP19" s="94">
        <f t="shared" ca="1" si="23"/>
        <v>2686.6193641415612</v>
      </c>
      <c r="AQ19" s="94">
        <f t="shared" ca="1" si="23"/>
        <v>2686.6193641415612</v>
      </c>
      <c r="AR19" s="94">
        <f t="shared" ca="1" si="23"/>
        <v>2686.6193641415612</v>
      </c>
      <c r="AS19" s="94">
        <f t="shared" ca="1" si="23"/>
        <v>2686.6193641415612</v>
      </c>
      <c r="AT19" s="94">
        <f t="shared" ca="1" si="23"/>
        <v>2686.6193641415612</v>
      </c>
      <c r="AU19" s="94">
        <f t="shared" ca="1" si="23"/>
        <v>2686.6193641415612</v>
      </c>
      <c r="AV19" s="94">
        <f t="shared" ca="1" si="23"/>
        <v>2686.6193641415612</v>
      </c>
      <c r="AW19" s="94">
        <f t="shared" ca="1" si="23"/>
        <v>2686.6193641415612</v>
      </c>
    </row>
    <row r="20" spans="1:49" x14ac:dyDescent="0.2">
      <c r="D20" s="125"/>
      <c r="F20" s="343">
        <f t="shared" si="16"/>
        <v>0</v>
      </c>
      <c r="K20" s="175"/>
      <c r="L20" s="321"/>
      <c r="U20" s="185"/>
      <c r="V20" s="185"/>
    </row>
    <row r="21" spans="1:49" ht="12" x14ac:dyDescent="0.25">
      <c r="A21" s="33" t="s">
        <v>50</v>
      </c>
      <c r="B21" t="s">
        <v>51</v>
      </c>
      <c r="D21" s="125">
        <v>198982718</v>
      </c>
      <c r="F21" s="125"/>
      <c r="K21" s="174"/>
      <c r="L21" s="167"/>
      <c r="N21" s="126"/>
      <c r="O21" s="126"/>
    </row>
    <row r="22" spans="1:49" ht="12" x14ac:dyDescent="0.25">
      <c r="A22" s="33" t="s">
        <v>50</v>
      </c>
      <c r="B22" t="s">
        <v>52</v>
      </c>
      <c r="D22" s="125">
        <v>25176978</v>
      </c>
      <c r="F22" s="125"/>
      <c r="G22" s="234"/>
      <c r="H22" s="167"/>
      <c r="I22" s="167"/>
      <c r="J22" s="234"/>
      <c r="K22" s="234"/>
      <c r="L22" s="167"/>
      <c r="S22" t="s">
        <v>542</v>
      </c>
      <c r="X22" s="1" t="s">
        <v>53</v>
      </c>
    </row>
    <row r="23" spans="1:49" ht="12" x14ac:dyDescent="0.25">
      <c r="A23" s="33" t="s">
        <v>50</v>
      </c>
      <c r="B23" s="168" t="s">
        <v>54</v>
      </c>
      <c r="C23" s="168" t="s">
        <v>551</v>
      </c>
      <c r="D23" s="169">
        <f>D21-D22</f>
        <v>173805740</v>
      </c>
      <c r="E23" t="b">
        <f>SUMIFS(D24:D27,C24:C27,C24)=D23</f>
        <v>1</v>
      </c>
      <c r="F23" s="252" t="s">
        <v>14</v>
      </c>
      <c r="G23" s="147"/>
      <c r="H23" s="315"/>
      <c r="I23" s="315"/>
      <c r="J23" s="316"/>
      <c r="K23" s="252" t="s">
        <v>14</v>
      </c>
      <c r="L23" s="167"/>
      <c r="N23" s="126"/>
      <c r="O23" s="126"/>
      <c r="R23" s="338"/>
      <c r="S23" s="338" t="s">
        <v>140</v>
      </c>
      <c r="T23" s="324">
        <f t="shared" ref="T23" ca="1" si="24">SUM(X23:AC23)</f>
        <v>51676.390961302764</v>
      </c>
      <c r="U23" s="324">
        <f t="shared" ref="U23" ca="1" si="25">SUM(X23:AW23)</f>
        <v>287303.61709942215</v>
      </c>
      <c r="V23" s="1" t="s">
        <v>142</v>
      </c>
      <c r="X23" s="94">
        <f>SUM(X4:X8,Provided!K16,Lands!K18,Lands!K29,Transit!K38,Transit!K63,Solar!K32)</f>
        <v>-1.8927666000000001</v>
      </c>
      <c r="Y23" s="94">
        <f>SUM(Y4:Y8,Provided!L16,Lands!L18,Lands!L29,Transit!L38,Transit!L63,Solar!L32)</f>
        <v>197.70682955598238</v>
      </c>
      <c r="Z23" s="94">
        <f ca="1">SUM(Z4:Z8,Provided!M16,Lands!M18,Lands!M29,Transit!M38,Transit!M63,Solar!M32)</f>
        <v>12699.487664111137</v>
      </c>
      <c r="AA23" s="94">
        <f ca="1">SUM(AA4:AA8,Provided!N16,Lands!N18,Lands!N29,Transit!N38,Transit!N63,Solar!N32)</f>
        <v>11761.709389275558</v>
      </c>
      <c r="AB23" s="94">
        <f ca="1">SUM(AB4:AB8,Provided!O16,Lands!O18,Lands!O29,Transit!O38,Transit!O63,Solar!O32)</f>
        <v>14207.890334612457</v>
      </c>
      <c r="AC23" s="94">
        <f ca="1">SUM(AC4:AC8,Provided!P16,Lands!P18,Lands!P29,Transit!P38,Transit!P63,Solar!P32)</f>
        <v>12811.489510347628</v>
      </c>
      <c r="AD23" s="94">
        <f ca="1">SUM(AD4:AD8,Provided!Q16,Lands!Q18,Lands!Q29,Transit!Q38,Transit!Q63,Solar!Q32)</f>
        <v>12533.249338323047</v>
      </c>
      <c r="AE23" s="94">
        <f ca="1">SUM(AE4:AE8,Provided!R16,Lands!R18,Lands!R29,Transit!R38,Transit!R63,Solar!R32)</f>
        <v>12106.400353608467</v>
      </c>
      <c r="AF23" s="94">
        <f ca="1">SUM(AF4:AF8,Provided!S16,Lands!S18,Lands!S29,Transit!S38,Transit!S63,Solar!S32)</f>
        <v>11967.695057014578</v>
      </c>
      <c r="AG23" s="94">
        <f ca="1">SUM(AG4:AG8,Provided!T16,Lands!T18,Lands!T29,Transit!T38,Transit!T63,Solar!T32)</f>
        <v>11618.327820200058</v>
      </c>
      <c r="AH23" s="94">
        <f ca="1">SUM(AH4:AH8,Provided!U16,Lands!U18,Lands!U29,Transit!U38,Transit!U63,Solar!U32)</f>
        <v>11555.769407005249</v>
      </c>
      <c r="AI23" s="94">
        <f ca="1">SUM(AI4:AI8,Provided!V16,Lands!V18,Lands!V29,Transit!V38,Transit!V63,Solar!V32)</f>
        <v>11867.741112936827</v>
      </c>
      <c r="AJ23" s="94">
        <f ca="1">SUM(AJ4:AJ8,Provided!W16,Lands!W18,Lands!W29,Transit!W38,Transit!W63,Solar!W32)</f>
        <v>12029.504148838201</v>
      </c>
      <c r="AK23" s="94">
        <f ca="1">SUM(AK4:AK8,Provided!X16,Lands!X18,Lands!X29,Transit!X38,Transit!X63,Solar!X32)</f>
        <v>12135.12192663633</v>
      </c>
      <c r="AL23" s="94">
        <f ca="1">SUM(AL4:AL8,Provided!Y16,Lands!Y18,Lands!Y29,Transit!Y38,Transit!Y63,Solar!Y32)</f>
        <v>11949.263493242017</v>
      </c>
      <c r="AM23" s="94">
        <f ca="1">SUM(AM4:AM8,Provided!Z16,Lands!Z18,Lands!Z29,Transit!Z38,Transit!Z63,Solar!Z32)</f>
        <v>11872.750769775816</v>
      </c>
      <c r="AN23" s="94">
        <f ca="1">SUM(AN4:AN8,Provided!AA16,Lands!AA18,Lands!AA29,Transit!AA38,Transit!AA63,Solar!AA32)</f>
        <v>11953.60686802696</v>
      </c>
      <c r="AO23" s="94">
        <f ca="1">SUM(AO4:AO8,Provided!AB16,Lands!AB18,Lands!AB29,Transit!AB38,Transit!AB63,Solar!AB32)</f>
        <v>11972.034052617159</v>
      </c>
      <c r="AP23" s="94">
        <f ca="1">SUM(AP4:AP8,Provided!AC16,Lands!AC18,Lands!AC29,Transit!AC38,Transit!AC63,Solar!AC32)</f>
        <v>11920.965934281739</v>
      </c>
      <c r="AQ23" s="94">
        <f ca="1">SUM(AQ4:AQ8,Provided!AD16,Lands!AD18,Lands!AD29,Transit!AD38,Transit!AD63,Solar!AD32)</f>
        <v>11935.060333510653</v>
      </c>
      <c r="AR23" s="94">
        <f ca="1">SUM(AR4:AR8,Provided!AE16,Lands!AE18,Lands!AE29,Transit!AE38,Transit!AE63,Solar!AE32)</f>
        <v>11633.455171198279</v>
      </c>
      <c r="AS23" s="94">
        <f ca="1">SUM(AS4:AS8,Provided!AF16,Lands!AF18,Lands!AF29,Transit!AF38,Transit!AF63,Solar!AF32)</f>
        <v>11420.018048998747</v>
      </c>
      <c r="AT23" s="94">
        <f ca="1">SUM(AT4:AT8,Provided!AG16,Lands!AG18,Lands!AG29,Transit!AG38,Transit!AG63,Solar!AG32)</f>
        <v>11449.482742202568</v>
      </c>
      <c r="AU23" s="94">
        <f ca="1">SUM(AU4:AU8,Provided!AH16,Lands!AH18,Lands!AH29,Transit!AH38,Transit!AH63,Solar!AH32)</f>
        <v>11379.335535469156</v>
      </c>
      <c r="AV23" s="94">
        <f ca="1">SUM(AV4:AV8,Provided!AI16,Lands!AI18,Lands!AI29,Transit!AI38,Transit!AI63,Solar!AI32)</f>
        <v>11304.495380737493</v>
      </c>
      <c r="AW23" s="94">
        <f ca="1">SUM(AW4:AW8,Provided!AJ16,Lands!AJ18,Lands!AJ29,Transit!AJ38,Transit!AJ63,Solar!AJ32)</f>
        <v>11022.948643496096</v>
      </c>
    </row>
    <row r="24" spans="1:49" ht="12" x14ac:dyDescent="0.25">
      <c r="A24" s="33" t="s">
        <v>50</v>
      </c>
      <c r="B24" s="172" t="s">
        <v>55</v>
      </c>
      <c r="C24" s="132" t="s">
        <v>56</v>
      </c>
      <c r="D24" s="126">
        <f>D$23*E24</f>
        <v>69522296</v>
      </c>
      <c r="E24" s="127">
        <v>0.4</v>
      </c>
      <c r="F24" s="249"/>
      <c r="G24" s="249" t="s">
        <v>57</v>
      </c>
      <c r="H24" s="180"/>
      <c r="I24" s="180"/>
      <c r="J24" s="249"/>
      <c r="K24" s="234"/>
      <c r="L24" s="167"/>
      <c r="R24" s="338"/>
      <c r="S24" s="338"/>
      <c r="T24" s="325"/>
      <c r="U24" s="325"/>
      <c r="V24" s="325"/>
      <c r="X24" s="326">
        <f>X23</f>
        <v>-1.8927666000000001</v>
      </c>
      <c r="Y24" s="326">
        <f>X24+Y23</f>
        <v>195.81406295598239</v>
      </c>
      <c r="Z24" s="326">
        <f t="shared" ref="Z24:AW24" ca="1" si="26">Y24+Z23</f>
        <v>12895.301727067119</v>
      </c>
      <c r="AA24" s="326">
        <f t="shared" ca="1" si="26"/>
        <v>24657.011116342677</v>
      </c>
      <c r="AB24" s="326">
        <f t="shared" ca="1" si="26"/>
        <v>38864.901450955134</v>
      </c>
      <c r="AC24" s="326">
        <f t="shared" ca="1" si="26"/>
        <v>51676.390961302764</v>
      </c>
      <c r="AD24" s="326">
        <f t="shared" ca="1" si="26"/>
        <v>64209.640299625811</v>
      </c>
      <c r="AE24" s="326">
        <f t="shared" ca="1" si="26"/>
        <v>76316.040653234275</v>
      </c>
      <c r="AF24" s="326">
        <f t="shared" ca="1" si="26"/>
        <v>88283.735710248846</v>
      </c>
      <c r="AG24" s="326">
        <f t="shared" ca="1" si="26"/>
        <v>99902.063530448911</v>
      </c>
      <c r="AH24" s="326">
        <f t="shared" ca="1" si="26"/>
        <v>111457.83293745416</v>
      </c>
      <c r="AI24" s="326">
        <f t="shared" ca="1" si="26"/>
        <v>123325.57405039099</v>
      </c>
      <c r="AJ24" s="326">
        <f t="shared" ca="1" si="26"/>
        <v>135355.0781992292</v>
      </c>
      <c r="AK24" s="326">
        <f t="shared" ca="1" si="26"/>
        <v>147490.20012586552</v>
      </c>
      <c r="AL24" s="326">
        <f t="shared" ca="1" si="26"/>
        <v>159439.46361910753</v>
      </c>
      <c r="AM24" s="326">
        <f t="shared" ca="1" si="26"/>
        <v>171312.21438888335</v>
      </c>
      <c r="AN24" s="326">
        <f t="shared" ca="1" si="26"/>
        <v>183265.82125691031</v>
      </c>
      <c r="AO24" s="326">
        <f t="shared" ca="1" si="26"/>
        <v>195237.85530952745</v>
      </c>
      <c r="AP24" s="326">
        <f t="shared" ca="1" si="26"/>
        <v>207158.82124380919</v>
      </c>
      <c r="AQ24" s="326">
        <f t="shared" ca="1" si="26"/>
        <v>219093.88157731984</v>
      </c>
      <c r="AR24" s="326">
        <f t="shared" ca="1" si="26"/>
        <v>230727.33674851811</v>
      </c>
      <c r="AS24" s="326">
        <f t="shared" ca="1" si="26"/>
        <v>242147.35479751686</v>
      </c>
      <c r="AT24" s="326">
        <f t="shared" ca="1" si="26"/>
        <v>253596.83753971942</v>
      </c>
      <c r="AU24" s="326">
        <f t="shared" ca="1" si="26"/>
        <v>264976.17307518859</v>
      </c>
      <c r="AV24" s="326">
        <f t="shared" ca="1" si="26"/>
        <v>276280.66845592606</v>
      </c>
      <c r="AW24" s="326">
        <f t="shared" ca="1" si="26"/>
        <v>287303.61709942215</v>
      </c>
    </row>
    <row r="25" spans="1:49" ht="12" x14ac:dyDescent="0.25">
      <c r="A25" s="33" t="s">
        <v>50</v>
      </c>
      <c r="B25" s="172" t="s">
        <v>58</v>
      </c>
      <c r="C25" s="132" t="s">
        <v>56</v>
      </c>
      <c r="D25" s="126">
        <f>D$23*E25</f>
        <v>52141722</v>
      </c>
      <c r="E25" s="127">
        <v>0.3</v>
      </c>
      <c r="F25" s="249"/>
      <c r="G25" s="249" t="s">
        <v>59</v>
      </c>
      <c r="H25" s="180"/>
      <c r="I25" s="180"/>
      <c r="J25" s="249"/>
      <c r="K25" s="234"/>
      <c r="L25" s="167"/>
      <c r="R25" s="338"/>
      <c r="S25" s="338"/>
      <c r="T25" s="334"/>
      <c r="U25" s="334"/>
      <c r="V25" s="1"/>
      <c r="X25" s="333"/>
      <c r="Y25" s="333"/>
      <c r="Z25" s="333"/>
      <c r="AA25" s="333"/>
      <c r="AB25" s="333"/>
      <c r="AC25" s="333"/>
      <c r="AD25" s="333"/>
      <c r="AE25" s="333"/>
      <c r="AF25" s="333"/>
      <c r="AG25" s="333"/>
      <c r="AH25" s="333"/>
      <c r="AI25" s="333"/>
      <c r="AJ25" s="333"/>
      <c r="AK25" s="333"/>
      <c r="AL25" s="333"/>
      <c r="AM25" s="333"/>
      <c r="AN25" s="333"/>
      <c r="AO25" s="333"/>
      <c r="AP25" s="333"/>
      <c r="AQ25" s="333"/>
      <c r="AR25" s="333"/>
      <c r="AS25" s="333"/>
      <c r="AT25" s="333"/>
      <c r="AU25" s="333"/>
      <c r="AV25" s="333"/>
      <c r="AW25" s="333"/>
    </row>
    <row r="26" spans="1:49" ht="12" x14ac:dyDescent="0.25">
      <c r="A26" s="33" t="s">
        <v>50</v>
      </c>
      <c r="B26" s="172" t="s">
        <v>48</v>
      </c>
      <c r="C26" s="132" t="s">
        <v>56</v>
      </c>
      <c r="D26" s="126">
        <f>D$23*E26</f>
        <v>34761148</v>
      </c>
      <c r="E26" s="127">
        <v>0.2</v>
      </c>
      <c r="F26" s="249"/>
      <c r="G26" s="249" t="s">
        <v>60</v>
      </c>
      <c r="H26" s="180"/>
      <c r="I26" s="180"/>
      <c r="J26" s="249"/>
      <c r="K26" s="234"/>
      <c r="L26" s="167"/>
      <c r="T26" s="334"/>
      <c r="U26" s="334"/>
    </row>
    <row r="27" spans="1:49" ht="12" x14ac:dyDescent="0.25">
      <c r="A27" s="33" t="s">
        <v>50</v>
      </c>
      <c r="B27" s="172" t="s">
        <v>49</v>
      </c>
      <c r="C27" s="132" t="s">
        <v>56</v>
      </c>
      <c r="D27" s="126">
        <f>D$23*E27</f>
        <v>17380574</v>
      </c>
      <c r="E27" s="127">
        <v>0.1</v>
      </c>
      <c r="F27" s="249"/>
      <c r="G27" s="249" t="s">
        <v>61</v>
      </c>
      <c r="H27" s="180"/>
      <c r="I27" s="180"/>
      <c r="J27" s="249"/>
      <c r="K27" s="234"/>
      <c r="L27" s="167"/>
    </row>
    <row r="28" spans="1:49" x14ac:dyDescent="0.2">
      <c r="G28" s="180"/>
      <c r="H28" s="180"/>
      <c r="I28" s="180"/>
      <c r="J28" s="249"/>
      <c r="K28" s="234"/>
      <c r="L28" s="167"/>
    </row>
    <row r="29" spans="1:49" ht="12" x14ac:dyDescent="0.25">
      <c r="A29" s="166" t="s">
        <v>62</v>
      </c>
      <c r="B29" s="5" t="s">
        <v>51</v>
      </c>
      <c r="D29" s="125">
        <v>274986969.64200002</v>
      </c>
      <c r="G29" s="147"/>
      <c r="H29" s="147"/>
      <c r="I29" s="147"/>
      <c r="J29" s="248"/>
      <c r="K29" s="234"/>
      <c r="L29" s="167"/>
      <c r="N29" s="126"/>
      <c r="O29" s="126"/>
    </row>
    <row r="30" spans="1:49" x14ac:dyDescent="0.2">
      <c r="A30" s="166" t="s">
        <v>62</v>
      </c>
      <c r="B30" s="5" t="s">
        <v>52</v>
      </c>
      <c r="D30" s="125">
        <v>33604455.422000021</v>
      </c>
      <c r="G30" s="180"/>
      <c r="H30" s="180"/>
      <c r="I30" s="180"/>
      <c r="J30" s="249"/>
      <c r="K30" s="234"/>
      <c r="L30" s="167"/>
    </row>
    <row r="31" spans="1:49" ht="12" x14ac:dyDescent="0.25">
      <c r="A31" s="166" t="s">
        <v>62</v>
      </c>
      <c r="B31" s="173" t="s">
        <v>54</v>
      </c>
      <c r="C31" s="170" t="s">
        <v>551</v>
      </c>
      <c r="D31" s="171">
        <f>D29-D30</f>
        <v>241382514.22</v>
      </c>
      <c r="E31" t="b">
        <f>SUMIFS(D32:D37,C32:C37,C32)=D31</f>
        <v>1</v>
      </c>
      <c r="F31" s="252" t="s">
        <v>6</v>
      </c>
      <c r="G31" s="147"/>
      <c r="H31" s="315"/>
      <c r="I31" s="315"/>
      <c r="J31" s="316"/>
      <c r="K31" s="252" t="s">
        <v>6</v>
      </c>
      <c r="L31" s="167"/>
      <c r="N31" s="126"/>
      <c r="O31" s="126"/>
      <c r="R31" s="338"/>
      <c r="S31" s="338" t="s">
        <v>140</v>
      </c>
      <c r="T31" s="324">
        <f t="shared" ref="T31" ca="1" si="27">SUM(X31:AC31)</f>
        <v>360984.05392969842</v>
      </c>
      <c r="U31" s="324">
        <f t="shared" ref="U31" ca="1" si="28">SUM(X31:AW31)</f>
        <v>2596635.5615126528</v>
      </c>
      <c r="V31" s="1" t="s">
        <v>142</v>
      </c>
      <c r="X31" s="94">
        <f>SUM(X9:X19,Transit!K82,Transit!K87,Transit!K98,Solar!K23,Solar!K39,EE!K25,EE!K92,EE!K97,EE!K109,EE!K147)</f>
        <v>-34.700720999999994</v>
      </c>
      <c r="Y31" s="94">
        <f>SUM(Y9:Y19,Transit!L82,Transit!L87,Transit!L98,Solar!L23,Solar!L39,EE!L25,EE!L92,EE!L97,EE!L109,EE!L147)</f>
        <v>16819.256552779181</v>
      </c>
      <c r="Z31" s="94">
        <f ca="1">SUM(Z9:Z19,Transit!M82,Transit!M87,Transit!M98,Solar!M23,Solar!M39,EE!M25,EE!M92,EE!M97,EE!M109,EE!M147)</f>
        <v>49551.277835570174</v>
      </c>
      <c r="AA31" s="94">
        <f ca="1">SUM(AA9:AA19,Transit!N82,Transit!N87,Transit!N98,Solar!N23,Solar!N39,EE!N25,EE!N92,EE!N97,EE!N109,EE!N147)</f>
        <v>48391.113731757549</v>
      </c>
      <c r="AB31" s="94">
        <f ca="1">SUM(AB9:AB19,Transit!O82,Transit!O87,Transit!O98,Solar!O23,Solar!O39,EE!O25,EE!O92,EE!O97,EE!O109,EE!O147)</f>
        <v>124436.96197875918</v>
      </c>
      <c r="AC31" s="94">
        <f ca="1">SUM(AC9:AC19,Transit!P82,Transit!P87,Transit!P98,Solar!P23,Solar!P39,EE!P25,EE!P92,EE!P97,EE!P109,EE!P147)</f>
        <v>121820.14455183235</v>
      </c>
      <c r="AD31" s="94">
        <f ca="1">SUM(AD9:AD19,Transit!Q82,Transit!Q87,Transit!Q98,Solar!Q23,Solar!Q39,EE!Q25,EE!Q92,EE!Q97,EE!Q109,EE!Q147)</f>
        <v>121297.23530034555</v>
      </c>
      <c r="AE31" s="94">
        <f ca="1">SUM(AE9:AE19,Transit!R82,Transit!R87,Transit!R98,Solar!R23,Solar!R39,EE!R25,EE!R92,EE!R97,EE!R109,EE!R147)</f>
        <v>120495.9831190863</v>
      </c>
      <c r="AF31" s="94">
        <f ca="1">SUM(AF9:AF19,Transit!S82,Transit!S87,Transit!S98,Solar!S23,Solar!S39,EE!S25,EE!S92,EE!S97,EE!S109,EE!S147)</f>
        <v>120234.4869821696</v>
      </c>
      <c r="AG31" s="94">
        <f ca="1">SUM(AG9:AG19,Transit!T82,Transit!T87,Transit!T98,Solar!T23,Solar!T39,EE!T25,EE!T92,EE!T97,EE!T109,EE!T147)</f>
        <v>119578.41319209142</v>
      </c>
      <c r="AH31" s="94">
        <f ca="1">SUM(AH9:AH19,Transit!U82,Transit!U87,Transit!U98,Solar!U23,Solar!U39,EE!U25,EE!U92,EE!U97,EE!U109,EE!U147)</f>
        <v>119459.59481963197</v>
      </c>
      <c r="AI31" s="94">
        <f ca="1">SUM(AI9:AI19,Transit!V82,Transit!V87,Transit!V98,Solar!V23,Solar!V39,EE!V25,EE!V92,EE!V97,EE!V109,EE!V147)</f>
        <v>113520.2286382899</v>
      </c>
      <c r="AJ31" s="94">
        <f ca="1">SUM(AJ9:AJ19,Transit!W82,Transit!W87,Transit!W98,Solar!W23,Solar!W39,EE!W25,EE!W92,EE!W97,EE!W109,EE!W147)</f>
        <v>108915.77695295919</v>
      </c>
      <c r="AK31" s="94">
        <f ca="1">SUM(AK9:AK19,Transit!X82,Transit!X87,Transit!X98,Solar!X23,Solar!X39,EE!X25,EE!X92,EE!X97,EE!X109,EE!X147)</f>
        <v>109000.39321295654</v>
      </c>
      <c r="AL31" s="94">
        <f ca="1">SUM(AL9:AL19,Transit!Y82,Transit!Y87,Transit!Y98,Solar!Y23,Solar!Y39,EE!Y25,EE!Y92,EE!Y97,EE!Y109,EE!Y147)</f>
        <v>108847.16760368182</v>
      </c>
      <c r="AM31" s="94">
        <f ca="1">SUM(AM9:AM19,Transit!Z82,Transit!Z87,Transit!Z98,Solar!Z23,Solar!Z39,EE!Z25,EE!Z92,EE!Z97,EE!Z109,EE!Z147)</f>
        <v>108783.19496459686</v>
      </c>
      <c r="AN31" s="94">
        <f ca="1">SUM(AN9:AN19,Transit!AA82,Transit!AA87,Transit!AA98,Solar!AA23,Solar!AA39,EE!AA25,EE!AA92,EE!AA97,EE!AA109,EE!AA147)</f>
        <v>108847.66454416278</v>
      </c>
      <c r="AO31" s="94">
        <f ca="1">SUM(AO9:AO19,Transit!AB82,Transit!AB87,Transit!AB98,Solar!AB23,Solar!AB39,EE!AB25,EE!AB92,EE!AB97,EE!AB109,EE!AB147)</f>
        <v>108861.20812521299</v>
      </c>
      <c r="AP31" s="94">
        <f ca="1">SUM(AP9:AP19,Transit!AC82,Transit!AC87,Transit!AC98,Solar!AC23,Solar!AC39,EE!AC25,EE!AC92,EE!AC97,EE!AC109,EE!AC147)</f>
        <v>108818.05880735058</v>
      </c>
      <c r="AQ31" s="94">
        <f ca="1">SUM(AQ9:AQ19,Transit!AD82,Transit!AD87,Transit!AD98,Solar!AD23,Solar!AD39,EE!AD25,EE!AD92,EE!AD97,EE!AD109,EE!AD147)</f>
        <v>108828.10526148426</v>
      </c>
      <c r="AR31" s="94">
        <f ca="1">SUM(AR9:AR19,Transit!AE82,Transit!AE87,Transit!AE98,Solar!AE23,Solar!AE39,EE!AE25,EE!AE92,EE!AE97,EE!AE109,EE!AE147)</f>
        <v>108580.54101215136</v>
      </c>
      <c r="AS31" s="94">
        <f ca="1">SUM(AS9:AS19,Transit!AF82,Transit!AF87,Transit!AF98,Solar!AF23,Solar!AF39,EE!AF25,EE!AF92,EE!AF97,EE!AF109,EE!AF147)</f>
        <v>108404.94549512175</v>
      </c>
      <c r="AT31" s="94">
        <f ca="1">SUM(AT9:AT19,Transit!AG82,Transit!AG87,Transit!AG98,Solar!AG23,Solar!AG39,EE!AG25,EE!AG92,EE!AG97,EE!AG109,EE!AG147)</f>
        <v>108427.59126334374</v>
      </c>
      <c r="AU31" s="94">
        <f ca="1">SUM(AU9:AU19,Transit!AH82,Transit!AH87,Transit!AH98,Solar!AH23,Solar!AH39,EE!AH25,EE!AH92,EE!AH97,EE!AH109,EE!AH147)</f>
        <v>108368.9658363912</v>
      </c>
      <c r="AV31" s="94">
        <f ca="1">SUM(AV9:AV19,Transit!AI82,Transit!AI87,Transit!AI98,Solar!AI23,Solar!AI39,EE!AI25,EE!AI92,EE!AI97,EE!AI109,EE!AI147)</f>
        <v>108306.52851926378</v>
      </c>
      <c r="AW31" s="94">
        <f ca="1">SUM(AW9:AW19,Transit!AJ82,Transit!AJ87,Transit!AJ98,Solar!AJ23,Solar!AJ39,EE!AJ25,EE!AJ92,EE!AJ97,EE!AJ109,EE!AJ147)</f>
        <v>108075.4239326628</v>
      </c>
    </row>
    <row r="32" spans="1:49" ht="12" x14ac:dyDescent="0.25">
      <c r="A32" s="166" t="s">
        <v>62</v>
      </c>
      <c r="B32" s="172" t="s">
        <v>9</v>
      </c>
      <c r="C32" s="132" t="s">
        <v>56</v>
      </c>
      <c r="D32" s="126">
        <v>10000000</v>
      </c>
      <c r="E32" t="s">
        <v>63</v>
      </c>
      <c r="G32" s="249" t="s">
        <v>65</v>
      </c>
      <c r="H32" s="180"/>
      <c r="I32" s="180"/>
      <c r="J32" s="249"/>
      <c r="K32" s="234"/>
      <c r="L32" s="167"/>
      <c r="R32" s="338"/>
      <c r="S32" s="338"/>
      <c r="T32" s="325"/>
      <c r="U32" s="325"/>
      <c r="V32" s="325"/>
      <c r="X32" s="326">
        <f>X31</f>
        <v>-34.700720999999994</v>
      </c>
      <c r="Y32" s="326">
        <f>X32+Y31</f>
        <v>16784.55583177918</v>
      </c>
      <c r="Z32" s="326">
        <f t="shared" ref="Z32" ca="1" si="29">Y32+Z31</f>
        <v>66335.833667349361</v>
      </c>
      <c r="AA32" s="326">
        <f t="shared" ref="AA32" ca="1" si="30">Z32+AA31</f>
        <v>114726.94739910691</v>
      </c>
      <c r="AB32" s="326">
        <f t="shared" ref="AB32" ca="1" si="31">AA32+AB31</f>
        <v>239163.90937786608</v>
      </c>
      <c r="AC32" s="326">
        <f t="shared" ref="AC32" ca="1" si="32">AB32+AC31</f>
        <v>360984.05392969842</v>
      </c>
      <c r="AD32" s="326">
        <f t="shared" ref="AD32" ca="1" si="33">AC32+AD31</f>
        <v>482281.289230044</v>
      </c>
      <c r="AE32" s="326">
        <f t="shared" ref="AE32" ca="1" si="34">AD32+AE31</f>
        <v>602777.27234913036</v>
      </c>
      <c r="AF32" s="326">
        <f t="shared" ref="AF32" ca="1" si="35">AE32+AF31</f>
        <v>723011.75933129992</v>
      </c>
      <c r="AG32" s="326">
        <f t="shared" ref="AG32" ca="1" si="36">AF32+AG31</f>
        <v>842590.17252339132</v>
      </c>
      <c r="AH32" s="326">
        <f t="shared" ref="AH32" ca="1" si="37">AG32+AH31</f>
        <v>962049.76734302333</v>
      </c>
      <c r="AI32" s="326">
        <f t="shared" ref="AI32" ca="1" si="38">AH32+AI31</f>
        <v>1075569.9959813133</v>
      </c>
      <c r="AJ32" s="326">
        <f t="shared" ref="AJ32" ca="1" si="39">AI32+AJ31</f>
        <v>1184485.7729342724</v>
      </c>
      <c r="AK32" s="326">
        <f t="shared" ref="AK32" ca="1" si="40">AJ32+AK31</f>
        <v>1293486.166147229</v>
      </c>
      <c r="AL32" s="326">
        <f t="shared" ref="AL32" ca="1" si="41">AK32+AL31</f>
        <v>1402333.3337509108</v>
      </c>
      <c r="AM32" s="326">
        <f t="shared" ref="AM32" ca="1" si="42">AL32+AM31</f>
        <v>1511116.5287155076</v>
      </c>
      <c r="AN32" s="326">
        <f t="shared" ref="AN32" ca="1" si="43">AM32+AN31</f>
        <v>1619964.1932596704</v>
      </c>
      <c r="AO32" s="326">
        <f t="shared" ref="AO32" ca="1" si="44">AN32+AO31</f>
        <v>1728825.4013848833</v>
      </c>
      <c r="AP32" s="326">
        <f t="shared" ref="AP32" ca="1" si="45">AO32+AP31</f>
        <v>1837643.4601922338</v>
      </c>
      <c r="AQ32" s="326">
        <f t="shared" ref="AQ32" ca="1" si="46">AP32+AQ31</f>
        <v>1946471.565453718</v>
      </c>
      <c r="AR32" s="326">
        <f t="shared" ref="AR32" ca="1" si="47">AQ32+AR31</f>
        <v>2055052.1064658694</v>
      </c>
      <c r="AS32" s="326">
        <f t="shared" ref="AS32" ca="1" si="48">AR32+AS31</f>
        <v>2163457.0519609912</v>
      </c>
      <c r="AT32" s="326">
        <f t="shared" ref="AT32" ca="1" si="49">AS32+AT31</f>
        <v>2271884.6432243348</v>
      </c>
      <c r="AU32" s="326">
        <f t="shared" ref="AU32" ca="1" si="50">AT32+AU31</f>
        <v>2380253.6090607261</v>
      </c>
      <c r="AV32" s="326">
        <f t="shared" ref="AV32" ca="1" si="51">AU32+AV31</f>
        <v>2488560.1375799901</v>
      </c>
      <c r="AW32" s="326">
        <f t="shared" ref="AW32" ca="1" si="52">AV32+AW31</f>
        <v>2596635.5615126528</v>
      </c>
    </row>
    <row r="33" spans="1:49" ht="12" x14ac:dyDescent="0.25">
      <c r="A33" s="166" t="s">
        <v>62</v>
      </c>
      <c r="B33" s="172" t="s">
        <v>66</v>
      </c>
      <c r="C33" s="132" t="s">
        <v>56</v>
      </c>
      <c r="D33" s="126">
        <f>(D$31-D$32)*F33*E33</f>
        <v>83297705.119200006</v>
      </c>
      <c r="E33" s="127">
        <v>0.6</v>
      </c>
      <c r="F33" s="127">
        <v>0.6</v>
      </c>
      <c r="G33" s="249" t="s">
        <v>67</v>
      </c>
      <c r="H33" s="180"/>
      <c r="I33" s="180"/>
      <c r="J33" s="249"/>
      <c r="K33" s="234"/>
      <c r="L33" s="167"/>
      <c r="R33" s="338"/>
      <c r="S33" s="338"/>
      <c r="T33" s="334"/>
      <c r="U33" s="334"/>
      <c r="V33" s="1"/>
      <c r="X33" s="333"/>
      <c r="Y33" s="333"/>
      <c r="Z33" s="333"/>
      <c r="AA33" s="333"/>
      <c r="AB33" s="333"/>
      <c r="AC33" s="333"/>
      <c r="AD33" s="333"/>
      <c r="AE33" s="333"/>
      <c r="AF33" s="333"/>
      <c r="AG33" s="333"/>
      <c r="AH33" s="333"/>
      <c r="AI33" s="333"/>
      <c r="AJ33" s="333"/>
      <c r="AK33" s="333"/>
      <c r="AL33" s="333"/>
      <c r="AM33" s="333"/>
      <c r="AN33" s="333"/>
      <c r="AO33" s="333"/>
      <c r="AP33" s="333"/>
      <c r="AQ33" s="333"/>
      <c r="AR33" s="333"/>
      <c r="AS33" s="333"/>
      <c r="AT33" s="333"/>
      <c r="AU33" s="333"/>
      <c r="AV33" s="333"/>
      <c r="AW33" s="333"/>
    </row>
    <row r="34" spans="1:49" ht="12" x14ac:dyDescent="0.25">
      <c r="A34" s="166" t="s">
        <v>62</v>
      </c>
      <c r="B34" s="172" t="s">
        <v>68</v>
      </c>
      <c r="C34" s="132" t="s">
        <v>56</v>
      </c>
      <c r="D34" s="126">
        <f>(D$31-D$32)*F34*E34</f>
        <v>27765901.706400003</v>
      </c>
      <c r="E34" s="127">
        <v>0.2</v>
      </c>
      <c r="F34" s="127">
        <v>0.6</v>
      </c>
      <c r="G34" s="249" t="s">
        <v>69</v>
      </c>
      <c r="H34" s="180"/>
      <c r="I34" s="180"/>
      <c r="J34" s="249"/>
      <c r="K34" s="234"/>
      <c r="L34" s="167"/>
    </row>
    <row r="35" spans="1:49" ht="12" x14ac:dyDescent="0.25">
      <c r="A35" s="166" t="s">
        <v>62</v>
      </c>
      <c r="B35" s="172" t="s">
        <v>70</v>
      </c>
      <c r="C35" s="132" t="s">
        <v>56</v>
      </c>
      <c r="D35" s="126">
        <f>(D$31-D$32)*F35*E35</f>
        <v>27765901.706400003</v>
      </c>
      <c r="E35" s="127">
        <v>0.2</v>
      </c>
      <c r="F35" s="127">
        <v>0.6</v>
      </c>
      <c r="G35" s="249" t="s">
        <v>71</v>
      </c>
      <c r="H35" s="180"/>
      <c r="I35" s="180"/>
      <c r="J35" s="249"/>
      <c r="K35" s="234"/>
      <c r="L35" s="167"/>
      <c r="X35" s="327"/>
      <c r="Y35" s="327"/>
      <c r="Z35" s="327"/>
      <c r="AA35" s="327"/>
      <c r="AB35" s="327"/>
      <c r="AC35" s="327"/>
      <c r="AD35" s="327"/>
      <c r="AE35" s="327"/>
      <c r="AF35" s="327"/>
      <c r="AG35" s="327"/>
      <c r="AH35" s="327"/>
      <c r="AI35" s="327"/>
      <c r="AJ35" s="327"/>
      <c r="AK35" s="327"/>
      <c r="AL35" s="327"/>
      <c r="AM35" s="327"/>
      <c r="AN35" s="327"/>
      <c r="AO35" s="327"/>
      <c r="AP35" s="327"/>
      <c r="AQ35" s="327"/>
      <c r="AR35" s="327"/>
      <c r="AS35" s="327"/>
      <c r="AT35" s="327"/>
      <c r="AU35" s="327"/>
      <c r="AV35" s="327"/>
      <c r="AW35" s="327"/>
    </row>
    <row r="36" spans="1:49" ht="12" x14ac:dyDescent="0.25">
      <c r="A36" s="166" t="s">
        <v>62</v>
      </c>
      <c r="B36" s="172" t="s">
        <v>72</v>
      </c>
      <c r="C36" s="132" t="s">
        <v>56</v>
      </c>
      <c r="D36" s="126">
        <f>(D$31-D$32)*F36*E36</f>
        <v>69414754.266000003</v>
      </c>
      <c r="E36" s="127">
        <v>0.75</v>
      </c>
      <c r="F36" s="127">
        <v>0.4</v>
      </c>
      <c r="G36" s="249" t="s">
        <v>73</v>
      </c>
      <c r="H36" s="180"/>
      <c r="I36" s="180"/>
      <c r="J36" s="249"/>
      <c r="K36" s="234"/>
      <c r="L36" s="167"/>
    </row>
    <row r="37" spans="1:49" ht="12" x14ac:dyDescent="0.25">
      <c r="A37" s="166" t="s">
        <v>62</v>
      </c>
      <c r="B37" s="172" t="s">
        <v>74</v>
      </c>
      <c r="C37" s="132" t="s">
        <v>56</v>
      </c>
      <c r="D37" s="126">
        <f>(D$31-D$32)*F37*E37</f>
        <v>23138251.422000002</v>
      </c>
      <c r="E37" s="127">
        <v>0.25</v>
      </c>
      <c r="F37" s="127">
        <v>0.4</v>
      </c>
      <c r="G37" s="249" t="s">
        <v>75</v>
      </c>
      <c r="H37" s="180"/>
      <c r="I37" s="180"/>
      <c r="J37" s="249"/>
      <c r="K37" s="234"/>
      <c r="L37" s="167"/>
      <c r="X37" s="327"/>
    </row>
    <row r="38" spans="1:49" ht="12" x14ac:dyDescent="0.25">
      <c r="A38" s="166"/>
      <c r="B38" s="172"/>
      <c r="C38" s="132"/>
      <c r="D38" s="126"/>
      <c r="E38" s="127"/>
      <c r="F38" s="127"/>
      <c r="G38" s="249"/>
      <c r="H38" s="180"/>
      <c r="I38" s="180"/>
      <c r="J38" s="249"/>
      <c r="K38" s="234"/>
      <c r="L38" s="167"/>
      <c r="X38" s="327"/>
    </row>
    <row r="39" spans="1:49" x14ac:dyDescent="0.2">
      <c r="B39" s="5"/>
      <c r="J39" s="250"/>
      <c r="X39" s="327"/>
    </row>
    <row r="40" spans="1:49" ht="12" x14ac:dyDescent="0.25">
      <c r="A40" s="1" t="s">
        <v>545</v>
      </c>
      <c r="D40" t="s">
        <v>544</v>
      </c>
    </row>
    <row r="41" spans="1:49" x14ac:dyDescent="0.2">
      <c r="A41" s="226" t="str">
        <f>INDEX(Lists!$B$3:$B$20,MATCH(C41,Lists!$D$3:$D$20,0))</f>
        <v>Open Space</v>
      </c>
      <c r="B41" s="220" t="str">
        <f>INDEX(Lists!$C$3:$C$20,MATCH(C41,Lists!$D$3:$D$20,0))</f>
        <v>Brownfield</v>
      </c>
      <c r="C41" s="329" t="str">
        <f>C4</f>
        <v>Brownfield Solar</v>
      </c>
      <c r="D41" s="10">
        <f>Solar!F27+(Solar!F27*S4)</f>
        <v>14.188223673469388</v>
      </c>
      <c r="E41" t="s">
        <v>549</v>
      </c>
    </row>
    <row r="42" spans="1:49" x14ac:dyDescent="0.2">
      <c r="A42" s="227" t="str">
        <f>INDEX(Lists!$B$3:$B$20,MATCH(C42,Lists!$D$3:$D$20,0))</f>
        <v>Open Space</v>
      </c>
      <c r="B42" s="222" t="str">
        <f>INDEX(Lists!$C$3:$C$20,MATCH(C42,Lists!$D$3:$D$20,0))</f>
        <v>Brownfield</v>
      </c>
      <c r="C42" s="330" t="str">
        <f t="shared" ref="C42:C56" si="53">C5</f>
        <v>Brownfield Trees-EXAMPLE</v>
      </c>
      <c r="D42" s="26">
        <f>Lands!F22*S5</f>
        <v>1520.800225</v>
      </c>
      <c r="E42" t="s">
        <v>540</v>
      </c>
    </row>
    <row r="43" spans="1:49" x14ac:dyDescent="0.2">
      <c r="A43" s="227" t="str">
        <f>INDEX(Lists!$B$3:$B$20,MATCH(C43,Lists!$D$3:$D$20,0))</f>
        <v>Open Space</v>
      </c>
      <c r="B43" s="218" t="str">
        <f>INDEX(Lists!$C$3:$C$20,MATCH(C43,Lists!$D$3:$D$20,0))</f>
        <v>Trail</v>
      </c>
      <c r="C43" s="331" t="str">
        <f t="shared" si="53"/>
        <v>WalkBike</v>
      </c>
      <c r="D43" s="340">
        <f>(Transit!F43+(Transit!F43*Programs!S6))</f>
        <v>22.798026893549387</v>
      </c>
      <c r="E43" t="s">
        <v>555</v>
      </c>
    </row>
    <row r="44" spans="1:49" x14ac:dyDescent="0.2">
      <c r="A44" s="227" t="str">
        <f>INDEX(Lists!$B$3:$B$20,MATCH(C44,Lists!$D$3:$D$20,0))</f>
        <v>Open Space</v>
      </c>
      <c r="B44" s="218" t="str">
        <f>INDEX(Lists!$C$3:$C$20,MATCH(C44,Lists!$D$3:$D$20,0))</f>
        <v>Wetland</v>
      </c>
      <c r="C44" s="331" t="str">
        <f t="shared" si="53"/>
        <v>Carbon Storage</v>
      </c>
      <c r="D44" s="26">
        <f>Lands!F16+(Lands!F16*S7)</f>
        <v>1507.2584498644985</v>
      </c>
      <c r="E44" t="s">
        <v>540</v>
      </c>
    </row>
    <row r="45" spans="1:49" x14ac:dyDescent="0.2">
      <c r="A45" s="228" t="str">
        <f>INDEX(Lists!$B$3:$B$20,MATCH(C45,Lists!$D$3:$D$20,0))</f>
        <v>Open Space</v>
      </c>
      <c r="B45" s="218" t="str">
        <f>INDEX(Lists!$C$3:$C$20,MATCH(C45,Lists!$D$3:$D$20,0))</f>
        <v>Reforest</v>
      </c>
      <c r="C45" s="331" t="str">
        <f t="shared" si="53"/>
        <v>Tree Planting</v>
      </c>
      <c r="D45" s="26">
        <f>Provided!I13+Transit!F54+(AVERAGE(Provided!I13,Transit!F54)*S8)</f>
        <v>446.59265124970801</v>
      </c>
      <c r="E45" t="s">
        <v>540</v>
      </c>
    </row>
    <row r="46" spans="1:49" x14ac:dyDescent="0.2">
      <c r="A46" s="226" t="str">
        <f>INDEX(Lists!$B$3:$B$20,MATCH(C46,Lists!$D$3:$D$20,0))</f>
        <v>Modernization</v>
      </c>
      <c r="B46" s="220" t="str">
        <f>INDEX(Lists!$C$3:$C$20,MATCH(C46,Lists!$D$3:$D$20,0))</f>
        <v>Energy Insights Program</v>
      </c>
      <c r="C46" s="329" t="str">
        <f t="shared" si="53"/>
        <v>EIP Elec EE</v>
      </c>
      <c r="D46" s="26">
        <f>EE!L123+(EE!L123*S9)</f>
        <v>38475.240470252938</v>
      </c>
      <c r="E46" t="s">
        <v>537</v>
      </c>
      <c r="H46" t="s">
        <v>552</v>
      </c>
    </row>
    <row r="47" spans="1:49" x14ac:dyDescent="0.2">
      <c r="A47" s="227" t="str">
        <f>INDEX(Lists!$B$3:$B$20,MATCH(C47,Lists!$D$3:$D$20,0))</f>
        <v>Modernization</v>
      </c>
      <c r="B47" s="222" t="str">
        <f>INDEX(Lists!$C$3:$C$20,MATCH(C47,Lists!$D$3:$D$20,0))</f>
        <v>Energy Insights Program</v>
      </c>
      <c r="C47" s="330" t="str">
        <f t="shared" si="53"/>
        <v>EIP NG EE</v>
      </c>
      <c r="D47" s="26">
        <f>(EE!M134-EE!M139)+((EE!M134-EE!M139)*S10)</f>
        <v>178606.73972602742</v>
      </c>
      <c r="E47" t="s">
        <v>539</v>
      </c>
    </row>
    <row r="48" spans="1:49" x14ac:dyDescent="0.2">
      <c r="A48" s="224" t="str">
        <f>INDEX(Lists!$B$3:$B$20,MATCH(C48,Lists!$D$3:$D$20,0))</f>
        <v>Modernization</v>
      </c>
      <c r="B48" s="220" t="str">
        <f>INDEX(Lists!$C$3:$C$20,MATCH(C48,Lists!$D$3:$D$20,0))</f>
        <v>Building-Upgrades</v>
      </c>
      <c r="C48" s="329" t="str">
        <f t="shared" si="53"/>
        <v>Solar</v>
      </c>
      <c r="D48" s="10">
        <f>Solar!F13+Solar!F36+(AVERAGE(Solar!F13,Solar!F36)*S11)</f>
        <v>4.8937297747451058</v>
      </c>
      <c r="E48" t="s">
        <v>549</v>
      </c>
    </row>
    <row r="49" spans="1:8" x14ac:dyDescent="0.2">
      <c r="A49" s="227" t="str">
        <f>INDEX(Lists!$B$3:$B$20,MATCH(C49,Lists!$D$3:$D$20,0))</f>
        <v>Modernization</v>
      </c>
      <c r="B49" s="224" t="str">
        <f>INDEX(Lists!$C$3:$C$20,MATCH(C49,Lists!$D$3:$D$20,0))</f>
        <v>Building-Upgrades</v>
      </c>
      <c r="C49" s="332" t="str">
        <f t="shared" si="53"/>
        <v>HVAC EE</v>
      </c>
      <c r="D49" s="26">
        <f>SUM(EE!F17,EE!F31,EE!F45)+(AVERAGE(EE!F17,EE!F31,EE!F45)*S12)</f>
        <v>644.03897245024302</v>
      </c>
      <c r="E49" t="s">
        <v>539</v>
      </c>
      <c r="H49" t="s">
        <v>554</v>
      </c>
    </row>
    <row r="50" spans="1:8" x14ac:dyDescent="0.2">
      <c r="A50" s="227" t="str">
        <f>INDEX(Lists!$B$3:$B$20,MATCH(C50,Lists!$D$3:$D$20,0))</f>
        <v>Modernization</v>
      </c>
      <c r="B50" s="224" t="str">
        <f>INDEX(Lists!$C$3:$C$20,MATCH(C50,Lists!$D$3:$D$20,0))</f>
        <v>Building-Upgrades</v>
      </c>
      <c r="C50" s="332" t="str">
        <f t="shared" si="53"/>
        <v>LED EE</v>
      </c>
      <c r="D50" s="26">
        <f>(EE!L79-EE!L83)+((EE!L79-EE!L83)*S13)</f>
        <v>319.39181153037396</v>
      </c>
      <c r="E50" t="s">
        <v>537</v>
      </c>
    </row>
    <row r="51" spans="1:8" x14ac:dyDescent="0.2">
      <c r="A51" s="227" t="str">
        <f>INDEX(Lists!$B$3:$B$20,MATCH(C51,Lists!$D$3:$D$20,0))</f>
        <v>Modernization</v>
      </c>
      <c r="B51" s="222" t="str">
        <f>INDEX(Lists!$C$3:$C$20,MATCH(C51,Lists!$D$3:$D$20,0))</f>
        <v>Building-Upgrades</v>
      </c>
      <c r="C51" s="330" t="str">
        <f t="shared" si="53"/>
        <v>Windows EE</v>
      </c>
      <c r="D51" s="26">
        <f>(EE!L64-EE!L67)+((EE!L64-EE!L67)*S14)</f>
        <v>89.513966645470674</v>
      </c>
      <c r="E51" t="s">
        <v>539</v>
      </c>
    </row>
    <row r="52" spans="1:8" x14ac:dyDescent="0.2">
      <c r="A52" s="227" t="str">
        <f>INDEX(Lists!$B$3:$B$20,MATCH(C52,Lists!$D$3:$D$20,0))</f>
        <v>Modernization</v>
      </c>
      <c r="B52" s="218" t="str">
        <f>INDEX(Lists!$C$3:$C$20,MATCH(C52,Lists!$D$3:$D$20,0))</f>
        <v>Building-EV Infrastructure</v>
      </c>
      <c r="C52" s="331" t="str">
        <f t="shared" si="53"/>
        <v>EV-EXAMPLE</v>
      </c>
      <c r="D52" s="26">
        <f>ROUND(Transit!F91*S15,0)</f>
        <v>463</v>
      </c>
      <c r="E52" t="s">
        <v>550</v>
      </c>
    </row>
    <row r="53" spans="1:8" x14ac:dyDescent="0.2">
      <c r="A53" s="227" t="str">
        <f>INDEX(Lists!$B$3:$B$20,MATCH(C53,Lists!$D$3:$D$20,0))</f>
        <v>Modernization</v>
      </c>
      <c r="B53" s="220" t="str">
        <f>INDEX(Lists!$C$3:$C$20,MATCH(C53,Lists!$D$3:$D$20,0))</f>
        <v>Building-Public Transit</v>
      </c>
      <c r="C53" s="329" t="str">
        <f t="shared" si="53"/>
        <v>Hybrid Buses-EXAMPLE</v>
      </c>
      <c r="D53" s="26">
        <f>Transit!F79*S16</f>
        <v>21.993115075737453</v>
      </c>
      <c r="E53" t="s">
        <v>577</v>
      </c>
    </row>
    <row r="54" spans="1:8" x14ac:dyDescent="0.2">
      <c r="A54" s="227" t="str">
        <f>INDEX(Lists!$B$3:$B$20,MATCH(C54,Lists!$D$3:$D$20,0))</f>
        <v>Modernization</v>
      </c>
      <c r="B54" s="222" t="str">
        <f>INDEX(Lists!$C$3:$C$20,MATCH(C54,Lists!$D$3:$D$20,0))</f>
        <v>Building-Public Transit</v>
      </c>
      <c r="C54" s="330" t="str">
        <f t="shared" si="53"/>
        <v>Bike Share-EXAMPLE</v>
      </c>
      <c r="D54" s="26">
        <f>(240*Q17/L17)</f>
        <v>1478.1836981189576</v>
      </c>
      <c r="E54" t="s">
        <v>572</v>
      </c>
    </row>
    <row r="55" spans="1:8" x14ac:dyDescent="0.2">
      <c r="A55" s="227" t="str">
        <f>INDEX(Lists!$B$3:$B$20,MATCH(C55,Lists!$D$3:$D$20,0))</f>
        <v>Modernization</v>
      </c>
      <c r="B55" s="218" t="str">
        <f>INDEX(Lists!$C$3:$C$20,MATCH(C55,Lists!$D$3:$D$20,0))</f>
        <v>Manuf-EE</v>
      </c>
      <c r="C55" s="331" t="str">
        <f t="shared" si="53"/>
        <v>Ind EE</v>
      </c>
      <c r="D55" s="26">
        <f>EE!F104+(EE!F104*S18)</f>
        <v>996582.29688915808</v>
      </c>
      <c r="E55" t="s">
        <v>538</v>
      </c>
      <c r="H55" t="s">
        <v>554</v>
      </c>
    </row>
    <row r="56" spans="1:8" x14ac:dyDescent="0.2">
      <c r="A56" s="228" t="str">
        <f>INDEX(Lists!$B$3:$B$20,MATCH(C56,Lists!$D$3:$D$20,0))</f>
        <v>Modernization</v>
      </c>
      <c r="B56" s="218" t="str">
        <f>INDEX(Lists!$C$3:$C$20,MATCH(C56,Lists!$D$3:$D$20,0))</f>
        <v>Manuf-Solar</v>
      </c>
      <c r="C56" s="331" t="str">
        <f t="shared" si="53"/>
        <v>Ind Solar</v>
      </c>
      <c r="D56" s="10">
        <f>Solar!F20+(Solar!F20*S19)</f>
        <v>17.583918580456469</v>
      </c>
      <c r="E56" t="s">
        <v>549</v>
      </c>
    </row>
  </sheetData>
  <conditionalFormatting sqref="R4:R19">
    <cfRule type="cellIs" dxfId="0" priority="2" operator="greaterThan">
      <formula>1</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9A019-E2B9-482F-A389-BDE1C8164C2D}">
  <sheetPr>
    <tabColor theme="9"/>
    <pageSetUpPr fitToPage="1"/>
  </sheetPr>
  <dimension ref="A1:R30"/>
  <sheetViews>
    <sheetView zoomScaleNormal="100" workbookViewId="0">
      <pane xSplit="1" ySplit="1" topLeftCell="B2" activePane="bottomRight" state="frozen"/>
      <selection pane="topRight" activeCell="D1" sqref="D1"/>
      <selection pane="bottomLeft" activeCell="A2" sqref="A2"/>
      <selection pane="bottomRight"/>
    </sheetView>
  </sheetViews>
  <sheetFormatPr defaultColWidth="13" defaultRowHeight="10.199999999999999" x14ac:dyDescent="0.2"/>
  <cols>
    <col min="1" max="1" width="60.125" style="38" customWidth="1"/>
    <col min="2" max="2" width="15.25" style="44" customWidth="1"/>
    <col min="3" max="3" width="7.75" style="44" customWidth="1"/>
    <col min="4" max="7" width="10.75" style="44" customWidth="1"/>
    <col min="8" max="8" width="18.875" style="44" customWidth="1"/>
    <col min="9" max="9" width="21" style="38" customWidth="1"/>
    <col min="10" max="11" width="9.625" style="38" customWidth="1"/>
    <col min="12" max="12" width="10.125" style="38" customWidth="1"/>
    <col min="13" max="13" width="8.75" style="38" customWidth="1"/>
    <col min="14" max="14" width="21.75" style="38" customWidth="1"/>
    <col min="15" max="15" width="23.875" style="38" customWidth="1"/>
    <col min="16" max="16384" width="13" style="38"/>
  </cols>
  <sheetData>
    <row r="1" spans="1:18" ht="30.6" x14ac:dyDescent="0.2">
      <c r="A1" s="137" t="s">
        <v>76</v>
      </c>
      <c r="B1" s="138" t="s">
        <v>77</v>
      </c>
      <c r="C1" s="138" t="s">
        <v>78</v>
      </c>
      <c r="D1" s="138" t="s">
        <v>79</v>
      </c>
      <c r="E1" s="150" t="s">
        <v>80</v>
      </c>
      <c r="F1" s="151" t="s">
        <v>81</v>
      </c>
      <c r="G1" s="139" t="s">
        <v>25</v>
      </c>
      <c r="H1" s="139" t="s">
        <v>82</v>
      </c>
      <c r="I1" s="164" t="s">
        <v>27</v>
      </c>
      <c r="J1" s="178" t="s">
        <v>31</v>
      </c>
      <c r="K1" s="178" t="s">
        <v>32</v>
      </c>
      <c r="L1" s="178" t="s">
        <v>33</v>
      </c>
      <c r="M1" s="179" t="s">
        <v>83</v>
      </c>
      <c r="N1" s="37"/>
    </row>
    <row r="2" spans="1:18" s="39" customFormat="1" ht="20.399999999999999" x14ac:dyDescent="0.2">
      <c r="A2" s="301" t="s">
        <v>14</v>
      </c>
      <c r="B2" s="295"/>
      <c r="C2" s="296"/>
      <c r="D2" s="297"/>
      <c r="E2" s="297"/>
      <c r="F2" s="297"/>
      <c r="G2" s="297"/>
      <c r="H2" s="297"/>
      <c r="I2" s="298"/>
      <c r="J2" s="299"/>
      <c r="K2" s="299"/>
      <c r="L2" s="299"/>
      <c r="M2" s="300"/>
      <c r="N2" s="40"/>
      <c r="O2" s="40"/>
      <c r="P2" s="40"/>
      <c r="Q2" s="40"/>
      <c r="R2" s="40"/>
    </row>
    <row r="3" spans="1:18" s="39" customFormat="1" x14ac:dyDescent="0.2">
      <c r="A3" s="39" t="s">
        <v>15</v>
      </c>
      <c r="B3" s="41">
        <v>24500000</v>
      </c>
      <c r="C3" s="40">
        <v>2023</v>
      </c>
      <c r="D3" s="41">
        <f>IFERROR(B3*(INDEX(CPI!N:N,MATCH(2023,CPI!A:A,0))/INDEX(CPI!N:N,MATCH(C3,CPI!A:A,0))),"")</f>
        <v>24500000</v>
      </c>
      <c r="E3" s="41"/>
      <c r="F3" s="41">
        <f t="shared" ref="F3" si="0">IFERROR(MAX(0,D3-E3),D3)</f>
        <v>24500000</v>
      </c>
      <c r="G3" s="41" t="str">
        <f>INDEX(Lists!$B$3:$B$20,MATCH(H3,Lists!$C$3:$C$20,0))</f>
        <v>Open Space</v>
      </c>
      <c r="H3" s="41" t="str">
        <f>INDEX(Lists!$C$3:$C$20,MATCH(I3,Lists!$D$3:$D$20,0))</f>
        <v>Brownfield</v>
      </c>
      <c r="I3" s="136" t="s">
        <v>84</v>
      </c>
      <c r="J3" s="144">
        <f t="shared" ref="J3:J10" ca="1" si="1">IFERROR(IF(OR($I3="Excluded",$I3="TBD"),"",SUMIFS(INDIRECT("'"&amp;$M3&amp;"'!f:f"),INDIRECT("'"&amp;$M3&amp;"'!$A:$A"),$A3,INDIRECT("'"&amp;$M3&amp;"'!$b:$b"),$I3,INDIRECT("'"&amp;$M3&amp;"'!$c:$c"),"GHG")),"")</f>
        <v>6575.3937138142946</v>
      </c>
      <c r="K3" s="144">
        <f t="shared" ref="K3:K10" ca="1" si="2">IFERROR(IF(OR($I3="Excluded",$I3="TBD"),"",SUMIFS(INDIRECT("'"&amp;$M3&amp;"'!g:g"),INDIRECT("'"&amp;$M3&amp;"'!$A:$A"),$A3,INDIRECT("'"&amp;$M3&amp;"'!$b:$b"),$I3,INDIRECT("'"&amp;$M3&amp;"'!$c:$c"),"GHG")),"")</f>
        <v>36138.582696520956</v>
      </c>
      <c r="L3" s="144">
        <f t="shared" ref="L3:L10" ca="1" si="3">IFERROR(IF(OR($I3="Excluded",$I3="TBD"),"",SUMIFS(INDIRECT("'"&amp;$M3&amp;"'!h:h"),INDIRECT("'"&amp;$M3&amp;"'!$A:$A"),$A3,INDIRECT("'"&amp;$M3&amp;"'!$b:$b"),$I3,INDIRECT("'"&amp;$M3&amp;"'!$c:$c"),"GHG")),"")</f>
        <v>157809.44913154308</v>
      </c>
      <c r="M3" s="135" t="s">
        <v>85</v>
      </c>
      <c r="N3" s="40"/>
      <c r="O3" s="40"/>
      <c r="P3" s="40"/>
      <c r="Q3" s="40"/>
      <c r="R3" s="40"/>
    </row>
    <row r="4" spans="1:18" s="39" customFormat="1" x14ac:dyDescent="0.2">
      <c r="A4" s="39" t="s">
        <v>86</v>
      </c>
      <c r="B4" s="286">
        <f>(B8/Provided!$I$13)*Lands!$F$22</f>
        <v>1028571.4285714286</v>
      </c>
      <c r="C4" s="40">
        <v>2023</v>
      </c>
      <c r="D4" s="41">
        <f>IFERROR(B4*(INDEX(CPI!N:N,MATCH(2023,CPI!A:A,0))/INDEX(CPI!N:N,MATCH(C4,CPI!A:A,0))),"")</f>
        <v>1028571.4285714286</v>
      </c>
      <c r="E4" s="41"/>
      <c r="F4" s="41">
        <f t="shared" ref="F4" si="4">IFERROR(MAX(0,D4-E4),D4)</f>
        <v>1028571.4285714286</v>
      </c>
      <c r="G4" s="41" t="str">
        <f>INDEX(Lists!$B$3:$B$20,MATCH(H4,Lists!$C$3:$C$20,0))</f>
        <v>Open Space</v>
      </c>
      <c r="H4" s="41" t="str">
        <f>INDEX(Lists!$C$3:$C$20,MATCH(I4,Lists!$D$3:$D$20,0))</f>
        <v>Brownfield</v>
      </c>
      <c r="I4" s="136" t="s">
        <v>87</v>
      </c>
      <c r="J4" s="144">
        <f t="shared" ca="1" si="1"/>
        <v>54</v>
      </c>
      <c r="K4" s="144">
        <f t="shared" ca="1" si="2"/>
        <v>270</v>
      </c>
      <c r="L4" s="144">
        <f t="shared" ca="1" si="3"/>
        <v>1350</v>
      </c>
      <c r="M4" s="135" t="s">
        <v>88</v>
      </c>
      <c r="N4" s="40"/>
      <c r="O4" s="40"/>
      <c r="P4" s="40"/>
      <c r="Q4" s="40"/>
      <c r="R4" s="40"/>
    </row>
    <row r="5" spans="1:18" s="39" customFormat="1" x14ac:dyDescent="0.2">
      <c r="A5" s="39" t="s">
        <v>16</v>
      </c>
      <c r="B5" s="41">
        <v>6498740</v>
      </c>
      <c r="C5" s="40">
        <v>2023</v>
      </c>
      <c r="D5" s="41">
        <f>IFERROR(B5*(INDEX(CPI!N:N,MATCH(2023,CPI!A:A,0))/INDEX(CPI!N:N,MATCH(C5,CPI!A:A,0))),"")</f>
        <v>6498740</v>
      </c>
      <c r="E5" s="41"/>
      <c r="F5" s="41">
        <f t="shared" ref="F5:F30" si="5">IFERROR(MAX(0,D5-E5),D5)</f>
        <v>6498740</v>
      </c>
      <c r="G5" s="41" t="str">
        <f>INDEX(Lists!$B$3:$B$20,MATCH(H5,Lists!$C$3:$C$20,0))</f>
        <v>Open Space</v>
      </c>
      <c r="H5" s="41" t="str">
        <f>INDEX(Lists!$C$3:$C$20,MATCH(I5,Lists!$D$3:$D$20,0))</f>
        <v>Trail</v>
      </c>
      <c r="I5" s="136" t="s">
        <v>89</v>
      </c>
      <c r="J5" s="144">
        <f t="shared" ca="1" si="1"/>
        <v>13.346937456923079</v>
      </c>
      <c r="K5" s="144">
        <f t="shared" ca="1" si="2"/>
        <v>67.889861495999995</v>
      </c>
      <c r="L5" s="144">
        <f t="shared" ca="1" si="3"/>
        <v>347.02037388000008</v>
      </c>
      <c r="M5" s="135" t="s">
        <v>90</v>
      </c>
      <c r="N5" s="40"/>
      <c r="O5" s="40"/>
      <c r="P5" s="40"/>
      <c r="Q5" s="40"/>
      <c r="R5" s="40"/>
    </row>
    <row r="6" spans="1:18" s="39" customFormat="1" x14ac:dyDescent="0.2">
      <c r="A6" s="39" t="s">
        <v>17</v>
      </c>
      <c r="B6" s="292">
        <f>11.6*1000000</f>
        <v>11600000</v>
      </c>
      <c r="C6" s="40">
        <v>2023</v>
      </c>
      <c r="D6" s="41">
        <f>IFERROR(B6*(INDEX(CPI!N:N,MATCH(2023,CPI!A:A,0))/INDEX(CPI!N:N,MATCH(C6,CPI!A:A,0))),"")</f>
        <v>11600000</v>
      </c>
      <c r="E6" s="41"/>
      <c r="F6" s="41">
        <f t="shared" si="5"/>
        <v>11600000</v>
      </c>
      <c r="G6" s="41" t="str">
        <f>INDEX(Lists!$B$3:$B$20,MATCH(H6,Lists!$C$3:$C$20,0))</f>
        <v>See Below</v>
      </c>
      <c r="H6" s="41" t="str">
        <f>INDEX(Lists!$C$3:$C$20,MATCH(I6,Lists!$D$3:$D$20,0))</f>
        <v>See Below</v>
      </c>
      <c r="I6" s="136" t="s">
        <v>91</v>
      </c>
      <c r="J6" s="144">
        <f t="shared" ca="1" si="1"/>
        <v>112.09293663071996</v>
      </c>
      <c r="K6" s="144">
        <f t="shared" ca="1" si="2"/>
        <v>417.10589512799999</v>
      </c>
      <c r="L6" s="144">
        <f t="shared" ca="1" si="3"/>
        <v>2802.323415767999</v>
      </c>
      <c r="M6" s="135" t="s">
        <v>90</v>
      </c>
      <c r="N6" s="40"/>
      <c r="O6" s="40"/>
      <c r="P6" s="40"/>
      <c r="Q6" s="40"/>
      <c r="R6" s="40"/>
    </row>
    <row r="7" spans="1:18" s="39" customFormat="1" x14ac:dyDescent="0.2">
      <c r="A7" s="39" t="s">
        <v>92</v>
      </c>
      <c r="B7" s="291">
        <f>B6-B8</f>
        <v>8400000</v>
      </c>
      <c r="C7" s="40">
        <v>2023</v>
      </c>
      <c r="D7" s="41">
        <f>IFERROR(B7*(INDEX(CPI!N:N,MATCH(2023,CPI!A:A,0))/INDEX(CPI!N:N,MATCH(C7,CPI!A:A,0))),"")</f>
        <v>8400000</v>
      </c>
      <c r="E7" s="41"/>
      <c r="F7" s="41">
        <f t="shared" si="5"/>
        <v>8400000</v>
      </c>
      <c r="G7" s="41" t="str">
        <f>INDEX(Lists!$B$3:$B$20,MATCH(H7,Lists!$C$3:$C$20,0))</f>
        <v>Open Space</v>
      </c>
      <c r="H7" s="41" t="str">
        <f>INDEX(Lists!$C$3:$C$20,MATCH(I7,Lists!$D$3:$D$20,0))</f>
        <v>Trail</v>
      </c>
      <c r="I7" s="136" t="s">
        <v>89</v>
      </c>
      <c r="J7" s="144">
        <f t="shared" ca="1" si="1"/>
        <v>19.93293663072</v>
      </c>
      <c r="K7" s="144">
        <f t="shared" ca="1" si="2"/>
        <v>33.105895128000014</v>
      </c>
      <c r="L7" s="144">
        <f t="shared" ca="1" si="3"/>
        <v>498.32341576800002</v>
      </c>
      <c r="M7" s="135" t="s">
        <v>90</v>
      </c>
      <c r="N7" s="40"/>
      <c r="O7" s="40"/>
      <c r="P7" s="40"/>
      <c r="Q7" s="40"/>
      <c r="R7" s="40"/>
    </row>
    <row r="8" spans="1:18" s="39" customFormat="1" x14ac:dyDescent="0.2">
      <c r="A8" s="39" t="s">
        <v>93</v>
      </c>
      <c r="B8" s="291">
        <f>800000+400000+2000000</f>
        <v>3200000</v>
      </c>
      <c r="C8" s="40">
        <v>2023</v>
      </c>
      <c r="D8" s="41">
        <f>IFERROR(B8*(INDEX(CPI!N:N,MATCH(2023,CPI!A:A,0))/INDEX(CPI!N:N,MATCH(C8,CPI!A:A,0))),"")</f>
        <v>3200000</v>
      </c>
      <c r="E8" s="41"/>
      <c r="F8" s="41">
        <f t="shared" ref="F8" si="6">IFERROR(MAX(0,D8-E8),D8)</f>
        <v>3200000</v>
      </c>
      <c r="G8" s="41" t="str">
        <f>INDEX(Lists!$B$3:$B$20,MATCH(H8,Lists!$C$3:$C$20,0))</f>
        <v>Open Space</v>
      </c>
      <c r="H8" s="41" t="str">
        <f>INDEX(Lists!$C$3:$C$20,MATCH(I8,Lists!$D$3:$D$20,0))</f>
        <v>Reforest</v>
      </c>
      <c r="I8" s="136" t="s">
        <v>94</v>
      </c>
      <c r="J8" s="144">
        <f t="shared" ca="1" si="1"/>
        <v>96</v>
      </c>
      <c r="K8" s="144">
        <f t="shared" ca="1" si="2"/>
        <v>384</v>
      </c>
      <c r="L8" s="144">
        <f t="shared" ca="1" si="3"/>
        <v>2304</v>
      </c>
      <c r="M8" s="135" t="s">
        <v>90</v>
      </c>
      <c r="N8" s="40"/>
      <c r="O8" s="40"/>
      <c r="P8" s="40"/>
      <c r="Q8" s="40"/>
      <c r="R8" s="40"/>
    </row>
    <row r="9" spans="1:18" s="39" customFormat="1" x14ac:dyDescent="0.2">
      <c r="A9" s="39" t="s">
        <v>18</v>
      </c>
      <c r="B9" s="42">
        <v>5362000</v>
      </c>
      <c r="C9" s="40">
        <v>2023</v>
      </c>
      <c r="D9" s="41">
        <f>IFERROR(B9*(INDEX(CPI!N:N,MATCH(2023,CPI!A:A,0))/INDEX(CPI!N:N,MATCH(C9,CPI!A:A,0))),"")</f>
        <v>5362000</v>
      </c>
      <c r="E9" s="41"/>
      <c r="F9" s="41">
        <f t="shared" si="5"/>
        <v>5362000</v>
      </c>
      <c r="G9" s="41" t="str">
        <f>INDEX(Lists!$B$3:$B$20,MATCH(H9,Lists!$C$3:$C$20,0))</f>
        <v>Open Space</v>
      </c>
      <c r="H9" s="41" t="str">
        <f>INDEX(Lists!$C$3:$C$20,MATCH(I9,Lists!$D$3:$D$20,0))</f>
        <v>Reforest</v>
      </c>
      <c r="I9" s="136" t="s">
        <v>94</v>
      </c>
      <c r="J9" s="144">
        <f t="shared" ca="1" si="1"/>
        <v>168</v>
      </c>
      <c r="K9" s="144">
        <f t="shared" ca="1" si="2"/>
        <v>840</v>
      </c>
      <c r="L9" s="144">
        <f t="shared" ca="1" si="3"/>
        <v>4200</v>
      </c>
      <c r="M9" s="135" t="s">
        <v>95</v>
      </c>
      <c r="N9" s="40"/>
      <c r="O9" s="40"/>
      <c r="P9" s="40"/>
      <c r="Q9" s="40"/>
      <c r="R9" s="40"/>
    </row>
    <row r="10" spans="1:18" s="39" customFormat="1" x14ac:dyDescent="0.2">
      <c r="A10" s="39" t="s">
        <v>19</v>
      </c>
      <c r="B10" s="42">
        <v>1845000</v>
      </c>
      <c r="C10" s="40">
        <v>2023</v>
      </c>
      <c r="D10" s="41">
        <f>IFERROR(B10*(INDEX(CPI!N:N,MATCH(2023,CPI!A:A,0))/INDEX(CPI!N:N,MATCH(C10,CPI!A:A,0))),"")</f>
        <v>1845000</v>
      </c>
      <c r="E10" s="41"/>
      <c r="F10" s="41">
        <f t="shared" si="5"/>
        <v>1845000</v>
      </c>
      <c r="G10" s="41" t="str">
        <f>INDEX(Lists!$B$3:$B$20,MATCH(H10,Lists!$C$3:$C$20,0))</f>
        <v>Open Space</v>
      </c>
      <c r="H10" s="41" t="str">
        <f>INDEX(Lists!$C$3:$C$20,MATCH(I10,Lists!$D$3:$D$20,0))</f>
        <v>Wetland</v>
      </c>
      <c r="I10" s="136" t="s">
        <v>96</v>
      </c>
      <c r="J10" s="144">
        <f t="shared" ca="1" si="1"/>
        <v>21.687912936782382</v>
      </c>
      <c r="K10" s="144">
        <f t="shared" ca="1" si="2"/>
        <v>108.43956468391198</v>
      </c>
      <c r="L10" s="144">
        <f t="shared" ca="1" si="3"/>
        <v>542.19782341955954</v>
      </c>
      <c r="M10" s="135" t="s">
        <v>88</v>
      </c>
      <c r="N10" s="40"/>
      <c r="O10" s="40"/>
      <c r="P10" s="40"/>
      <c r="Q10" s="40"/>
      <c r="R10" s="40"/>
    </row>
    <row r="11" spans="1:18" s="39" customFormat="1" x14ac:dyDescent="0.2">
      <c r="A11" s="301" t="s">
        <v>6</v>
      </c>
      <c r="B11" s="295"/>
      <c r="C11" s="296"/>
      <c r="D11" s="297"/>
      <c r="E11" s="297"/>
      <c r="F11" s="297"/>
      <c r="G11" s="297"/>
      <c r="H11" s="297"/>
      <c r="I11" s="298"/>
      <c r="J11" s="299"/>
      <c r="K11" s="299"/>
      <c r="L11" s="299"/>
      <c r="M11" s="300"/>
      <c r="N11" s="40"/>
      <c r="O11" s="40"/>
      <c r="P11" s="40"/>
      <c r="Q11" s="40"/>
      <c r="R11" s="40"/>
    </row>
    <row r="12" spans="1:18" s="39" customFormat="1" x14ac:dyDescent="0.2">
      <c r="A12" s="39" t="s">
        <v>7</v>
      </c>
      <c r="B12" s="42">
        <v>5382960</v>
      </c>
      <c r="C12" s="40">
        <v>2023</v>
      </c>
      <c r="D12" s="41">
        <f>IFERROR(B12*(INDEX(CPI!N:N,MATCH(2023,CPI!A:A,0))/INDEX(CPI!N:N,MATCH(C12,CPI!A:A,0))),"")</f>
        <v>5382960</v>
      </c>
      <c r="E12" s="41"/>
      <c r="F12" s="41">
        <f>IFERROR(MAX(0,D12-E12),D12)</f>
        <v>5382960</v>
      </c>
      <c r="G12" s="41" t="str">
        <f>INDEX(Lists!$B$3:$B$20,MATCH(H12,Lists!$C$3:$C$20,0))</f>
        <v>Modernization</v>
      </c>
      <c r="H12" s="41" t="str">
        <f>INDEX(Lists!$C$3:$C$20,MATCH(I12,Lists!$D$3:$D$20,0))</f>
        <v>Building-Upgrades</v>
      </c>
      <c r="I12" s="136" t="s">
        <v>85</v>
      </c>
      <c r="J12" s="144">
        <f t="shared" ref="J12:J28" ca="1" si="7">IFERROR(IF(OR($I12="Excluded",$I12="TBD"),"",SUMIFS(INDIRECT("'"&amp;$M12&amp;"'!f:f"),INDIRECT("'"&amp;$M12&amp;"'!$A:$A"),$A12,INDIRECT("'"&amp;$M12&amp;"'!$b:$b"),$I12,INDIRECT("'"&amp;$M12&amp;"'!$c:$c"),"GHG")),"")</f>
        <v>857.36213910251342</v>
      </c>
      <c r="K12" s="144">
        <f t="shared" ref="K12:K28" ca="1" si="8">IFERROR(IF(OR($I12="Excluded",$I12="TBD"),"",SUMIFS(INDIRECT("'"&amp;$M12&amp;"'!g:g"),INDIRECT("'"&amp;$M12&amp;"'!$A:$A"),$A12,INDIRECT("'"&amp;$M12&amp;"'!$b:$b"),$I12,INDIRECT("'"&amp;$M12&amp;"'!$c:$c"),"GHG")),"")</f>
        <v>6185.361683482306</v>
      </c>
      <c r="L12" s="144">
        <f t="shared" ref="L12:L28" ca="1" si="9">IFERROR(IF(OR($I12="Excluded",$I12="TBD"),"",SUMIFS(INDIRECT("'"&amp;$M12&amp;"'!h:h"),INDIRECT("'"&amp;$M12&amp;"'!$A:$A"),$A12,INDIRECT("'"&amp;$M12&amp;"'!$b:$b"),$I12,INDIRECT("'"&amp;$M12&amp;"'!$c:$c"),"GHG")),"")</f>
        <v>21434.053477562837</v>
      </c>
      <c r="M12" s="135" t="s">
        <v>85</v>
      </c>
      <c r="N12" s="40"/>
      <c r="O12" s="40"/>
      <c r="P12" s="40"/>
      <c r="Q12" s="40"/>
      <c r="R12" s="40"/>
    </row>
    <row r="13" spans="1:18" s="39" customFormat="1" x14ac:dyDescent="0.2">
      <c r="A13" s="39" t="s">
        <v>13</v>
      </c>
      <c r="B13" s="246">
        <v>2100000</v>
      </c>
      <c r="C13" s="40">
        <v>2023</v>
      </c>
      <c r="D13" s="41">
        <f>IFERROR(B13*(INDEX(CPI!N:N,MATCH(2023,CPI!A:A,0))/INDEX(CPI!N:N,MATCH(C13,CPI!A:A,0))),"")</f>
        <v>2100000</v>
      </c>
      <c r="E13" s="41"/>
      <c r="F13" s="41">
        <f t="shared" si="5"/>
        <v>2100000</v>
      </c>
      <c r="G13" s="41" t="str">
        <f>INDEX(Lists!$B$3:$B$20,MATCH(H13,Lists!$C$3:$C$20,0))</f>
        <v>See Below</v>
      </c>
      <c r="H13" s="41" t="str">
        <f>INDEX(Lists!$C$3:$C$20,MATCH(I13,Lists!$D$3:$D$20,0))</f>
        <v>See Below</v>
      </c>
      <c r="I13" s="136" t="s">
        <v>91</v>
      </c>
      <c r="J13" s="144">
        <f t="shared" ca="1" si="7"/>
        <v>70.101622825556731</v>
      </c>
      <c r="K13" s="144">
        <f t="shared" ca="1" si="8"/>
        <v>513.19872333408716</v>
      </c>
      <c r="L13" s="144">
        <f t="shared" ca="1" si="9"/>
        <v>1822.642193464475</v>
      </c>
      <c r="M13" s="135" t="s">
        <v>97</v>
      </c>
      <c r="N13" s="40"/>
      <c r="O13" s="40"/>
      <c r="P13" s="40"/>
      <c r="Q13" s="40"/>
      <c r="R13" s="40"/>
    </row>
    <row r="14" spans="1:18" s="39" customFormat="1" x14ac:dyDescent="0.2">
      <c r="A14" s="39" t="s">
        <v>98</v>
      </c>
      <c r="B14" s="134">
        <f>B13-B15</f>
        <v>900000</v>
      </c>
      <c r="C14" s="40">
        <v>2023</v>
      </c>
      <c r="D14" s="41">
        <f>IFERROR(B14*(INDEX(CPI!N:N,MATCH(2023,CPI!A:A,0))/INDEX(CPI!N:N,MATCH(C14,CPI!A:A,0))),"")</f>
        <v>900000</v>
      </c>
      <c r="E14" s="41"/>
      <c r="F14" s="41">
        <f t="shared" ref="F14" si="10">IFERROR(MAX(0,D14-E14),D14)</f>
        <v>900000</v>
      </c>
      <c r="G14" s="41" t="str">
        <f>INDEX(Lists!$B$3:$B$20,MATCH(H14,Lists!$C$3:$C$20,0))</f>
        <v>Modernization</v>
      </c>
      <c r="H14" s="41" t="str">
        <f>INDEX(Lists!$C$3:$C$20,MATCH(I14,Lists!$D$3:$D$20,0))</f>
        <v>Building-Upgrades</v>
      </c>
      <c r="I14" s="136" t="s">
        <v>99</v>
      </c>
      <c r="J14" s="144">
        <f t="shared" ca="1" si="7"/>
        <v>5.5461792324835208</v>
      </c>
      <c r="K14" s="144">
        <f t="shared" ca="1" si="8"/>
        <v>28.84013200891431</v>
      </c>
      <c r="L14" s="144">
        <f t="shared" ca="1" si="9"/>
        <v>144.20066004457155</v>
      </c>
      <c r="M14" s="135" t="s">
        <v>97</v>
      </c>
      <c r="N14" s="40"/>
      <c r="O14" s="40"/>
      <c r="P14" s="40"/>
      <c r="Q14" s="40"/>
      <c r="R14" s="40"/>
    </row>
    <row r="15" spans="1:18" s="39" customFormat="1" x14ac:dyDescent="0.2">
      <c r="A15" s="39" t="s">
        <v>100</v>
      </c>
      <c r="B15" s="134">
        <v>1200000</v>
      </c>
      <c r="C15" s="40">
        <v>2023</v>
      </c>
      <c r="D15" s="41">
        <f>IFERROR(B15*(INDEX(CPI!N:N,MATCH(2023,CPI!A:A,0))/INDEX(CPI!N:N,MATCH(C15,CPI!A:A,0))),"")</f>
        <v>1200000</v>
      </c>
      <c r="E15" s="41"/>
      <c r="F15" s="41">
        <f t="shared" ref="F15" si="11">IFERROR(MAX(0,D15-E15),D15)</f>
        <v>1200000</v>
      </c>
      <c r="G15" s="41" t="str">
        <f>INDEX(Lists!$B$3:$B$20,MATCH(H15,Lists!$C$3:$C$20,0))</f>
        <v>Modernization</v>
      </c>
      <c r="H15" s="41" t="str">
        <f>INDEX(Lists!$C$3:$C$20,MATCH(I15,Lists!$D$3:$D$20,0))</f>
        <v>Building-Upgrades</v>
      </c>
      <c r="I15" s="136" t="s">
        <v>85</v>
      </c>
      <c r="J15" s="144">
        <f t="shared" ca="1" si="7"/>
        <v>67.137661336796143</v>
      </c>
      <c r="K15" s="144">
        <f t="shared" ca="1" si="8"/>
        <v>484.35859132517288</v>
      </c>
      <c r="L15" s="144">
        <f t="shared" ca="1" si="9"/>
        <v>1678.4415334199034</v>
      </c>
      <c r="M15" s="135" t="s">
        <v>85</v>
      </c>
      <c r="N15" s="40"/>
      <c r="O15" s="40"/>
      <c r="P15" s="40"/>
      <c r="Q15" s="40"/>
      <c r="R15" s="40"/>
    </row>
    <row r="16" spans="1:18" s="39" customFormat="1" x14ac:dyDescent="0.2">
      <c r="A16" s="39" t="s">
        <v>8</v>
      </c>
      <c r="B16" s="290">
        <v>1000000</v>
      </c>
      <c r="C16" s="40">
        <v>2022</v>
      </c>
      <c r="D16" s="41">
        <f>IFERROR(B16*(INDEX(CPI!N:N,MATCH(2023,CPI!A:A,0))/INDEX(CPI!N:N,MATCH(C16,CPI!A:A,0))),"")</f>
        <v>1041163.0873668086</v>
      </c>
      <c r="E16" s="41"/>
      <c r="F16" s="41">
        <f t="shared" ref="F16:F17" si="12">IFERROR(MAX(0,D16-E16),D16)</f>
        <v>1041163.0873668086</v>
      </c>
      <c r="G16" s="41" t="str">
        <f>INDEX(Lists!$B$3:$B$20,MATCH(H16,Lists!$C$3:$C$20,0))</f>
        <v>Modernization</v>
      </c>
      <c r="H16" s="41" t="str">
        <f>INDEX(Lists!$C$3:$C$20,MATCH(I16,Lists!$D$3:$D$20,0))</f>
        <v>Building-Upgrades</v>
      </c>
      <c r="I16" s="136" t="s">
        <v>99</v>
      </c>
      <c r="J16" s="144">
        <f t="shared" ca="1" si="7"/>
        <v>6.4361908796422265</v>
      </c>
      <c r="K16" s="144">
        <f t="shared" ca="1" si="8"/>
        <v>48.290650244992399</v>
      </c>
      <c r="L16" s="144">
        <f t="shared" ca="1" si="9"/>
        <v>167.34096287069789</v>
      </c>
      <c r="M16" s="135" t="s">
        <v>97</v>
      </c>
      <c r="N16" s="40"/>
      <c r="O16" s="40"/>
      <c r="P16" s="40"/>
      <c r="Q16" s="40"/>
      <c r="R16" s="40"/>
    </row>
    <row r="17" spans="1:18" s="39" customFormat="1" x14ac:dyDescent="0.2">
      <c r="A17" s="39" t="s">
        <v>12</v>
      </c>
      <c r="B17" s="246">
        <f>SUM(B18:B20)</f>
        <v>15465971</v>
      </c>
      <c r="C17" s="40">
        <v>2023</v>
      </c>
      <c r="D17" s="41">
        <f>IFERROR(B17*(INDEX(CPI!N:N,MATCH(2023,CPI!A:A,0))/INDEX(CPI!N:N,MATCH(C17,CPI!A:A,0))),"")</f>
        <v>15465971</v>
      </c>
      <c r="E17" s="41"/>
      <c r="F17" s="41">
        <f t="shared" si="12"/>
        <v>15465971</v>
      </c>
      <c r="G17" s="41" t="str">
        <f>INDEX(Lists!$B$3:$B$20,MATCH(H17,Lists!$C$3:$C$20,0))</f>
        <v>See Below</v>
      </c>
      <c r="H17" s="41" t="str">
        <f>INDEX(Lists!$C$3:$C$20,MATCH(I17,Lists!$D$3:$D$20,0))</f>
        <v>See Below</v>
      </c>
      <c r="I17" s="136" t="s">
        <v>91</v>
      </c>
      <c r="J17" s="144">
        <f t="shared" ca="1" si="7"/>
        <v>27.070906836302054</v>
      </c>
      <c r="K17" s="144">
        <f t="shared" ca="1" si="8"/>
        <v>180.3365066045601</v>
      </c>
      <c r="L17" s="144">
        <f t="shared" ca="1" si="9"/>
        <v>703.84357774385342</v>
      </c>
      <c r="M17" s="135" t="s">
        <v>97</v>
      </c>
      <c r="N17" s="40"/>
      <c r="O17" s="40"/>
      <c r="P17" s="40"/>
      <c r="Q17" s="40"/>
      <c r="R17" s="40"/>
    </row>
    <row r="18" spans="1:18" s="39" customFormat="1" x14ac:dyDescent="0.2">
      <c r="A18" s="39" t="s">
        <v>101</v>
      </c>
      <c r="B18" s="134">
        <v>4401890</v>
      </c>
      <c r="C18" s="40">
        <v>2023</v>
      </c>
      <c r="D18" s="41">
        <f>IFERROR(B18*(INDEX(CPI!N:N,MATCH(2023,CPI!A:A,0))/INDEX(CPI!N:N,MATCH(C18,CPI!A:A,0))),"")</f>
        <v>4401890</v>
      </c>
      <c r="E18" s="41"/>
      <c r="F18" s="41">
        <f t="shared" si="5"/>
        <v>4401890</v>
      </c>
      <c r="G18" s="41" t="str">
        <f>INDEX(Lists!$B$3:$B$20,MATCH(H18,Lists!$C$3:$C$20,0))</f>
        <v>Modernization</v>
      </c>
      <c r="H18" s="41" t="str">
        <f>INDEX(Lists!$C$3:$C$20,MATCH(I18,Lists!$D$3:$D$20,0))</f>
        <v>Building-Upgrades</v>
      </c>
      <c r="I18" s="136" t="s">
        <v>99</v>
      </c>
      <c r="J18" s="144">
        <f t="shared" ca="1" si="7"/>
        <v>6.3702577505176201</v>
      </c>
      <c r="K18" s="144">
        <f t="shared" ca="1" si="8"/>
        <v>33.125340302691626</v>
      </c>
      <c r="L18" s="144">
        <f t="shared" ca="1" si="9"/>
        <v>165.62670151345813</v>
      </c>
      <c r="M18" s="135" t="s">
        <v>97</v>
      </c>
      <c r="N18" s="40"/>
      <c r="O18" s="40"/>
      <c r="P18" s="40"/>
      <c r="Q18" s="40"/>
      <c r="R18" s="40"/>
    </row>
    <row r="19" spans="1:18" s="39" customFormat="1" x14ac:dyDescent="0.2">
      <c r="A19" s="39" t="s">
        <v>102</v>
      </c>
      <c r="B19" s="134">
        <v>4639791</v>
      </c>
      <c r="C19" s="40">
        <v>2023</v>
      </c>
      <c r="D19" s="41">
        <f>IFERROR(B19*(INDEX(CPI!N:N,MATCH(2023,CPI!A:A,0))/INDEX(CPI!N:N,MATCH(C19,CPI!A:A,0))),"")</f>
        <v>4639791</v>
      </c>
      <c r="E19" s="41"/>
      <c r="F19" s="41">
        <f t="shared" si="5"/>
        <v>4639791</v>
      </c>
      <c r="G19" s="41" t="str">
        <f>INDEX(Lists!$B$3:$B$20,MATCH(H19,Lists!$C$3:$C$20,0))</f>
        <v>Modernization</v>
      </c>
      <c r="H19" s="41" t="str">
        <f>INDEX(Lists!$C$3:$C$20,MATCH(I19,Lists!$D$3:$D$20,0))</f>
        <v>Building-Upgrades</v>
      </c>
      <c r="I19" s="136" t="s">
        <v>103</v>
      </c>
      <c r="J19" s="144">
        <f t="shared" ca="1" si="7"/>
        <v>17.181081678623453</v>
      </c>
      <c r="K19" s="144">
        <f t="shared" ca="1" si="8"/>
        <v>128.90941578463136</v>
      </c>
      <c r="L19" s="144">
        <f t="shared" ca="1" si="9"/>
        <v>446.70812364420982</v>
      </c>
      <c r="M19" s="135" t="s">
        <v>97</v>
      </c>
      <c r="N19" s="40"/>
      <c r="O19" s="40"/>
      <c r="P19" s="40"/>
      <c r="Q19" s="40"/>
      <c r="R19" s="40"/>
    </row>
    <row r="20" spans="1:18" s="39" customFormat="1" x14ac:dyDescent="0.2">
      <c r="A20" s="39" t="s">
        <v>104</v>
      </c>
      <c r="B20" s="134">
        <v>6424290</v>
      </c>
      <c r="C20" s="40">
        <v>2023</v>
      </c>
      <c r="D20" s="41">
        <f>IFERROR(B20*(INDEX(CPI!N:N,MATCH(2023,CPI!A:A,0))/INDEX(CPI!N:N,MATCH(C20,CPI!A:A,0))),"")</f>
        <v>6424290</v>
      </c>
      <c r="E20" s="41"/>
      <c r="F20" s="41">
        <f t="shared" si="5"/>
        <v>6424290</v>
      </c>
      <c r="G20" s="41" t="str">
        <f>INDEX(Lists!$B$3:$B$20,MATCH(H20,Lists!$C$3:$C$20,0))</f>
        <v>Modernization</v>
      </c>
      <c r="H20" s="41" t="str">
        <f>INDEX(Lists!$C$3:$C$20,MATCH(I20,Lists!$D$3:$D$20,0))</f>
        <v>Building-Upgrades</v>
      </c>
      <c r="I20" s="136" t="s">
        <v>105</v>
      </c>
      <c r="J20" s="144">
        <f t="shared" ca="1" si="7"/>
        <v>3.5195674071609826</v>
      </c>
      <c r="K20" s="144">
        <f t="shared" ca="1" si="8"/>
        <v>18.301750517237103</v>
      </c>
      <c r="L20" s="144">
        <f t="shared" ca="1" si="9"/>
        <v>91.508752586185551</v>
      </c>
      <c r="M20" s="135" t="s">
        <v>97</v>
      </c>
      <c r="N20" s="40"/>
      <c r="O20" s="40"/>
      <c r="P20" s="40"/>
      <c r="Q20" s="40"/>
      <c r="R20" s="40"/>
    </row>
    <row r="21" spans="1:18" s="39" customFormat="1" x14ac:dyDescent="0.2">
      <c r="A21" s="40" t="s">
        <v>106</v>
      </c>
      <c r="B21" s="286">
        <f>Programs!D16</f>
        <v>18797515.455232803</v>
      </c>
      <c r="C21" s="40">
        <v>2023</v>
      </c>
      <c r="D21" s="41">
        <f>IFERROR(B21*(INDEX(CPI!N:N,MATCH(2023,CPI!A:A,0))/INDEX(CPI!N:N,MATCH(C21,CPI!A:A,0))),"")</f>
        <v>18797515.455232803</v>
      </c>
      <c r="E21" s="41"/>
      <c r="F21" s="41">
        <f>IFERROR(MAX(0,D21-E21),D21)</f>
        <v>18797515.455232803</v>
      </c>
      <c r="G21" s="41" t="str">
        <f>INDEX(Lists!$B$3:$B$20,MATCH(H21,Lists!$C$3:$C$20,0))</f>
        <v>Modernization</v>
      </c>
      <c r="H21" s="41" t="str">
        <f>INDEX(Lists!$C$3:$C$20,MATCH(I21,Lists!$D$3:$D$20,0))</f>
        <v>Building-Public Transit</v>
      </c>
      <c r="I21" s="136" t="s">
        <v>107</v>
      </c>
      <c r="J21" s="144">
        <f t="shared" ca="1" si="7"/>
        <v>87.207197276345241</v>
      </c>
      <c r="K21" s="144">
        <f t="shared" ca="1" si="8"/>
        <v>320.06331986416251</v>
      </c>
      <c r="L21" s="144">
        <f t="shared" ca="1" si="9"/>
        <v>2267.3871291849764</v>
      </c>
      <c r="M21" s="135" t="s">
        <v>90</v>
      </c>
      <c r="N21" s="40"/>
      <c r="O21" s="40"/>
      <c r="P21" s="40"/>
      <c r="Q21" s="40"/>
      <c r="R21" s="40"/>
    </row>
    <row r="22" spans="1:18" x14ac:dyDescent="0.2">
      <c r="A22" s="39" t="s">
        <v>108</v>
      </c>
      <c r="B22" s="293">
        <v>1200000</v>
      </c>
      <c r="C22" s="40">
        <v>2018</v>
      </c>
      <c r="D22" s="41">
        <f>IFERROR(B22*(INDEX(CPI!N:N,MATCH(2023,CPI!A:A,0))/INDEX(CPI!N:N,MATCH(C22,CPI!A:A,0))),"")</f>
        <v>1456119.9010780265</v>
      </c>
      <c r="E22" s="41"/>
      <c r="F22" s="41">
        <f t="shared" ref="F22:F24" si="13">IFERROR(MAX(0,D22-E22),D22)</f>
        <v>1456119.9010780265</v>
      </c>
      <c r="G22" s="41" t="str">
        <f>INDEX(Lists!$B$3:$B$20,MATCH(H22,Lists!$C$3:$C$20,0))</f>
        <v>Modernization</v>
      </c>
      <c r="H22" s="41" t="str">
        <f>INDEX(Lists!$C$3:$C$20,MATCH(I22,Lists!$D$3:$D$20,0))</f>
        <v>Building-Public Transit</v>
      </c>
      <c r="I22" s="136" t="s">
        <v>109</v>
      </c>
      <c r="J22" s="144">
        <f t="shared" ca="1" si="7"/>
        <v>119.91348083390287</v>
      </c>
      <c r="K22" s="144">
        <f t="shared" ca="1" si="8"/>
        <v>678.57426278399987</v>
      </c>
      <c r="L22" s="144">
        <f t="shared" ca="1" si="9"/>
        <v>2997.8370208475717</v>
      </c>
      <c r="M22" s="135" t="s">
        <v>90</v>
      </c>
      <c r="N22" s="43"/>
      <c r="O22" s="43"/>
      <c r="P22" s="43"/>
      <c r="Q22" s="43"/>
      <c r="R22" s="43"/>
    </row>
    <row r="23" spans="1:18" x14ac:dyDescent="0.2">
      <c r="A23" s="39" t="s">
        <v>110</v>
      </c>
      <c r="B23" s="41">
        <f>(2836*(INDEX(CPI!N:N,MATCH(2023,CPI!A:A,0))/INDEX(CPI!N:N,MATCH(2019,CPI!A:A,0))))+((103636*(INDEX(CPI!N:N,MATCH(2023,CPI!A:A,0))/INDEX(CPI!N:N,MATCH(2021,CPI!A:A,0)))))</f>
        <v>119917.13363523668</v>
      </c>
      <c r="C23" s="40">
        <v>2023</v>
      </c>
      <c r="D23" s="41">
        <f>IFERROR(B23*(INDEX(CPI!N:N,MATCH(2023,CPI!A:A,0))/INDEX(CPI!N:N,MATCH(C23,CPI!A:A,0))),"")</f>
        <v>119917.13363523668</v>
      </c>
      <c r="E23" s="41"/>
      <c r="F23" s="41">
        <f t="shared" si="13"/>
        <v>119917.13363523668</v>
      </c>
      <c r="G23" s="41" t="str">
        <f>INDEX(Lists!$B$3:$B$20,MATCH(H23,Lists!$C$3:$C$20,0))</f>
        <v>Modernization</v>
      </c>
      <c r="H23" s="41" t="str">
        <f>INDEX(Lists!$C$3:$C$20,MATCH(I23,Lists!$D$3:$D$20,0))</f>
        <v>Building-EV Infrastructure</v>
      </c>
      <c r="I23" s="136" t="s">
        <v>111</v>
      </c>
      <c r="J23" s="144">
        <f t="shared" ca="1" si="7"/>
        <v>4.5076492709918314</v>
      </c>
      <c r="K23" s="144">
        <f t="shared" ca="1" si="8"/>
        <v>16.325562940546309</v>
      </c>
      <c r="L23" s="144">
        <f t="shared" ca="1" si="9"/>
        <v>112.69123177479578</v>
      </c>
      <c r="M23" s="135" t="s">
        <v>90</v>
      </c>
      <c r="N23" s="43"/>
      <c r="O23" s="43"/>
      <c r="P23" s="43"/>
      <c r="Q23" s="43"/>
      <c r="R23" s="43"/>
    </row>
    <row r="24" spans="1:18" s="39" customFormat="1" x14ac:dyDescent="0.2">
      <c r="A24" s="39" t="s">
        <v>9</v>
      </c>
      <c r="B24" s="246">
        <v>6114000</v>
      </c>
      <c r="C24" s="40">
        <v>2023</v>
      </c>
      <c r="D24" s="41">
        <f>IFERROR(B24*(INDEX(CPI!N:N,MATCH(2023,CPI!A:A,0))/INDEX(CPI!N:N,MATCH(C24,CPI!A:A,0))),"")</f>
        <v>6114000</v>
      </c>
      <c r="E24" s="41"/>
      <c r="F24" s="41">
        <f t="shared" si="13"/>
        <v>6114000</v>
      </c>
      <c r="G24" s="41" t="str">
        <f>INDEX(Lists!$B$3:$B$20,MATCH(H24,Lists!$C$3:$C$20,0))</f>
        <v>See Below</v>
      </c>
      <c r="H24" s="41" t="str">
        <f>INDEX(Lists!$C$3:$C$20,MATCH(I24,Lists!$D$3:$D$20,0))</f>
        <v>See Below</v>
      </c>
      <c r="I24" s="136" t="s">
        <v>91</v>
      </c>
      <c r="J24" s="144">
        <f t="shared" ca="1" si="7"/>
        <v>5099.9269516346303</v>
      </c>
      <c r="K24" s="144">
        <f t="shared" ca="1" si="8"/>
        <v>71110.316473922576</v>
      </c>
      <c r="L24" s="144">
        <f t="shared" ca="1" si="9"/>
        <v>132598.10074250039</v>
      </c>
      <c r="M24" s="135" t="s">
        <v>97</v>
      </c>
      <c r="N24" s="40"/>
      <c r="O24" s="40"/>
      <c r="P24" s="40"/>
      <c r="Q24" s="40"/>
      <c r="R24" s="40"/>
    </row>
    <row r="25" spans="1:18" s="39" customFormat="1" x14ac:dyDescent="0.2">
      <c r="A25" s="39" t="s">
        <v>112</v>
      </c>
      <c r="B25" s="134">
        <f>B24-B26</f>
        <v>5614000</v>
      </c>
      <c r="C25" s="40">
        <v>2023</v>
      </c>
      <c r="D25" s="41">
        <f>IFERROR(B25*(INDEX(CPI!N:N,MATCH(2023,CPI!A:A,0))/INDEX(CPI!N:N,MATCH(C25,CPI!A:A,0))),"")</f>
        <v>5614000</v>
      </c>
      <c r="E25" s="41"/>
      <c r="F25" s="41">
        <f t="shared" si="5"/>
        <v>5614000</v>
      </c>
      <c r="G25" s="41" t="str">
        <f>INDEX(Lists!$B$3:$B$20,MATCH(H25,Lists!$C$3:$C$20,0))</f>
        <v>Modernization</v>
      </c>
      <c r="H25" s="41" t="str">
        <f>INDEX(Lists!$C$3:$C$20,MATCH(I25,Lists!$D$3:$D$20,0))</f>
        <v>Energy Insights Program</v>
      </c>
      <c r="I25" s="136" t="s">
        <v>113</v>
      </c>
      <c r="J25" s="144">
        <f t="shared" ca="1" si="7"/>
        <v>3278.8251554280973</v>
      </c>
      <c r="K25" s="144">
        <f t="shared" ca="1" si="8"/>
        <v>52170.857793374627</v>
      </c>
      <c r="L25" s="144">
        <f t="shared" ca="1" si="9"/>
        <v>85249.454041130535</v>
      </c>
      <c r="M25" s="135" t="s">
        <v>97</v>
      </c>
      <c r="N25" s="40"/>
      <c r="O25" s="40"/>
      <c r="P25" s="40"/>
      <c r="Q25" s="40"/>
      <c r="R25" s="40"/>
    </row>
    <row r="26" spans="1:18" s="39" customFormat="1" x14ac:dyDescent="0.2">
      <c r="A26" s="39" t="s">
        <v>114</v>
      </c>
      <c r="B26" s="134">
        <f>5000*EE!$F$132</f>
        <v>500000</v>
      </c>
      <c r="C26" s="40">
        <v>2023</v>
      </c>
      <c r="D26" s="41">
        <f>IFERROR(B26*(INDEX(CPI!N:N,MATCH(2023,CPI!A:A,0))/INDEX(CPI!N:N,MATCH(C26,CPI!A:A,0))),"")</f>
        <v>500000</v>
      </c>
      <c r="E26" s="41"/>
      <c r="F26" s="41">
        <f t="shared" si="5"/>
        <v>500000</v>
      </c>
      <c r="G26" s="41" t="str">
        <f>INDEX(Lists!$B$3:$B$20,MATCH(H26,Lists!$C$3:$C$20,0))</f>
        <v>Modernization</v>
      </c>
      <c r="H26" s="41" t="str">
        <f>INDEX(Lists!$C$3:$C$20,MATCH(I26,Lists!$D$3:$D$20,0))</f>
        <v>Energy Insights Program</v>
      </c>
      <c r="I26" s="136" t="s">
        <v>115</v>
      </c>
      <c r="J26" s="144">
        <f t="shared" ca="1" si="7"/>
        <v>1821.1017962065334</v>
      </c>
      <c r="K26" s="144">
        <f t="shared" ca="1" si="8"/>
        <v>18939.458680547948</v>
      </c>
      <c r="L26" s="144">
        <f t="shared" ca="1" si="9"/>
        <v>47348.646701369871</v>
      </c>
      <c r="M26" s="135" t="s">
        <v>97</v>
      </c>
      <c r="N26" s="40"/>
      <c r="O26" s="40"/>
      <c r="P26" s="40"/>
      <c r="Q26" s="40"/>
      <c r="R26" s="40"/>
    </row>
    <row r="27" spans="1:18" s="39" customFormat="1" x14ac:dyDescent="0.2">
      <c r="A27" s="39" t="s">
        <v>10</v>
      </c>
      <c r="B27" s="42">
        <v>486000</v>
      </c>
      <c r="C27" s="40">
        <v>2023</v>
      </c>
      <c r="D27" s="41">
        <f>IFERROR(B27*(INDEX(CPI!N:N,MATCH(2023,CPI!A:A,0))/INDEX(CPI!N:N,MATCH(C27,CPI!A:A,0))),"")</f>
        <v>486000</v>
      </c>
      <c r="E27" s="41"/>
      <c r="F27" s="41">
        <f t="shared" si="5"/>
        <v>486000</v>
      </c>
      <c r="G27" s="41" t="str">
        <f>INDEX(Lists!$B$3:$B$20,MATCH(H27,Lists!$C$3:$C$20,0))</f>
        <v>Modernization</v>
      </c>
      <c r="H27" s="41" t="str">
        <f>INDEX(Lists!$C$3:$C$20,MATCH(I27,Lists!$D$3:$D$20,0))</f>
        <v>Manuf-EE</v>
      </c>
      <c r="I27" s="136" t="s">
        <v>116</v>
      </c>
      <c r="J27" s="144">
        <f t="shared" ca="1" si="7"/>
        <v>641.06367086514899</v>
      </c>
      <c r="K27" s="144">
        <f t="shared" ca="1" si="8"/>
        <v>3805.7403178196164</v>
      </c>
      <c r="L27" s="144">
        <f t="shared" ca="1" si="9"/>
        <v>16026.591771628724</v>
      </c>
      <c r="M27" s="135" t="s">
        <v>97</v>
      </c>
      <c r="N27" s="40"/>
      <c r="O27" s="40"/>
      <c r="P27" s="40"/>
      <c r="Q27" s="40"/>
      <c r="R27" s="40"/>
    </row>
    <row r="28" spans="1:18" s="39" customFormat="1" x14ac:dyDescent="0.2">
      <c r="A28" s="39" t="s">
        <v>11</v>
      </c>
      <c r="B28" s="42">
        <v>13816695</v>
      </c>
      <c r="C28" s="40">
        <v>2023</v>
      </c>
      <c r="D28" s="41">
        <f>IFERROR(B28*(INDEX(CPI!N:N,MATCH(2023,CPI!A:A,0))/INDEX(CPI!N:N,MATCH(C28,CPI!A:A,0))),"")</f>
        <v>13816695</v>
      </c>
      <c r="E28" s="41"/>
      <c r="F28" s="41">
        <f t="shared" ref="F28" si="14">IFERROR(MAX(0,D28-E28),D28)</f>
        <v>13816695</v>
      </c>
      <c r="G28" s="41" t="str">
        <f>INDEX(Lists!$B$3:$B$20,MATCH(H28,Lists!$C$3:$C$20,0))</f>
        <v>Modernization</v>
      </c>
      <c r="H28" s="41" t="str">
        <f>INDEX(Lists!$C$3:$C$20,MATCH(I28,Lists!$D$3:$D$20,0))</f>
        <v>Manuf-Solar</v>
      </c>
      <c r="I28" s="136" t="s">
        <v>117</v>
      </c>
      <c r="J28" s="144">
        <f t="shared" ca="1" si="7"/>
        <v>3982.1890953564066</v>
      </c>
      <c r="K28" s="144">
        <f t="shared" ca="1" si="8"/>
        <v>9969.5643668074808</v>
      </c>
      <c r="L28" s="144">
        <f t="shared" ca="1" si="9"/>
        <v>87608.160097840941</v>
      </c>
      <c r="M28" s="135" t="s">
        <v>85</v>
      </c>
      <c r="N28" s="40"/>
      <c r="O28" s="40"/>
      <c r="P28" s="40"/>
      <c r="Q28" s="40"/>
      <c r="R28" s="40"/>
    </row>
    <row r="29" spans="1:18" s="39" customFormat="1" ht="20.399999999999999" x14ac:dyDescent="0.2">
      <c r="A29" s="301" t="s">
        <v>118</v>
      </c>
      <c r="B29" s="295"/>
      <c r="C29" s="296"/>
      <c r="D29" s="297"/>
      <c r="E29" s="297"/>
      <c r="F29" s="297"/>
      <c r="G29" s="297"/>
      <c r="H29" s="297"/>
      <c r="I29" s="298"/>
      <c r="J29" s="299"/>
      <c r="K29" s="299"/>
      <c r="L29" s="299"/>
      <c r="M29" s="300"/>
      <c r="N29" s="40"/>
      <c r="O29" s="40"/>
      <c r="P29" s="40"/>
      <c r="Q29" s="40"/>
      <c r="R29" s="40"/>
    </row>
    <row r="30" spans="1:18" ht="20.399999999999999" x14ac:dyDescent="0.2">
      <c r="A30" s="39" t="s">
        <v>20</v>
      </c>
      <c r="B30" s="41">
        <v>22124892</v>
      </c>
      <c r="C30" s="40">
        <v>2023</v>
      </c>
      <c r="D30" s="41">
        <f>IFERROR(B30*(INDEX(CPI!N:N,MATCH(2023,CPI!A:A,0))/INDEX(CPI!N:N,MATCH(C30,CPI!A:A,0))),"")</f>
        <v>22124892</v>
      </c>
      <c r="E30" s="41"/>
      <c r="F30" s="41">
        <f t="shared" si="5"/>
        <v>22124892</v>
      </c>
      <c r="G30" s="41" t="str">
        <f>INDEX(Lists!$B$3:$B$20,MATCH(H30,Lists!$C$3:$C$20,0))</f>
        <v>RE/Waste</v>
      </c>
      <c r="H30" s="41" t="str">
        <f>INDEX(Lists!$C$3:$C$20,MATCH(I30,Lists!$D$3:$D$20,0))</f>
        <v>RE/Waste</v>
      </c>
      <c r="I30" s="136" t="s">
        <v>119</v>
      </c>
      <c r="J30" s="144">
        <f ca="1">IFERROR(IF(OR($I30="Excluded",$I30="TBD"),"",SUMIFS(INDIRECT("'"&amp;$M30&amp;"'!f:f"),INDIRECT("'"&amp;$M30&amp;"'!$A:$A"),$A30,INDIRECT("'"&amp;$M30&amp;"'!$b:$b"),$I30,INDIRECT("'"&amp;$M30&amp;"'!$c:$c"),"GHG")),"")</f>
        <v>5087.9453123841413</v>
      </c>
      <c r="K30" s="144">
        <f ca="1">IFERROR(IF(OR($I30="Excluded",$I30="TBD"),"",SUMIFS(INDIRECT("'"&amp;$M30&amp;"'!g:g"),INDIRECT("'"&amp;$M30&amp;"'!$A:$A"),$A30,INDIRECT("'"&amp;$M30&amp;"'!$b:$b"),$I30,INDIRECT("'"&amp;$M30&amp;"'!$c:$c"),"GHG")),"")</f>
        <v>15263.835937152431</v>
      </c>
      <c r="L30" s="144">
        <f ca="1">IFERROR(IF(OR($I30="Excluded",$I30="TBD"),"",SUMIFS(INDIRECT("'"&amp;$M30&amp;"'!h:h"),INDIRECT("'"&amp;$M30&amp;"'!$A:$A"),$A30,INDIRECT("'"&amp;$M30&amp;"'!$b:$b"),$I30,INDIRECT("'"&amp;$M30&amp;"'!$c:$c"),"GHG")),"")</f>
        <v>117022.74218483525</v>
      </c>
      <c r="M30" s="135" t="s">
        <v>120</v>
      </c>
      <c r="N30" s="43"/>
      <c r="O30" s="43"/>
      <c r="P30" s="43"/>
      <c r="Q30" s="43"/>
      <c r="R30" s="43"/>
    </row>
  </sheetData>
  <autoFilter ref="A1:M30" xr:uid="{B92C4A3C-6EB2-4C40-B17A-857F4DE5448F}"/>
  <pageMargins left="0.7" right="0.7" top="0.75" bottom="0.75" header="0.3" footer="0.3"/>
  <pageSetup paperSize="3" scale="73" fitToWidth="0" orientation="landscape" r:id="rId1"/>
  <legacy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D6DFBAD-B764-4855-97BF-0E2E90FFA39F}">
          <x14:formula1>
            <xm:f>Lists!$D$3:$D$20</xm:f>
          </x14:formula1>
          <xm:sqref>I30 I3:I10 I12:I28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F9563-FF07-458E-A8DC-3454D56E7315}">
  <sheetPr>
    <tabColor theme="9" tint="0.79998168889431442"/>
  </sheetPr>
  <dimension ref="A1:AJ24"/>
  <sheetViews>
    <sheetView zoomScaleNormal="100" workbookViewId="0">
      <pane xSplit="5" ySplit="8" topLeftCell="F9" activePane="bottomRight" state="frozen"/>
      <selection pane="topRight" activeCell="A3" sqref="A3"/>
      <selection pane="bottomLeft" activeCell="A3" sqref="A3"/>
      <selection pane="bottomRight" activeCell="L42" sqref="L42"/>
    </sheetView>
  </sheetViews>
  <sheetFormatPr defaultColWidth="9.125" defaultRowHeight="11.4" x14ac:dyDescent="0.2"/>
  <cols>
    <col min="1" max="1" width="6.375" customWidth="1"/>
    <col min="2" max="2" width="7.875" customWidth="1"/>
    <col min="3" max="3" width="5.375" customWidth="1"/>
    <col min="4" max="4" width="10.875" customWidth="1"/>
    <col min="5" max="5" width="49.625" customWidth="1"/>
    <col min="6" max="8" width="8.75" customWidth="1"/>
    <col min="9" max="36" width="7.125" customWidth="1"/>
  </cols>
  <sheetData>
    <row r="1" spans="1:36" ht="12" x14ac:dyDescent="0.25">
      <c r="A1" s="1" t="s">
        <v>121</v>
      </c>
      <c r="D1" s="1"/>
    </row>
    <row r="2" spans="1:36" ht="12" x14ac:dyDescent="0.25">
      <c r="E2" s="1"/>
      <c r="F2" s="1"/>
      <c r="G2" s="1" t="s">
        <v>122</v>
      </c>
    </row>
    <row r="3" spans="1:36" ht="12" x14ac:dyDescent="0.2">
      <c r="E3" s="2"/>
      <c r="F3" s="7"/>
      <c r="G3" s="24" t="s">
        <v>123</v>
      </c>
    </row>
    <row r="4" spans="1:36" ht="12" x14ac:dyDescent="0.2">
      <c r="F4" s="7"/>
      <c r="G4" s="8"/>
    </row>
    <row r="5" spans="1:36" ht="12" x14ac:dyDescent="0.2">
      <c r="G5" s="11"/>
    </row>
    <row r="6" spans="1:36" ht="12" x14ac:dyDescent="0.2">
      <c r="G6" s="68"/>
    </row>
    <row r="7" spans="1:36" ht="12" x14ac:dyDescent="0.2">
      <c r="A7" s="96" t="s">
        <v>124</v>
      </c>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A9" s="142"/>
      <c r="B9" s="142"/>
      <c r="C9" s="142"/>
      <c r="E9" s="9"/>
      <c r="F9" s="10"/>
    </row>
    <row r="10" spans="1:36" ht="12" x14ac:dyDescent="0.25">
      <c r="A10" s="142"/>
      <c r="B10" s="142"/>
      <c r="C10" s="142"/>
      <c r="D10" s="107"/>
      <c r="E10" s="114" t="s">
        <v>128</v>
      </c>
      <c r="F10" s="115" t="s">
        <v>129</v>
      </c>
      <c r="G10" s="115" t="s">
        <v>130</v>
      </c>
      <c r="H10" s="116" t="s">
        <v>131</v>
      </c>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36" ht="12" x14ac:dyDescent="0.25">
      <c r="A11" s="141" t="str">
        <f>E11</f>
        <v>Connor Prairie Reforestation</v>
      </c>
      <c r="B11" s="133" t="s">
        <v>94</v>
      </c>
      <c r="C11" s="142"/>
      <c r="D11" s="33"/>
      <c r="E11" s="34" t="s">
        <v>18</v>
      </c>
      <c r="F11" s="35"/>
      <c r="G11" s="36" t="s">
        <v>132</v>
      </c>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row>
    <row r="12" spans="1:36" ht="12" x14ac:dyDescent="0.2">
      <c r="A12" s="141" t="str">
        <f t="shared" ref="A12:B16" si="0">A11</f>
        <v>Connor Prairie Reforestation</v>
      </c>
      <c r="B12" s="141" t="str">
        <f t="shared" si="0"/>
        <v>Tree Planting</v>
      </c>
      <c r="C12" s="142" t="s">
        <v>64</v>
      </c>
      <c r="E12" t="s">
        <v>133</v>
      </c>
      <c r="F12" s="31">
        <v>18900</v>
      </c>
      <c r="G12" t="s">
        <v>134</v>
      </c>
      <c r="I12" s="27"/>
    </row>
    <row r="13" spans="1:36" ht="12" x14ac:dyDescent="0.2">
      <c r="A13" s="141" t="str">
        <f t="shared" si="0"/>
        <v>Connor Prairie Reforestation</v>
      </c>
      <c r="B13" s="141" t="str">
        <f t="shared" si="0"/>
        <v>Tree Planting</v>
      </c>
      <c r="C13" s="142" t="s">
        <v>64</v>
      </c>
      <c r="E13" t="s">
        <v>135</v>
      </c>
      <c r="F13" s="31">
        <v>135</v>
      </c>
      <c r="G13" t="s">
        <v>136</v>
      </c>
      <c r="I13" s="24">
        <f>F12/F13</f>
        <v>140</v>
      </c>
      <c r="J13" t="s">
        <v>137</v>
      </c>
      <c r="L13" s="26"/>
    </row>
    <row r="14" spans="1:36" ht="12" x14ac:dyDescent="0.2">
      <c r="A14" s="141" t="str">
        <f t="shared" si="0"/>
        <v>Connor Prairie Reforestation</v>
      </c>
      <c r="B14" s="141" t="str">
        <f t="shared" si="0"/>
        <v>Tree Planting</v>
      </c>
      <c r="C14" s="142" t="s">
        <v>64</v>
      </c>
      <c r="E14" t="s">
        <v>138</v>
      </c>
      <c r="F14" s="186">
        <v>1.2</v>
      </c>
      <c r="G14" t="s">
        <v>139</v>
      </c>
      <c r="I14" s="27"/>
      <c r="L14" s="24"/>
    </row>
    <row r="15" spans="1:36" ht="12" x14ac:dyDescent="0.25">
      <c r="A15" s="141" t="str">
        <f t="shared" si="0"/>
        <v>Connor Prairie Reforestation</v>
      </c>
      <c r="B15" s="141" t="str">
        <f t="shared" si="0"/>
        <v>Tree Planting</v>
      </c>
      <c r="C15" s="142" t="s">
        <v>64</v>
      </c>
      <c r="F15" s="23"/>
      <c r="G15" s="23"/>
      <c r="H15" s="23"/>
      <c r="L15" s="188"/>
      <c r="M15" s="188"/>
      <c r="N15" s="188"/>
      <c r="O15" s="188"/>
      <c r="P15" s="188"/>
      <c r="Q15" s="188"/>
      <c r="R15" s="344"/>
      <c r="S15" s="344"/>
      <c r="T15" s="344"/>
      <c r="U15" s="344"/>
      <c r="V15" s="344"/>
      <c r="W15" s="344"/>
      <c r="X15" s="344"/>
      <c r="Y15" s="344"/>
      <c r="Z15" s="344"/>
      <c r="AA15" s="344"/>
      <c r="AB15" s="344"/>
      <c r="AC15" s="344"/>
      <c r="AD15" s="344"/>
      <c r="AE15" s="344"/>
      <c r="AF15" s="344"/>
      <c r="AG15" s="344"/>
      <c r="AH15" s="344"/>
      <c r="AI15" s="344"/>
      <c r="AJ15" s="344"/>
    </row>
    <row r="16" spans="1:36" ht="12" x14ac:dyDescent="0.25">
      <c r="A16" s="141" t="str">
        <f t="shared" si="0"/>
        <v>Connor Prairie Reforestation</v>
      </c>
      <c r="B16" s="141" t="str">
        <f t="shared" si="0"/>
        <v>Tree Planting</v>
      </c>
      <c r="C16" s="141" t="s">
        <v>140</v>
      </c>
      <c r="E16" t="s">
        <v>141</v>
      </c>
      <c r="F16" s="119">
        <f>(F12/F13)*F14</f>
        <v>168</v>
      </c>
      <c r="G16" s="119">
        <f>SUM(K16:P16)</f>
        <v>840</v>
      </c>
      <c r="H16" s="119">
        <f>SUM(K16:AJ16)</f>
        <v>4200</v>
      </c>
      <c r="I16" s="29" t="s">
        <v>142</v>
      </c>
      <c r="J16" s="13"/>
      <c r="K16" s="13"/>
      <c r="L16" s="13">
        <f t="shared" ref="L16:AJ16" si="1">$F16</f>
        <v>168</v>
      </c>
      <c r="M16" s="13">
        <f t="shared" si="1"/>
        <v>168</v>
      </c>
      <c r="N16" s="13">
        <f t="shared" si="1"/>
        <v>168</v>
      </c>
      <c r="O16" s="13">
        <f t="shared" si="1"/>
        <v>168</v>
      </c>
      <c r="P16" s="13">
        <f t="shared" si="1"/>
        <v>168</v>
      </c>
      <c r="Q16" s="13">
        <f t="shared" si="1"/>
        <v>168</v>
      </c>
      <c r="R16" s="13">
        <f t="shared" si="1"/>
        <v>168</v>
      </c>
      <c r="S16" s="13">
        <f t="shared" si="1"/>
        <v>168</v>
      </c>
      <c r="T16" s="13">
        <f t="shared" si="1"/>
        <v>168</v>
      </c>
      <c r="U16" s="13">
        <f t="shared" si="1"/>
        <v>168</v>
      </c>
      <c r="V16" s="13">
        <f t="shared" si="1"/>
        <v>168</v>
      </c>
      <c r="W16" s="13">
        <f t="shared" si="1"/>
        <v>168</v>
      </c>
      <c r="X16" s="13">
        <f t="shared" si="1"/>
        <v>168</v>
      </c>
      <c r="Y16" s="13">
        <f t="shared" si="1"/>
        <v>168</v>
      </c>
      <c r="Z16" s="13">
        <f t="shared" si="1"/>
        <v>168</v>
      </c>
      <c r="AA16" s="13">
        <f t="shared" si="1"/>
        <v>168</v>
      </c>
      <c r="AB16" s="13">
        <f t="shared" si="1"/>
        <v>168</v>
      </c>
      <c r="AC16" s="13">
        <f t="shared" si="1"/>
        <v>168</v>
      </c>
      <c r="AD16" s="13">
        <f t="shared" si="1"/>
        <v>168</v>
      </c>
      <c r="AE16" s="13">
        <f t="shared" si="1"/>
        <v>168</v>
      </c>
      <c r="AF16" s="13">
        <f t="shared" si="1"/>
        <v>168</v>
      </c>
      <c r="AG16" s="13">
        <f t="shared" si="1"/>
        <v>168</v>
      </c>
      <c r="AH16" s="13">
        <f t="shared" si="1"/>
        <v>168</v>
      </c>
      <c r="AI16" s="13">
        <f t="shared" si="1"/>
        <v>168</v>
      </c>
      <c r="AJ16" s="13">
        <f t="shared" si="1"/>
        <v>168</v>
      </c>
    </row>
    <row r="17" spans="1:3" ht="12" x14ac:dyDescent="0.2">
      <c r="A17" s="142"/>
      <c r="B17" s="142"/>
      <c r="C17" s="142"/>
    </row>
    <row r="18" spans="1:3" ht="12" x14ac:dyDescent="0.2">
      <c r="A18" s="142"/>
      <c r="B18" s="142"/>
      <c r="C18" s="142"/>
    </row>
    <row r="19" spans="1:3" ht="12" x14ac:dyDescent="0.2">
      <c r="A19" s="142"/>
      <c r="B19" s="142"/>
      <c r="C19" s="142"/>
    </row>
    <row r="20" spans="1:3" ht="12" x14ac:dyDescent="0.2">
      <c r="A20" s="142"/>
      <c r="B20" s="142"/>
      <c r="C20" s="142"/>
    </row>
    <row r="21" spans="1:3" ht="12" x14ac:dyDescent="0.2">
      <c r="A21" s="142"/>
      <c r="B21" s="142"/>
      <c r="C21" s="142"/>
    </row>
    <row r="22" spans="1:3" ht="12" x14ac:dyDescent="0.2">
      <c r="A22" s="142"/>
      <c r="B22" s="142"/>
      <c r="C22" s="142"/>
    </row>
    <row r="23" spans="1:3" ht="12" x14ac:dyDescent="0.2">
      <c r="A23" s="142"/>
      <c r="B23" s="142"/>
      <c r="C23" s="142"/>
    </row>
    <row r="24" spans="1:3" ht="12" x14ac:dyDescent="0.2">
      <c r="A24" s="142"/>
      <c r="B24" s="142"/>
      <c r="C24" s="142"/>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D73592C-5794-43C9-B41F-1FD430871F7E}">
          <x14:formula1>
            <xm:f>Lists!$D$3:$D$20</xm:f>
          </x14:formula1>
          <xm:sqref>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DD15F8-EF93-40EF-8A4E-0A07F71554AF}">
  <sheetPr>
    <tabColor theme="9" tint="0.79998168889431442"/>
  </sheetPr>
  <dimension ref="A1:AJ61"/>
  <sheetViews>
    <sheetView zoomScaleNormal="100" workbookViewId="0">
      <pane xSplit="5" ySplit="8" topLeftCell="F9" activePane="bottomRight" state="frozen"/>
      <selection pane="topRight" activeCell="A3" sqref="A3"/>
      <selection pane="bottomLeft" activeCell="A3" sqref="A3"/>
      <selection pane="bottomRight" activeCell="A2" sqref="A2"/>
    </sheetView>
  </sheetViews>
  <sheetFormatPr defaultRowHeight="11.4" x14ac:dyDescent="0.2"/>
  <cols>
    <col min="1" max="1" width="6.375" customWidth="1"/>
    <col min="2" max="2" width="7.875" customWidth="1"/>
    <col min="3" max="3" width="5.375" customWidth="1"/>
    <col min="4" max="4" width="10.875" customWidth="1"/>
    <col min="5" max="5" width="49.625" customWidth="1"/>
    <col min="6" max="8" width="8.75" customWidth="1"/>
    <col min="9" max="36" width="7.125" customWidth="1"/>
  </cols>
  <sheetData>
    <row r="1" spans="1:36" ht="12" x14ac:dyDescent="0.25">
      <c r="A1" s="1" t="s">
        <v>143</v>
      </c>
      <c r="D1" s="1"/>
    </row>
    <row r="2" spans="1:36" ht="12" x14ac:dyDescent="0.25">
      <c r="E2" s="1"/>
      <c r="F2" s="1" t="s">
        <v>144</v>
      </c>
      <c r="G2" s="1" t="s">
        <v>122</v>
      </c>
    </row>
    <row r="3" spans="1:36" ht="12" x14ac:dyDescent="0.2">
      <c r="E3" s="2"/>
      <c r="F3" s="7" t="s">
        <v>145</v>
      </c>
      <c r="G3" s="2" t="s">
        <v>146</v>
      </c>
    </row>
    <row r="4" spans="1:36" ht="12" x14ac:dyDescent="0.2">
      <c r="F4" s="7" t="s">
        <v>147</v>
      </c>
      <c r="G4" s="8" t="s">
        <v>148</v>
      </c>
    </row>
    <row r="5" spans="1:36" ht="12" x14ac:dyDescent="0.2">
      <c r="G5" s="11"/>
    </row>
    <row r="6" spans="1:36" ht="12" x14ac:dyDescent="0.2">
      <c r="G6" s="68"/>
    </row>
    <row r="7" spans="1:36" ht="12" x14ac:dyDescent="0.2">
      <c r="A7" s="96" t="s">
        <v>124</v>
      </c>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E9" s="9"/>
      <c r="F9" s="10"/>
    </row>
    <row r="10" spans="1:36" ht="12" x14ac:dyDescent="0.25">
      <c r="D10" s="107"/>
      <c r="E10" s="114" t="s">
        <v>128</v>
      </c>
      <c r="F10" s="115" t="s">
        <v>129</v>
      </c>
      <c r="G10" s="115" t="s">
        <v>130</v>
      </c>
      <c r="H10" s="116" t="s">
        <v>131</v>
      </c>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36" ht="12" x14ac:dyDescent="0.25">
      <c r="A11" s="141" t="str">
        <f>E11</f>
        <v>Connor Prairie Wetland Enhancement and Fertilizer Education</v>
      </c>
      <c r="B11" s="133" t="s">
        <v>96</v>
      </c>
      <c r="D11" s="33"/>
      <c r="E11" s="34" t="s">
        <v>19</v>
      </c>
      <c r="F11" s="35"/>
      <c r="G11" s="36" t="s">
        <v>149</v>
      </c>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row>
    <row r="12" spans="1:36" ht="12" x14ac:dyDescent="0.2">
      <c r="A12" s="141" t="str">
        <f t="shared" ref="A12:B18" si="0">A11</f>
        <v>Connor Prairie Wetland Enhancement and Fertilizer Education</v>
      </c>
      <c r="B12" s="141" t="str">
        <f t="shared" si="0"/>
        <v>Carbon Storage</v>
      </c>
      <c r="C12" t="s">
        <v>64</v>
      </c>
      <c r="E12" s="27" t="s">
        <v>150</v>
      </c>
      <c r="F12" s="5"/>
      <c r="N12" s="7"/>
    </row>
    <row r="13" spans="1:36" ht="12" x14ac:dyDescent="0.2">
      <c r="A13" s="141" t="str">
        <f t="shared" si="0"/>
        <v>Connor Prairie Wetland Enhancement and Fertilizer Education</v>
      </c>
      <c r="B13" s="141" t="str">
        <f t="shared" si="0"/>
        <v>Carbon Storage</v>
      </c>
      <c r="C13" t="s">
        <v>64</v>
      </c>
      <c r="E13" t="s">
        <v>151</v>
      </c>
      <c r="F13" s="20">
        <f>I13/1000000*4046.856422</f>
        <v>0.17579544297167998</v>
      </c>
      <c r="I13" s="27">
        <f>I14-23.55</f>
        <v>43.44</v>
      </c>
    </row>
    <row r="14" spans="1:36" ht="12" x14ac:dyDescent="0.2">
      <c r="A14" s="141" t="str">
        <f t="shared" si="0"/>
        <v>Connor Prairie Wetland Enhancement and Fertilizer Education</v>
      </c>
      <c r="B14" s="141" t="str">
        <f t="shared" si="0"/>
        <v>Carbon Storage</v>
      </c>
      <c r="C14" t="s">
        <v>64</v>
      </c>
      <c r="E14" t="s">
        <v>152</v>
      </c>
      <c r="F14" s="20">
        <f>I14/1000000*4046.856422</f>
        <v>0.27109891170977996</v>
      </c>
      <c r="G14" t="s">
        <v>139</v>
      </c>
      <c r="I14" s="27">
        <v>66.989999999999995</v>
      </c>
      <c r="J14" t="s">
        <v>153</v>
      </c>
      <c r="L14" s="26"/>
    </row>
    <row r="15" spans="1:36" ht="12" x14ac:dyDescent="0.2">
      <c r="A15" s="141" t="str">
        <f t="shared" si="0"/>
        <v>Connor Prairie Wetland Enhancement and Fertilizer Education</v>
      </c>
      <c r="B15" s="141" t="str">
        <f t="shared" si="0"/>
        <v>Carbon Storage</v>
      </c>
      <c r="C15" t="s">
        <v>64</v>
      </c>
      <c r="E15" t="s">
        <v>154</v>
      </c>
      <c r="F15" s="20">
        <f>I15/1000000*4046.856422</f>
        <v>0.36640238044787998</v>
      </c>
      <c r="I15" s="27">
        <f>I14+23.55</f>
        <v>90.539999999999992</v>
      </c>
    </row>
    <row r="16" spans="1:36" ht="12" x14ac:dyDescent="0.2">
      <c r="A16" s="141" t="str">
        <f t="shared" si="0"/>
        <v>Connor Prairie Wetland Enhancement and Fertilizer Education</v>
      </c>
      <c r="B16" s="141" t="str">
        <f t="shared" si="0"/>
        <v>Carbon Storage</v>
      </c>
      <c r="C16" t="s">
        <v>64</v>
      </c>
      <c r="E16" t="s">
        <v>155</v>
      </c>
      <c r="F16" s="24">
        <v>80</v>
      </c>
      <c r="G16" t="s">
        <v>137</v>
      </c>
    </row>
    <row r="17" spans="1:36" ht="12" x14ac:dyDescent="0.25">
      <c r="A17" s="141" t="str">
        <f t="shared" si="0"/>
        <v>Connor Prairie Wetland Enhancement and Fertilizer Education</v>
      </c>
      <c r="B17" s="141" t="str">
        <f t="shared" si="0"/>
        <v>Carbon Storage</v>
      </c>
      <c r="C17" t="s">
        <v>64</v>
      </c>
      <c r="F17" s="23" t="s">
        <v>156</v>
      </c>
      <c r="G17" s="23" t="s">
        <v>130</v>
      </c>
      <c r="H17" s="23" t="s">
        <v>157</v>
      </c>
    </row>
    <row r="18" spans="1:36" ht="12" x14ac:dyDescent="0.25">
      <c r="A18" s="141" t="str">
        <f t="shared" si="0"/>
        <v>Connor Prairie Wetland Enhancement and Fertilizer Education</v>
      </c>
      <c r="B18" s="141" t="str">
        <f t="shared" si="0"/>
        <v>Carbon Storage</v>
      </c>
      <c r="C18" s="141" t="s">
        <v>140</v>
      </c>
      <c r="E18" t="s">
        <v>158</v>
      </c>
      <c r="F18" s="65">
        <f>AVERAGE(K18:AJ18)</f>
        <v>21.687912936782382</v>
      </c>
      <c r="G18" s="119">
        <f>SUM(K18:P18)</f>
        <v>108.43956468391198</v>
      </c>
      <c r="H18" s="119">
        <f>SUM(K18:AJ18)</f>
        <v>542.19782341955954</v>
      </c>
      <c r="I18" s="29" t="s">
        <v>142</v>
      </c>
      <c r="J18" s="13"/>
      <c r="K18" s="13"/>
      <c r="L18" s="13">
        <f t="shared" ref="L18:AJ18" si="1">$F16*$F14</f>
        <v>21.687912936782396</v>
      </c>
      <c r="M18" s="13">
        <f t="shared" si="1"/>
        <v>21.687912936782396</v>
      </c>
      <c r="N18" s="13">
        <f t="shared" si="1"/>
        <v>21.687912936782396</v>
      </c>
      <c r="O18" s="13">
        <f t="shared" si="1"/>
        <v>21.687912936782396</v>
      </c>
      <c r="P18" s="13">
        <f t="shared" si="1"/>
        <v>21.687912936782396</v>
      </c>
      <c r="Q18" s="13">
        <f t="shared" si="1"/>
        <v>21.687912936782396</v>
      </c>
      <c r="R18" s="13">
        <f t="shared" si="1"/>
        <v>21.687912936782396</v>
      </c>
      <c r="S18" s="13">
        <f t="shared" si="1"/>
        <v>21.687912936782396</v>
      </c>
      <c r="T18" s="13">
        <f t="shared" si="1"/>
        <v>21.687912936782396</v>
      </c>
      <c r="U18" s="13">
        <f t="shared" si="1"/>
        <v>21.687912936782396</v>
      </c>
      <c r="V18" s="13">
        <f t="shared" si="1"/>
        <v>21.687912936782396</v>
      </c>
      <c r="W18" s="13">
        <f t="shared" si="1"/>
        <v>21.687912936782396</v>
      </c>
      <c r="X18" s="13">
        <f t="shared" si="1"/>
        <v>21.687912936782396</v>
      </c>
      <c r="Y18" s="13">
        <f t="shared" si="1"/>
        <v>21.687912936782396</v>
      </c>
      <c r="Z18" s="13">
        <f t="shared" si="1"/>
        <v>21.687912936782396</v>
      </c>
      <c r="AA18" s="13">
        <f t="shared" si="1"/>
        <v>21.687912936782396</v>
      </c>
      <c r="AB18" s="13">
        <f t="shared" si="1"/>
        <v>21.687912936782396</v>
      </c>
      <c r="AC18" s="13">
        <f t="shared" si="1"/>
        <v>21.687912936782396</v>
      </c>
      <c r="AD18" s="13">
        <f t="shared" si="1"/>
        <v>21.687912936782396</v>
      </c>
      <c r="AE18" s="13">
        <f t="shared" si="1"/>
        <v>21.687912936782396</v>
      </c>
      <c r="AF18" s="13">
        <f t="shared" si="1"/>
        <v>21.687912936782396</v>
      </c>
      <c r="AG18" s="13">
        <f t="shared" si="1"/>
        <v>21.687912936782396</v>
      </c>
      <c r="AH18" s="13">
        <f t="shared" si="1"/>
        <v>21.687912936782396</v>
      </c>
      <c r="AI18" s="13">
        <f t="shared" si="1"/>
        <v>21.687912936782396</v>
      </c>
      <c r="AJ18" s="13">
        <f t="shared" si="1"/>
        <v>21.687912936782396</v>
      </c>
    </row>
    <row r="19" spans="1:36" ht="12" x14ac:dyDescent="0.25">
      <c r="A19" s="141"/>
      <c r="B19" s="141"/>
      <c r="C19" s="141"/>
      <c r="F19" s="335"/>
      <c r="G19" s="335"/>
      <c r="H19" s="335"/>
      <c r="I19" s="29"/>
      <c r="K19" s="333"/>
      <c r="L19" s="333"/>
      <c r="M19" s="333"/>
      <c r="N19" s="333"/>
      <c r="O19" s="333"/>
      <c r="P19" s="333"/>
      <c r="Q19" s="333"/>
      <c r="R19" s="333"/>
      <c r="S19" s="333"/>
      <c r="T19" s="333"/>
      <c r="U19" s="333"/>
      <c r="V19" s="333"/>
      <c r="W19" s="333"/>
      <c r="X19" s="333"/>
      <c r="Y19" s="333"/>
      <c r="Z19" s="333"/>
      <c r="AA19" s="333"/>
      <c r="AB19" s="333"/>
      <c r="AC19" s="333"/>
      <c r="AD19" s="333"/>
      <c r="AE19" s="333"/>
      <c r="AF19" s="333"/>
      <c r="AG19" s="333"/>
      <c r="AH19" s="333"/>
      <c r="AI19" s="333"/>
      <c r="AJ19" s="333"/>
    </row>
    <row r="20" spans="1:36" ht="12" x14ac:dyDescent="0.2">
      <c r="E20" s="45"/>
    </row>
    <row r="21" spans="1:36" ht="12" x14ac:dyDescent="0.25">
      <c r="A21" s="141" t="str">
        <f>E21</f>
        <v>EXAMPLE: Brownfields Tree Planting</v>
      </c>
      <c r="B21" s="133" t="s">
        <v>87</v>
      </c>
      <c r="D21" s="33"/>
      <c r="E21" s="34" t="s">
        <v>86</v>
      </c>
      <c r="F21" s="35"/>
      <c r="G21" s="36"/>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row>
    <row r="22" spans="1:36" ht="12" x14ac:dyDescent="0.2">
      <c r="A22" s="141" t="str">
        <f t="shared" ref="A22:B22" si="2">A21</f>
        <v>EXAMPLE: Brownfields Tree Planting</v>
      </c>
      <c r="B22" s="141" t="str">
        <f t="shared" si="2"/>
        <v>Brownfield Trees-EXAMPLE</v>
      </c>
      <c r="C22" t="s">
        <v>64</v>
      </c>
      <c r="E22" s="5"/>
      <c r="F22" s="5">
        <v>45</v>
      </c>
      <c r="G22" t="s">
        <v>137</v>
      </c>
      <c r="H22" t="s">
        <v>159</v>
      </c>
      <c r="N22" s="7"/>
    </row>
    <row r="23" spans="1:36" ht="12" x14ac:dyDescent="0.2">
      <c r="A23" s="141" t="str">
        <f t="shared" ref="A23:B23" si="3">A22</f>
        <v>EXAMPLE: Brownfields Tree Planting</v>
      </c>
      <c r="B23" s="141" t="str">
        <f t="shared" si="3"/>
        <v>Brownfield Trees-EXAMPLE</v>
      </c>
      <c r="C23" t="s">
        <v>64</v>
      </c>
      <c r="F23" s="258">
        <f>Provided!$F$14</f>
        <v>1.2</v>
      </c>
      <c r="G23" t="s">
        <v>139</v>
      </c>
      <c r="H23" s="45" t="s">
        <v>160</v>
      </c>
    </row>
    <row r="24" spans="1:36" ht="12" x14ac:dyDescent="0.2">
      <c r="A24" s="141" t="str">
        <f t="shared" ref="A24:B24" si="4">A23</f>
        <v>EXAMPLE: Brownfields Tree Planting</v>
      </c>
      <c r="B24" s="141" t="str">
        <f t="shared" si="4"/>
        <v>Brownfield Trees-EXAMPLE</v>
      </c>
      <c r="C24" t="s">
        <v>64</v>
      </c>
      <c r="F24">
        <v>400</v>
      </c>
      <c r="G24" t="s">
        <v>161</v>
      </c>
      <c r="R24" s="7" t="s">
        <v>162</v>
      </c>
    </row>
    <row r="25" spans="1:36" ht="12" x14ac:dyDescent="0.2">
      <c r="A25" s="141" t="str">
        <f t="shared" ref="A25:B25" si="5">A24</f>
        <v>EXAMPLE: Brownfields Tree Planting</v>
      </c>
      <c r="B25" s="141" t="str">
        <f t="shared" si="5"/>
        <v>Brownfield Trees-EXAMPLE</v>
      </c>
      <c r="C25" t="s">
        <v>64</v>
      </c>
      <c r="F25" s="20">
        <v>6.5</v>
      </c>
      <c r="G25" t="s">
        <v>163</v>
      </c>
      <c r="R25" s="7" t="s">
        <v>164</v>
      </c>
    </row>
    <row r="26" spans="1:36" ht="12" x14ac:dyDescent="0.2">
      <c r="A26" s="141" t="str">
        <f t="shared" ref="A26:B26" si="6">A25</f>
        <v>EXAMPLE: Brownfields Tree Planting</v>
      </c>
      <c r="B26" s="141" t="str">
        <f t="shared" si="6"/>
        <v>Brownfield Trees-EXAMPLE</v>
      </c>
      <c r="C26" t="s">
        <v>64</v>
      </c>
    </row>
    <row r="27" spans="1:36" ht="12" x14ac:dyDescent="0.2">
      <c r="A27" s="141" t="str">
        <f t="shared" ref="A27:B27" si="7">A26</f>
        <v>EXAMPLE: Brownfields Tree Planting</v>
      </c>
      <c r="B27" s="141" t="str">
        <f t="shared" si="7"/>
        <v>Brownfield Trees-EXAMPLE</v>
      </c>
      <c r="C27" t="s">
        <v>64</v>
      </c>
    </row>
    <row r="28" spans="1:36" ht="12" x14ac:dyDescent="0.25">
      <c r="A28" s="141" t="str">
        <f t="shared" ref="A28:B28" si="8">A27</f>
        <v>EXAMPLE: Brownfields Tree Planting</v>
      </c>
      <c r="B28" s="141" t="str">
        <f t="shared" si="8"/>
        <v>Brownfield Trees-EXAMPLE</v>
      </c>
      <c r="C28" t="s">
        <v>64</v>
      </c>
      <c r="F28" s="23" t="s">
        <v>156</v>
      </c>
      <c r="G28" s="23" t="s">
        <v>130</v>
      </c>
      <c r="H28" s="23" t="s">
        <v>157</v>
      </c>
    </row>
    <row r="29" spans="1:36" ht="12" x14ac:dyDescent="0.25">
      <c r="A29" s="141" t="str">
        <f t="shared" ref="A29:B29" si="9">A28</f>
        <v>EXAMPLE: Brownfields Tree Planting</v>
      </c>
      <c r="B29" s="141" t="str">
        <f t="shared" si="9"/>
        <v>Brownfield Trees-EXAMPLE</v>
      </c>
      <c r="C29" s="141" t="s">
        <v>140</v>
      </c>
      <c r="E29" s="5" t="s">
        <v>141</v>
      </c>
      <c r="F29" s="65">
        <f>AVERAGE(K29:AJ29)</f>
        <v>54</v>
      </c>
      <c r="G29" s="119">
        <f>SUM(K29:P29)</f>
        <v>270</v>
      </c>
      <c r="H29" s="119">
        <f>SUM(K29:AJ29)</f>
        <v>1350</v>
      </c>
      <c r="I29" s="29" t="s">
        <v>142</v>
      </c>
      <c r="L29">
        <f t="shared" ref="L29:AJ29" si="10">$F$23*$F$22</f>
        <v>54</v>
      </c>
      <c r="M29">
        <f t="shared" si="10"/>
        <v>54</v>
      </c>
      <c r="N29">
        <f t="shared" si="10"/>
        <v>54</v>
      </c>
      <c r="O29">
        <f t="shared" si="10"/>
        <v>54</v>
      </c>
      <c r="P29">
        <f t="shared" si="10"/>
        <v>54</v>
      </c>
      <c r="Q29">
        <f t="shared" si="10"/>
        <v>54</v>
      </c>
      <c r="R29">
        <f t="shared" si="10"/>
        <v>54</v>
      </c>
      <c r="S29">
        <f t="shared" si="10"/>
        <v>54</v>
      </c>
      <c r="T29">
        <f t="shared" si="10"/>
        <v>54</v>
      </c>
      <c r="U29">
        <f t="shared" si="10"/>
        <v>54</v>
      </c>
      <c r="V29">
        <f t="shared" si="10"/>
        <v>54</v>
      </c>
      <c r="W29">
        <f t="shared" si="10"/>
        <v>54</v>
      </c>
      <c r="X29">
        <f t="shared" si="10"/>
        <v>54</v>
      </c>
      <c r="Y29">
        <f t="shared" si="10"/>
        <v>54</v>
      </c>
      <c r="Z29">
        <f t="shared" si="10"/>
        <v>54</v>
      </c>
      <c r="AA29">
        <f t="shared" si="10"/>
        <v>54</v>
      </c>
      <c r="AB29">
        <f t="shared" si="10"/>
        <v>54</v>
      </c>
      <c r="AC29">
        <f t="shared" si="10"/>
        <v>54</v>
      </c>
      <c r="AD29">
        <f t="shared" si="10"/>
        <v>54</v>
      </c>
      <c r="AE29">
        <f t="shared" si="10"/>
        <v>54</v>
      </c>
      <c r="AF29">
        <f t="shared" si="10"/>
        <v>54</v>
      </c>
      <c r="AG29">
        <f t="shared" si="10"/>
        <v>54</v>
      </c>
      <c r="AH29">
        <f t="shared" si="10"/>
        <v>54</v>
      </c>
      <c r="AI29">
        <f t="shared" si="10"/>
        <v>54</v>
      </c>
      <c r="AJ29">
        <f t="shared" si="10"/>
        <v>54</v>
      </c>
    </row>
    <row r="30" spans="1:36" ht="12" x14ac:dyDescent="0.25">
      <c r="A30" s="141"/>
      <c r="B30" s="141"/>
      <c r="C30" s="141"/>
      <c r="F30" s="335"/>
      <c r="G30" s="335"/>
      <c r="H30" s="335"/>
      <c r="I30" s="29"/>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row>
    <row r="32" spans="1:36" ht="12" x14ac:dyDescent="0.2">
      <c r="A32" s="141"/>
      <c r="B32" s="141"/>
      <c r="C32" s="141"/>
    </row>
    <row r="33" spans="1:3" ht="12" x14ac:dyDescent="0.2">
      <c r="A33" s="141"/>
      <c r="B33" s="141"/>
      <c r="C33" s="141"/>
    </row>
    <row r="34" spans="1:3" ht="12" x14ac:dyDescent="0.2">
      <c r="A34" s="141"/>
      <c r="B34" s="141"/>
      <c r="C34" s="141"/>
    </row>
    <row r="35" spans="1:3" ht="12" x14ac:dyDescent="0.2">
      <c r="A35" s="141"/>
      <c r="B35" s="141"/>
      <c r="C35" s="141"/>
    </row>
    <row r="36" spans="1:3" ht="12" x14ac:dyDescent="0.2">
      <c r="A36" s="141"/>
      <c r="B36" s="141"/>
      <c r="C36" s="141"/>
    </row>
    <row r="37" spans="1:3" ht="12" x14ac:dyDescent="0.2">
      <c r="A37" s="141"/>
      <c r="B37" s="141"/>
      <c r="C37" s="141"/>
    </row>
    <row r="38" spans="1:3" ht="12" x14ac:dyDescent="0.2">
      <c r="A38" s="141"/>
      <c r="B38" s="141"/>
      <c r="C38" s="141"/>
    </row>
    <row r="39" spans="1:3" ht="12" x14ac:dyDescent="0.2">
      <c r="A39" s="141"/>
      <c r="B39" s="141"/>
      <c r="C39" s="141"/>
    </row>
    <row r="40" spans="1:3" ht="12" x14ac:dyDescent="0.2">
      <c r="A40" s="141"/>
      <c r="B40" s="141"/>
      <c r="C40" s="141"/>
    </row>
    <row r="41" spans="1:3" ht="12" x14ac:dyDescent="0.2">
      <c r="A41" s="141"/>
      <c r="B41" s="141"/>
      <c r="C41" s="141"/>
    </row>
    <row r="42" spans="1:3" ht="12" x14ac:dyDescent="0.2">
      <c r="A42" s="141"/>
      <c r="B42" s="141"/>
      <c r="C42" s="141"/>
    </row>
    <row r="43" spans="1:3" ht="12" x14ac:dyDescent="0.2">
      <c r="A43" s="141"/>
      <c r="B43" s="141"/>
      <c r="C43" s="141"/>
    </row>
    <row r="44" spans="1:3" ht="12" x14ac:dyDescent="0.2">
      <c r="A44" s="141"/>
      <c r="B44" s="141"/>
      <c r="C44" s="141"/>
    </row>
    <row r="45" spans="1:3" ht="12" x14ac:dyDescent="0.2">
      <c r="A45" s="141"/>
      <c r="B45" s="141"/>
      <c r="C45" s="141"/>
    </row>
    <row r="46" spans="1:3" ht="12" x14ac:dyDescent="0.2">
      <c r="A46" s="141"/>
      <c r="B46" s="141"/>
      <c r="C46" s="141"/>
    </row>
    <row r="47" spans="1:3" ht="12" x14ac:dyDescent="0.2">
      <c r="A47" s="142"/>
      <c r="B47" s="142"/>
      <c r="C47" s="142"/>
    </row>
    <row r="48" spans="1:3" ht="12" x14ac:dyDescent="0.2">
      <c r="A48" s="142"/>
      <c r="B48" s="142"/>
      <c r="C48" s="142"/>
    </row>
    <row r="49" spans="1:3" ht="12" x14ac:dyDescent="0.2">
      <c r="A49" s="142"/>
      <c r="B49" s="142"/>
      <c r="C49" s="142"/>
    </row>
    <row r="50" spans="1:3" ht="12" x14ac:dyDescent="0.2">
      <c r="A50" s="142"/>
      <c r="B50" s="142"/>
      <c r="C50" s="142"/>
    </row>
    <row r="51" spans="1:3" ht="12" x14ac:dyDescent="0.2">
      <c r="A51" s="142"/>
      <c r="B51" s="142"/>
      <c r="C51" s="142"/>
    </row>
    <row r="52" spans="1:3" ht="12" x14ac:dyDescent="0.2">
      <c r="A52" s="142"/>
      <c r="B52" s="142"/>
      <c r="C52" s="142"/>
    </row>
    <row r="53" spans="1:3" ht="12" x14ac:dyDescent="0.2">
      <c r="A53" s="142"/>
      <c r="B53" s="142"/>
      <c r="C53" s="142"/>
    </row>
    <row r="54" spans="1:3" ht="12" x14ac:dyDescent="0.2">
      <c r="A54" s="142"/>
      <c r="B54" s="142"/>
      <c r="C54" s="142"/>
    </row>
    <row r="55" spans="1:3" ht="12" x14ac:dyDescent="0.2">
      <c r="A55" s="142"/>
      <c r="B55" s="142"/>
      <c r="C55" s="142"/>
    </row>
    <row r="56" spans="1:3" ht="12" x14ac:dyDescent="0.2">
      <c r="A56" s="142"/>
      <c r="B56" s="142"/>
      <c r="C56" s="142"/>
    </row>
    <row r="57" spans="1:3" ht="12" x14ac:dyDescent="0.2">
      <c r="A57" s="142"/>
      <c r="B57" s="142"/>
      <c r="C57" s="142"/>
    </row>
    <row r="58" spans="1:3" ht="12" x14ac:dyDescent="0.2">
      <c r="A58" s="142"/>
      <c r="B58" s="142"/>
      <c r="C58" s="142"/>
    </row>
    <row r="59" spans="1:3" ht="12" x14ac:dyDescent="0.2">
      <c r="A59" s="142"/>
      <c r="B59" s="142"/>
      <c r="C59" s="142"/>
    </row>
    <row r="60" spans="1:3" ht="12" x14ac:dyDescent="0.2">
      <c r="A60" s="142"/>
      <c r="B60" s="142"/>
      <c r="C60" s="142"/>
    </row>
    <row r="61" spans="1:3" ht="12" x14ac:dyDescent="0.2">
      <c r="A61" s="142"/>
      <c r="B61" s="142"/>
      <c r="C61" s="142"/>
    </row>
  </sheetData>
  <hyperlinks>
    <hyperlink ref="F3" r:id="rId1" xr:uid="{69FEEBEF-FEBE-453F-812D-E47C796A7067}"/>
    <hyperlink ref="F4" r:id="rId2" xr:uid="{BC19E09C-EE24-492D-B5A1-198D623F253C}"/>
    <hyperlink ref="R24" r:id="rId3" xr:uid="{92359492-7A12-4323-8912-497C141E2E60}"/>
    <hyperlink ref="R25" r:id="rId4" xr:uid="{E5059CBD-2627-4FE6-9F7A-B1CF52C9CD17}"/>
  </hyperlinks>
  <pageMargins left="0.7" right="0.7" top="0.75" bottom="0.75" header="0.3" footer="0.3"/>
  <drawing r:id="rId5"/>
  <extLst>
    <ext xmlns:x14="http://schemas.microsoft.com/office/spreadsheetml/2009/9/main" uri="{CCE6A557-97BC-4b89-ADB6-D9C93CAAB3DF}">
      <x14:dataValidations xmlns:xm="http://schemas.microsoft.com/office/excel/2006/main" count="1">
        <x14:dataValidation type="list" allowBlank="1" showInputMessage="1" showErrorMessage="1" xr:uid="{92C56D2F-DB14-4D6E-B6FC-7893C787EA10}">
          <x14:formula1>
            <xm:f>Lists!$D$3:$D$20</xm:f>
          </x14:formula1>
          <xm:sqref>B11 B21</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FBF56-60FF-4BB2-ACC8-CB164391201E}">
  <sheetPr>
    <tabColor theme="9" tint="0.79998168889431442"/>
  </sheetPr>
  <dimension ref="A1:AJ128"/>
  <sheetViews>
    <sheetView zoomScaleNormal="100" workbookViewId="0">
      <pane xSplit="5" ySplit="8" topLeftCell="F45" activePane="bottomRight" state="frozen"/>
      <selection pane="topRight" activeCell="A3" sqref="A3"/>
      <selection pane="bottomLeft" activeCell="A3" sqref="A3"/>
      <selection pane="bottomRight" activeCell="H78" sqref="H78"/>
    </sheetView>
  </sheetViews>
  <sheetFormatPr defaultRowHeight="11.4" x14ac:dyDescent="0.2"/>
  <cols>
    <col min="1" max="1" width="6.375" customWidth="1"/>
    <col min="2" max="2" width="7.875" customWidth="1"/>
    <col min="3" max="3" width="5.375" customWidth="1"/>
    <col min="4" max="4" width="10.875" customWidth="1"/>
    <col min="5" max="5" width="49.625" customWidth="1"/>
    <col min="6" max="8" width="8.75" customWidth="1"/>
    <col min="9" max="36" width="7.125" customWidth="1"/>
  </cols>
  <sheetData>
    <row r="1" spans="1:36" ht="12" x14ac:dyDescent="0.25">
      <c r="A1" s="1" t="s">
        <v>165</v>
      </c>
      <c r="D1" s="1"/>
      <c r="P1" s="1" t="s">
        <v>166</v>
      </c>
    </row>
    <row r="2" spans="1:36" ht="12" x14ac:dyDescent="0.25">
      <c r="E2" s="1"/>
      <c r="F2" s="1" t="s">
        <v>144</v>
      </c>
      <c r="G2" s="1" t="s">
        <v>122</v>
      </c>
      <c r="P2" s="1" t="s">
        <v>144</v>
      </c>
      <c r="Q2" s="1" t="s">
        <v>122</v>
      </c>
    </row>
    <row r="3" spans="1:36" ht="12" x14ac:dyDescent="0.2">
      <c r="E3" s="2"/>
      <c r="F3" s="7" t="s">
        <v>167</v>
      </c>
      <c r="G3" s="2" t="s">
        <v>168</v>
      </c>
      <c r="P3" s="7" t="s">
        <v>169</v>
      </c>
      <c r="Q3" s="106" t="s">
        <v>170</v>
      </c>
    </row>
    <row r="4" spans="1:36" ht="12" x14ac:dyDescent="0.2">
      <c r="F4" s="7" t="s">
        <v>171</v>
      </c>
      <c r="G4" s="8" t="s">
        <v>172</v>
      </c>
      <c r="P4" s="7" t="s">
        <v>173</v>
      </c>
      <c r="Q4" s="189" t="s">
        <v>174</v>
      </c>
    </row>
    <row r="5" spans="1:36" ht="12" x14ac:dyDescent="0.2">
      <c r="G5" s="11" t="s">
        <v>175</v>
      </c>
    </row>
    <row r="6" spans="1:36" ht="12" x14ac:dyDescent="0.2">
      <c r="F6" s="7" t="s">
        <v>176</v>
      </c>
      <c r="G6" s="68" t="s">
        <v>177</v>
      </c>
    </row>
    <row r="7" spans="1:36" ht="12" x14ac:dyDescent="0.2">
      <c r="A7" s="96" t="s">
        <v>124</v>
      </c>
      <c r="F7" s="7" t="s">
        <v>178</v>
      </c>
      <c r="G7" s="32" t="s">
        <v>179</v>
      </c>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D9" t="s">
        <v>180</v>
      </c>
      <c r="E9" s="9" t="s">
        <v>181</v>
      </c>
    </row>
    <row r="10" spans="1:36" ht="12" x14ac:dyDescent="0.25">
      <c r="D10" s="3">
        <f t="shared" ref="D10" si="0">POWER(P10/K10,1/(P$8-K$8))-1</f>
        <v>-1.3006194389040271E-2</v>
      </c>
      <c r="E10" t="s">
        <v>182</v>
      </c>
      <c r="F10" s="4">
        <v>366.27800000000002</v>
      </c>
      <c r="G10" s="4">
        <v>360.30900000000003</v>
      </c>
      <c r="H10" s="4">
        <v>353.911</v>
      </c>
      <c r="I10" s="4">
        <v>346.99599999999998</v>
      </c>
      <c r="J10" s="4">
        <v>340.197</v>
      </c>
      <c r="K10" s="245">
        <v>333.97399999999999</v>
      </c>
      <c r="L10" s="245">
        <v>329.06400000000002</v>
      </c>
      <c r="M10" s="245">
        <v>323.57600000000002</v>
      </c>
      <c r="N10" s="4">
        <v>318.928</v>
      </c>
      <c r="O10" s="4">
        <v>315.54700000000003</v>
      </c>
      <c r="P10" s="4">
        <v>312.81299999999999</v>
      </c>
      <c r="Q10" s="6">
        <f t="shared" ref="Q10" si="1">P10+(P10*$D10)</f>
        <v>308.74449331458112</v>
      </c>
      <c r="R10" s="6">
        <f t="shared" ref="R10:AJ10" si="2">Q10+(Q10*$D10)</f>
        <v>304.72890241798592</v>
      </c>
      <c r="S10" s="6">
        <f t="shared" si="2"/>
        <v>300.76553907717869</v>
      </c>
      <c r="T10" s="6">
        <f t="shared" si="2"/>
        <v>296.85372401041639</v>
      </c>
      <c r="U10" s="6">
        <f t="shared" si="2"/>
        <v>292.9927867708264</v>
      </c>
      <c r="V10" s="6">
        <f t="shared" si="2"/>
        <v>289.1820656314984</v>
      </c>
      <c r="W10" s="6">
        <f t="shared" si="2"/>
        <v>285.42090747207095</v>
      </c>
      <c r="X10" s="6">
        <f t="shared" si="2"/>
        <v>281.70866766679291</v>
      </c>
      <c r="Y10" s="6">
        <f t="shared" si="2"/>
        <v>278.04470997404104</v>
      </c>
      <c r="Z10" s="6">
        <f t="shared" si="2"/>
        <v>274.42840642727435</v>
      </c>
      <c r="AA10" s="6">
        <f t="shared" si="2"/>
        <v>270.85913722740668</v>
      </c>
      <c r="AB10" s="6">
        <f t="shared" si="2"/>
        <v>267.33629063657929</v>
      </c>
      <c r="AC10" s="6">
        <f t="shared" si="2"/>
        <v>263.859262873315</v>
      </c>
      <c r="AD10" s="6">
        <f t="shared" si="2"/>
        <v>260.42745800903577</v>
      </c>
      <c r="AE10" s="6">
        <f t="shared" si="2"/>
        <v>257.04028786592664</v>
      </c>
      <c r="AF10" s="6">
        <f t="shared" si="2"/>
        <v>253.69717191612753</v>
      </c>
      <c r="AG10" s="6">
        <f t="shared" si="2"/>
        <v>250.39753718223662</v>
      </c>
      <c r="AH10" s="6">
        <f t="shared" si="2"/>
        <v>247.14081813910752</v>
      </c>
      <c r="AI10" s="6">
        <f t="shared" si="2"/>
        <v>243.92645661692384</v>
      </c>
      <c r="AJ10" s="6">
        <f t="shared" si="2"/>
        <v>240.75390170553433</v>
      </c>
    </row>
    <row r="12" spans="1:36" ht="12" x14ac:dyDescent="0.25">
      <c r="D12" t="s">
        <v>180</v>
      </c>
      <c r="E12" s="9" t="s">
        <v>183</v>
      </c>
    </row>
    <row r="13" spans="1:36" ht="12" x14ac:dyDescent="0.2">
      <c r="D13" s="3">
        <f t="shared" ref="D13" si="3">POWER(P13/K13,1/(P$8-K$8))-1</f>
        <v>-1.06565387656119E-2</v>
      </c>
      <c r="E13" t="s">
        <v>182</v>
      </c>
      <c r="F13" s="4">
        <v>1562.3530000000001</v>
      </c>
      <c r="G13" s="4">
        <v>1547.1869999999999</v>
      </c>
      <c r="H13" s="4">
        <v>1534.972</v>
      </c>
      <c r="I13" s="4">
        <v>1523.7670000000001</v>
      </c>
      <c r="J13" s="4">
        <v>1508.104</v>
      </c>
      <c r="K13" s="4">
        <v>1492.951</v>
      </c>
      <c r="L13" s="4">
        <v>1478.7080000000001</v>
      </c>
      <c r="M13" s="4">
        <v>1461.1969999999999</v>
      </c>
      <c r="N13" s="4">
        <v>1444.8489999999999</v>
      </c>
      <c r="O13" s="4">
        <v>1429.529</v>
      </c>
      <c r="P13" s="4">
        <v>1415.08</v>
      </c>
      <c r="Q13" s="6">
        <f t="shared" ref="Q13" si="4">P13+(P13*$D13)</f>
        <v>1400.0001451235578</v>
      </c>
      <c r="R13" s="6">
        <f t="shared" ref="R13" si="5">Q13+(Q13*$D13)</f>
        <v>1385.0809893051862</v>
      </c>
      <c r="S13" s="6">
        <f t="shared" ref="S13" si="6">R13+(R13*$D13)</f>
        <v>1370.3208200491433</v>
      </c>
      <c r="T13" s="6">
        <f t="shared" ref="T13" si="7">S13+(S13*$D13)</f>
        <v>1355.7179431089646</v>
      </c>
      <c r="U13" s="6">
        <f t="shared" ref="U13" si="8">T13+(T13*$D13)</f>
        <v>1341.2706822929883</v>
      </c>
      <c r="V13" s="6">
        <f t="shared" ref="V13" si="9">U13+(U13*$D13)</f>
        <v>1326.9773792719543</v>
      </c>
      <c r="W13" s="6">
        <f t="shared" ref="W13" si="10">V13+(V13*$D13)</f>
        <v>1312.8363933886526</v>
      </c>
      <c r="X13" s="6">
        <f t="shared" ref="X13" si="11">W13+(W13*$D13)</f>
        <v>1298.8461014696004</v>
      </c>
      <c r="Y13" s="6">
        <f t="shared" ref="Y13" si="12">X13+(X13*$D13)</f>
        <v>1285.0048976387257</v>
      </c>
      <c r="Z13" s="6">
        <f t="shared" ref="Z13" si="13">Y13+(Y13*$D13)</f>
        <v>1271.3111931330375</v>
      </c>
      <c r="AA13" s="6">
        <f t="shared" ref="AA13" si="14">Z13+(Z13*$D13)</f>
        <v>1257.7634161202589</v>
      </c>
      <c r="AB13" s="6">
        <f t="shared" ref="AB13" si="15">AA13+(AA13*$D13)</f>
        <v>1244.3600115184049</v>
      </c>
      <c r="AC13" s="6">
        <f t="shared" ref="AC13" si="16">AB13+(AB13*$D13)</f>
        <v>1231.0994408172817</v>
      </c>
      <c r="AD13" s="6">
        <f t="shared" ref="AD13" si="17">AC13+(AC13*$D13)</f>
        <v>1217.9801819018892</v>
      </c>
      <c r="AE13" s="6">
        <f t="shared" ref="AE13" si="18">AD13+(AD13*$D13)</f>
        <v>1205.0007288777047</v>
      </c>
      <c r="AF13" s="6">
        <f t="shared" ref="AF13" si="19">AE13+(AE13*$D13)</f>
        <v>1192.1595918978287</v>
      </c>
      <c r="AG13" s="6">
        <f t="shared" ref="AG13" si="20">AF13+(AF13*$D13)</f>
        <v>1179.4552969919735</v>
      </c>
      <c r="AH13" s="6">
        <f t="shared" ref="AH13" si="21">AG13+(AG13*$D13)</f>
        <v>1166.8863858972722</v>
      </c>
      <c r="AI13" s="6">
        <f t="shared" ref="AI13" si="22">AH13+(AH13*$D13)</f>
        <v>1154.4514158908933</v>
      </c>
      <c r="AJ13" s="6">
        <f t="shared" ref="AJ13" si="23">AI13+(AI13*$D13)</f>
        <v>1142.1489596244364</v>
      </c>
    </row>
    <row r="15" spans="1:36" ht="12" x14ac:dyDescent="0.25">
      <c r="D15" s="237" t="s">
        <v>184</v>
      </c>
      <c r="E15" s="9" t="s">
        <v>185</v>
      </c>
    </row>
    <row r="16" spans="1:36" ht="12" x14ac:dyDescent="0.2">
      <c r="D16" s="238"/>
      <c r="E16" t="s">
        <v>186</v>
      </c>
      <c r="F16" s="106">
        <v>10.210000000000001</v>
      </c>
    </row>
    <row r="17" spans="1:36" ht="12" x14ac:dyDescent="0.2">
      <c r="D17" s="238"/>
      <c r="E17" t="s">
        <v>187</v>
      </c>
      <c r="F17" s="106">
        <v>1.01E-3</v>
      </c>
    </row>
    <row r="18" spans="1:36" ht="12" x14ac:dyDescent="0.2">
      <c r="D18" s="238"/>
      <c r="E18" t="s">
        <v>188</v>
      </c>
      <c r="F18" s="106">
        <v>9.3999999999999997E-4</v>
      </c>
    </row>
    <row r="19" spans="1:36" ht="12" x14ac:dyDescent="0.2">
      <c r="D19" s="238"/>
      <c r="F19" s="2"/>
    </row>
    <row r="20" spans="1:36" ht="12" x14ac:dyDescent="0.25">
      <c r="D20" s="239"/>
      <c r="E20" s="9" t="s">
        <v>189</v>
      </c>
      <c r="F20" s="189">
        <v>6</v>
      </c>
      <c r="G20" t="s">
        <v>190</v>
      </c>
    </row>
    <row r="22" spans="1:36" ht="12" x14ac:dyDescent="0.25">
      <c r="D22" s="237" t="s">
        <v>191</v>
      </c>
      <c r="E22" s="9" t="s">
        <v>192</v>
      </c>
      <c r="F22" s="8">
        <v>7.52</v>
      </c>
    </row>
    <row r="23" spans="1:36" ht="12" x14ac:dyDescent="0.25">
      <c r="D23" s="238"/>
      <c r="E23" s="9" t="s">
        <v>193</v>
      </c>
      <c r="F23">
        <f>(52*5)-(3*5)-10</f>
        <v>235</v>
      </c>
    </row>
    <row r="24" spans="1:36" ht="12" x14ac:dyDescent="0.25">
      <c r="D24" s="239"/>
      <c r="E24" s="9" t="s">
        <v>194</v>
      </c>
      <c r="F24" s="10">
        <f>F22*F23*2</f>
        <v>3534.3999999999996</v>
      </c>
      <c r="G24" t="s">
        <v>195</v>
      </c>
    </row>
    <row r="25" spans="1:36" ht="12" x14ac:dyDescent="0.25">
      <c r="E25" s="9"/>
      <c r="F25" s="10"/>
    </row>
    <row r="26" spans="1:36" ht="12" x14ac:dyDescent="0.25">
      <c r="D26" s="107"/>
      <c r="E26" s="114" t="s">
        <v>196</v>
      </c>
      <c r="F26" s="115" t="s">
        <v>156</v>
      </c>
      <c r="G26" s="115" t="s">
        <v>130</v>
      </c>
      <c r="H26" s="116" t="s">
        <v>131</v>
      </c>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row>
    <row r="27" spans="1:36" ht="12" x14ac:dyDescent="0.2">
      <c r="A27" s="141"/>
      <c r="B27" s="141"/>
      <c r="C27" s="141"/>
      <c r="F27" s="5"/>
      <c r="G27" s="11"/>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row>
    <row r="28" spans="1:36" ht="12" x14ac:dyDescent="0.25">
      <c r="A28" s="141" t="str">
        <f>E28</f>
        <v>Nickel Plate Pedestrian Bridge</v>
      </c>
      <c r="B28" s="133" t="s">
        <v>89</v>
      </c>
      <c r="C28" s="141"/>
      <c r="D28" s="33"/>
      <c r="E28" s="34" t="s">
        <v>16</v>
      </c>
      <c r="F28" s="35">
        <v>12</v>
      </c>
      <c r="G28" s="36" t="s">
        <v>197</v>
      </c>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row>
    <row r="29" spans="1:36" ht="12" x14ac:dyDescent="0.25">
      <c r="A29" s="141" t="str">
        <f>A28</f>
        <v>Nickel Plate Pedestrian Bridge</v>
      </c>
      <c r="B29" s="141" t="str">
        <f t="shared" ref="B29:B38" si="24">B28</f>
        <v>WalkBike</v>
      </c>
      <c r="C29" s="141" t="s">
        <v>64</v>
      </c>
      <c r="E29" s="1" t="s">
        <v>198</v>
      </c>
      <c r="F29" s="12"/>
      <c r="G29" s="12"/>
      <c r="H29" s="12"/>
      <c r="I29" s="12"/>
      <c r="J29" s="12"/>
      <c r="K29" s="12"/>
      <c r="L29" s="12"/>
    </row>
    <row r="30" spans="1:36" ht="12" x14ac:dyDescent="0.2">
      <c r="A30" s="141" t="str">
        <f>A29</f>
        <v>Nickel Plate Pedestrian Bridge</v>
      </c>
      <c r="B30" s="141" t="str">
        <f t="shared" si="24"/>
        <v>WalkBike</v>
      </c>
      <c r="C30" s="141"/>
      <c r="E30" s="5"/>
      <c r="F30" s="241">
        <v>0.5</v>
      </c>
      <c r="G30" s="12" t="s">
        <v>199</v>
      </c>
      <c r="H30" s="48"/>
      <c r="I30" s="48">
        <v>3</v>
      </c>
      <c r="J30" s="12" t="s">
        <v>200</v>
      </c>
    </row>
    <row r="31" spans="1:36" ht="12" x14ac:dyDescent="0.2">
      <c r="A31" s="141" t="str">
        <f t="shared" ref="A31:A38" si="25">A30</f>
        <v>Nickel Plate Pedestrian Bridge</v>
      </c>
      <c r="B31" s="141" t="str">
        <f t="shared" si="24"/>
        <v>WalkBike</v>
      </c>
      <c r="C31" s="141"/>
      <c r="E31" s="5"/>
      <c r="F31" s="48">
        <v>6</v>
      </c>
      <c r="G31" s="12" t="s">
        <v>201</v>
      </c>
      <c r="H31" s="48"/>
      <c r="I31" s="48">
        <v>4</v>
      </c>
      <c r="J31" s="12" t="s">
        <v>202</v>
      </c>
    </row>
    <row r="32" spans="1:36" ht="12" x14ac:dyDescent="0.2">
      <c r="A32" s="141" t="str">
        <f t="shared" si="25"/>
        <v>Nickel Plate Pedestrian Bridge</v>
      </c>
      <c r="B32" s="141" t="str">
        <f t="shared" si="24"/>
        <v>WalkBike</v>
      </c>
      <c r="C32" s="141"/>
      <c r="E32" s="5" t="s">
        <v>203</v>
      </c>
      <c r="F32" s="48"/>
      <c r="G32" s="12"/>
      <c r="H32" s="12"/>
      <c r="I32" s="21"/>
      <c r="J32" s="12"/>
      <c r="K32" s="26">
        <f>(F30*I30)*(30*F31)*I31</f>
        <v>1080</v>
      </c>
      <c r="L32" s="26"/>
    </row>
    <row r="33" spans="1:36" ht="12" x14ac:dyDescent="0.2">
      <c r="A33" s="141" t="str">
        <f t="shared" si="25"/>
        <v>Nickel Plate Pedestrian Bridge</v>
      </c>
      <c r="B33" s="141" t="str">
        <f t="shared" si="24"/>
        <v>WalkBike</v>
      </c>
      <c r="C33" s="141"/>
      <c r="E33" s="5" t="s">
        <v>204</v>
      </c>
      <c r="F33" s="48"/>
      <c r="G33" s="12"/>
      <c r="H33" s="12"/>
      <c r="I33" s="21"/>
      <c r="J33" s="12"/>
      <c r="K33" s="26">
        <f>K32/$F$20</f>
        <v>180</v>
      </c>
      <c r="L33" s="26"/>
    </row>
    <row r="34" spans="1:36" ht="12" x14ac:dyDescent="0.2">
      <c r="A34" s="141" t="str">
        <f t="shared" si="25"/>
        <v>Nickel Plate Pedestrian Bridge</v>
      </c>
      <c r="B34" s="141" t="str">
        <f t="shared" si="24"/>
        <v>WalkBike</v>
      </c>
      <c r="C34" s="141"/>
      <c r="D34" t="s">
        <v>205</v>
      </c>
      <c r="E34" s="5" t="s">
        <v>206</v>
      </c>
      <c r="F34" s="276" t="s">
        <v>207</v>
      </c>
      <c r="G34" s="12"/>
      <c r="H34" s="12"/>
      <c r="I34" s="21"/>
      <c r="J34" s="12"/>
      <c r="K34" s="26">
        <f>((K33*$F$16)+(K33*$F$17*25)+(K33*$F$18*298))/1000</f>
        <v>1.8927666000000001</v>
      </c>
      <c r="L34" s="26"/>
    </row>
    <row r="35" spans="1:36" ht="12" x14ac:dyDescent="0.2">
      <c r="A35" s="141" t="str">
        <f t="shared" si="25"/>
        <v>Nickel Plate Pedestrian Bridge</v>
      </c>
      <c r="B35" s="141" t="str">
        <f t="shared" si="24"/>
        <v>WalkBike</v>
      </c>
      <c r="C35" s="141"/>
      <c r="E35" s="5"/>
      <c r="F35" s="12"/>
      <c r="G35" s="12"/>
      <c r="H35" s="12"/>
      <c r="I35" s="12"/>
      <c r="J35" s="12"/>
      <c r="K35" s="12"/>
      <c r="L35" s="12"/>
    </row>
    <row r="36" spans="1:36" ht="12" x14ac:dyDescent="0.25">
      <c r="A36" s="141" t="str">
        <f t="shared" si="25"/>
        <v>Nickel Plate Pedestrian Bridge</v>
      </c>
      <c r="B36" s="141" t="str">
        <f t="shared" si="24"/>
        <v>WalkBike</v>
      </c>
      <c r="C36" s="141"/>
      <c r="D36" t="s">
        <v>208</v>
      </c>
      <c r="E36" t="s">
        <v>141</v>
      </c>
      <c r="F36" s="65"/>
      <c r="G36" s="119"/>
      <c r="H36" s="119"/>
      <c r="I36" s="29"/>
      <c r="K36" s="13"/>
      <c r="L36" s="13">
        <f t="shared" ref="L36:AJ36" si="26">$F28*$F$24*$L$10/1000000</f>
        <v>13.956525619199999</v>
      </c>
      <c r="M36" s="13">
        <f t="shared" si="26"/>
        <v>13.956525619199999</v>
      </c>
      <c r="N36" s="13">
        <f t="shared" si="26"/>
        <v>13.956525619199999</v>
      </c>
      <c r="O36" s="13">
        <f t="shared" si="26"/>
        <v>13.956525619199999</v>
      </c>
      <c r="P36" s="13">
        <f t="shared" si="26"/>
        <v>13.956525619199999</v>
      </c>
      <c r="Q36" s="13">
        <f t="shared" si="26"/>
        <v>13.956525619199999</v>
      </c>
      <c r="R36" s="13">
        <f t="shared" si="26"/>
        <v>13.956525619199999</v>
      </c>
      <c r="S36" s="13">
        <f t="shared" si="26"/>
        <v>13.956525619199999</v>
      </c>
      <c r="T36" s="13">
        <f t="shared" si="26"/>
        <v>13.956525619199999</v>
      </c>
      <c r="U36" s="13">
        <f t="shared" si="26"/>
        <v>13.956525619199999</v>
      </c>
      <c r="V36" s="13">
        <f t="shared" si="26"/>
        <v>13.956525619199999</v>
      </c>
      <c r="W36" s="13">
        <f t="shared" si="26"/>
        <v>13.956525619199999</v>
      </c>
      <c r="X36" s="13">
        <f t="shared" si="26"/>
        <v>13.956525619199999</v>
      </c>
      <c r="Y36" s="13">
        <f t="shared" si="26"/>
        <v>13.956525619199999</v>
      </c>
      <c r="Z36" s="13">
        <f t="shared" si="26"/>
        <v>13.956525619199999</v>
      </c>
      <c r="AA36" s="13">
        <f t="shared" si="26"/>
        <v>13.956525619199999</v>
      </c>
      <c r="AB36" s="13">
        <f t="shared" si="26"/>
        <v>13.956525619199999</v>
      </c>
      <c r="AC36" s="13">
        <f t="shared" si="26"/>
        <v>13.956525619199999</v>
      </c>
      <c r="AD36" s="13">
        <f t="shared" si="26"/>
        <v>13.956525619199999</v>
      </c>
      <c r="AE36" s="13">
        <f t="shared" si="26"/>
        <v>13.956525619199999</v>
      </c>
      <c r="AF36" s="13">
        <f t="shared" si="26"/>
        <v>13.956525619199999</v>
      </c>
      <c r="AG36" s="13">
        <f t="shared" si="26"/>
        <v>13.956525619199999</v>
      </c>
      <c r="AH36" s="13">
        <f t="shared" si="26"/>
        <v>13.956525619199999</v>
      </c>
      <c r="AI36" s="13">
        <f t="shared" si="26"/>
        <v>13.956525619199999</v>
      </c>
      <c r="AJ36" s="13">
        <f t="shared" si="26"/>
        <v>13.956525619199999</v>
      </c>
    </row>
    <row r="37" spans="1:36" ht="12" x14ac:dyDescent="0.25">
      <c r="A37" s="141" t="str">
        <f t="shared" si="25"/>
        <v>Nickel Plate Pedestrian Bridge</v>
      </c>
      <c r="B37" s="141" t="str">
        <f t="shared" si="24"/>
        <v>WalkBike</v>
      </c>
      <c r="C37" s="141"/>
      <c r="F37" s="23" t="s">
        <v>156</v>
      </c>
      <c r="G37" s="23" t="s">
        <v>130</v>
      </c>
      <c r="H37" s="23" t="s">
        <v>157</v>
      </c>
      <c r="I37" s="29"/>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row>
    <row r="38" spans="1:36" ht="12" x14ac:dyDescent="0.25">
      <c r="A38" s="141" t="str">
        <f t="shared" si="25"/>
        <v>Nickel Plate Pedestrian Bridge</v>
      </c>
      <c r="B38" s="141" t="str">
        <f t="shared" si="24"/>
        <v>WalkBike</v>
      </c>
      <c r="C38" s="141" t="s">
        <v>140</v>
      </c>
      <c r="D38" t="s">
        <v>209</v>
      </c>
      <c r="E38" s="113" t="s">
        <v>210</v>
      </c>
      <c r="F38" s="65">
        <f>AVERAGE(K38:AJ38)</f>
        <v>13.346937456923079</v>
      </c>
      <c r="G38" s="119">
        <f>SUM(K38:P38)</f>
        <v>67.889861495999995</v>
      </c>
      <c r="H38" s="119">
        <f>SUM(K38:AJ38)</f>
        <v>347.02037388000008</v>
      </c>
      <c r="I38" s="29" t="s">
        <v>142</v>
      </c>
      <c r="K38" s="240">
        <f t="shared" ref="K38:AJ38" si="27">K36-K34</f>
        <v>-1.8927666000000001</v>
      </c>
      <c r="L38" s="240">
        <f t="shared" si="27"/>
        <v>13.956525619199999</v>
      </c>
      <c r="M38" s="240">
        <f t="shared" si="27"/>
        <v>13.956525619199999</v>
      </c>
      <c r="N38" s="240">
        <f t="shared" si="27"/>
        <v>13.956525619199999</v>
      </c>
      <c r="O38" s="240">
        <f t="shared" si="27"/>
        <v>13.956525619199999</v>
      </c>
      <c r="P38" s="240">
        <f t="shared" si="27"/>
        <v>13.956525619199999</v>
      </c>
      <c r="Q38" s="240">
        <f t="shared" si="27"/>
        <v>13.956525619199999</v>
      </c>
      <c r="R38" s="240">
        <f t="shared" si="27"/>
        <v>13.956525619199999</v>
      </c>
      <c r="S38" s="240">
        <f t="shared" si="27"/>
        <v>13.956525619199999</v>
      </c>
      <c r="T38" s="240">
        <f t="shared" si="27"/>
        <v>13.956525619199999</v>
      </c>
      <c r="U38" s="240">
        <f t="shared" si="27"/>
        <v>13.956525619199999</v>
      </c>
      <c r="V38" s="240">
        <f t="shared" si="27"/>
        <v>13.956525619199999</v>
      </c>
      <c r="W38" s="240">
        <f t="shared" si="27"/>
        <v>13.956525619199999</v>
      </c>
      <c r="X38" s="240">
        <f t="shared" si="27"/>
        <v>13.956525619199999</v>
      </c>
      <c r="Y38" s="240">
        <f t="shared" si="27"/>
        <v>13.956525619199999</v>
      </c>
      <c r="Z38" s="240">
        <f t="shared" si="27"/>
        <v>13.956525619199999</v>
      </c>
      <c r="AA38" s="240">
        <f t="shared" si="27"/>
        <v>13.956525619199999</v>
      </c>
      <c r="AB38" s="240">
        <f t="shared" si="27"/>
        <v>13.956525619199999</v>
      </c>
      <c r="AC38" s="240">
        <f t="shared" si="27"/>
        <v>13.956525619199999</v>
      </c>
      <c r="AD38" s="240">
        <f t="shared" si="27"/>
        <v>13.956525619199999</v>
      </c>
      <c r="AE38" s="240">
        <f t="shared" si="27"/>
        <v>13.956525619199999</v>
      </c>
      <c r="AF38" s="240">
        <f t="shared" si="27"/>
        <v>13.956525619199999</v>
      </c>
      <c r="AG38" s="240">
        <f t="shared" si="27"/>
        <v>13.956525619199999</v>
      </c>
      <c r="AH38" s="240">
        <f t="shared" si="27"/>
        <v>13.956525619199999</v>
      </c>
      <c r="AI38" s="240">
        <f t="shared" si="27"/>
        <v>13.956525619199999</v>
      </c>
      <c r="AJ38" s="240">
        <f t="shared" si="27"/>
        <v>13.956525619199999</v>
      </c>
    </row>
    <row r="39" spans="1:36" ht="12" x14ac:dyDescent="0.25">
      <c r="A39" s="141"/>
      <c r="B39" s="141"/>
      <c r="C39" s="141"/>
      <c r="F39" s="335"/>
      <c r="G39" s="335"/>
      <c r="H39" s="335"/>
      <c r="I39" s="29"/>
      <c r="K39" s="333"/>
      <c r="L39" s="333"/>
      <c r="M39" s="333"/>
      <c r="N39" s="333"/>
      <c r="O39" s="333"/>
      <c r="P39" s="333"/>
      <c r="Q39" s="333"/>
      <c r="R39" s="333"/>
      <c r="S39" s="333"/>
      <c r="T39" s="333"/>
      <c r="U39" s="333"/>
      <c r="V39" s="333"/>
      <c r="W39" s="333"/>
      <c r="X39" s="333"/>
      <c r="Y39" s="333"/>
      <c r="Z39" s="333"/>
      <c r="AA39" s="333"/>
      <c r="AB39" s="333"/>
      <c r="AC39" s="333"/>
      <c r="AD39" s="333"/>
      <c r="AE39" s="333"/>
      <c r="AF39" s="333"/>
      <c r="AG39" s="333"/>
      <c r="AH39" s="333"/>
      <c r="AI39" s="333"/>
      <c r="AJ39" s="333"/>
    </row>
    <row r="40" spans="1:36" ht="12" x14ac:dyDescent="0.2">
      <c r="A40" s="141"/>
      <c r="B40" s="141"/>
      <c r="C40" s="141"/>
      <c r="F40" s="5"/>
      <c r="G40" s="11"/>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row>
    <row r="41" spans="1:36" ht="12" x14ac:dyDescent="0.25">
      <c r="A41" s="141" t="str">
        <f>E41</f>
        <v>Grassy Creek Trail: Trail</v>
      </c>
      <c r="B41" s="133" t="s">
        <v>89</v>
      </c>
      <c r="C41" s="141"/>
      <c r="D41" s="33" t="s">
        <v>211</v>
      </c>
      <c r="E41" s="34" t="s">
        <v>92</v>
      </c>
      <c r="F41" s="35">
        <v>20</v>
      </c>
      <c r="G41" s="36" t="s">
        <v>212</v>
      </c>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row>
    <row r="42" spans="1:36" ht="12" x14ac:dyDescent="0.25">
      <c r="A42" s="141" t="str">
        <f>A41</f>
        <v>Grassy Creek Trail: Trail</v>
      </c>
      <c r="B42" s="141" t="str">
        <f t="shared" ref="B42:B51" si="28">B41</f>
        <v>WalkBike</v>
      </c>
      <c r="C42" s="141" t="s">
        <v>64</v>
      </c>
      <c r="E42" s="1" t="s">
        <v>198</v>
      </c>
      <c r="F42" s="12"/>
      <c r="G42" s="12"/>
      <c r="H42" s="12"/>
      <c r="I42" s="12"/>
      <c r="J42" s="12"/>
      <c r="K42" s="12"/>
      <c r="L42" s="12"/>
    </row>
    <row r="43" spans="1:36" ht="12" x14ac:dyDescent="0.2">
      <c r="A43" s="141" t="str">
        <f>A42</f>
        <v>Grassy Creek Trail: Trail</v>
      </c>
      <c r="B43" s="141" t="str">
        <f t="shared" si="28"/>
        <v>WalkBike</v>
      </c>
      <c r="C43" s="141"/>
      <c r="E43" s="5"/>
      <c r="F43" s="241">
        <v>3.8</v>
      </c>
      <c r="G43" s="12" t="s">
        <v>199</v>
      </c>
      <c r="H43" s="48"/>
      <c r="I43" s="48">
        <v>3</v>
      </c>
      <c r="J43" s="12" t="s">
        <v>200</v>
      </c>
    </row>
    <row r="44" spans="1:36" ht="12" x14ac:dyDescent="0.2">
      <c r="A44" s="141" t="str">
        <f t="shared" ref="A44:A51" si="29">A43</f>
        <v>Grassy Creek Trail: Trail</v>
      </c>
      <c r="B44" s="141" t="str">
        <f t="shared" si="28"/>
        <v>WalkBike</v>
      </c>
      <c r="C44" s="141"/>
      <c r="E44" s="5"/>
      <c r="F44" s="48">
        <v>10</v>
      </c>
      <c r="G44" s="12" t="s">
        <v>201</v>
      </c>
      <c r="H44" s="48"/>
      <c r="I44" s="48">
        <v>10</v>
      </c>
      <c r="J44" s="12" t="s">
        <v>202</v>
      </c>
    </row>
    <row r="45" spans="1:36" ht="12" x14ac:dyDescent="0.2">
      <c r="A45" s="141" t="str">
        <f t="shared" si="29"/>
        <v>Grassy Creek Trail: Trail</v>
      </c>
      <c r="B45" s="141" t="str">
        <f t="shared" si="28"/>
        <v>WalkBike</v>
      </c>
      <c r="C45" s="141"/>
      <c r="E45" s="5" t="s">
        <v>203</v>
      </c>
      <c r="F45" s="48"/>
      <c r="G45" s="12"/>
      <c r="H45" s="12"/>
      <c r="I45" s="21"/>
      <c r="J45" s="12"/>
      <c r="K45" s="26"/>
      <c r="L45" s="26">
        <f>(F43*I43)*(30*F44)*I44</f>
        <v>34199.999999999993</v>
      </c>
    </row>
    <row r="46" spans="1:36" ht="12" x14ac:dyDescent="0.2">
      <c r="A46" s="141" t="str">
        <f t="shared" si="29"/>
        <v>Grassy Creek Trail: Trail</v>
      </c>
      <c r="B46" s="141" t="str">
        <f t="shared" si="28"/>
        <v>WalkBike</v>
      </c>
      <c r="C46" s="141"/>
      <c r="E46" s="5" t="s">
        <v>204</v>
      </c>
      <c r="F46" s="48"/>
      <c r="G46" s="12"/>
      <c r="H46" s="12"/>
      <c r="I46" s="21"/>
      <c r="J46" s="12"/>
      <c r="K46" s="26"/>
      <c r="L46" s="26">
        <f>L45/$F$20</f>
        <v>5699.9999999999991</v>
      </c>
    </row>
    <row r="47" spans="1:36" ht="12" x14ac:dyDescent="0.2">
      <c r="A47" s="141" t="str">
        <f t="shared" si="29"/>
        <v>Grassy Creek Trail: Trail</v>
      </c>
      <c r="B47" s="141" t="str">
        <f t="shared" si="28"/>
        <v>WalkBike</v>
      </c>
      <c r="C47" s="141"/>
      <c r="D47" t="s">
        <v>205</v>
      </c>
      <c r="E47" s="5" t="s">
        <v>206</v>
      </c>
      <c r="F47" s="276" t="s">
        <v>207</v>
      </c>
      <c r="G47" s="12"/>
      <c r="H47" s="12"/>
      <c r="I47" s="21"/>
      <c r="J47" s="12"/>
      <c r="K47" s="26"/>
      <c r="L47" s="26">
        <f>((L46*$F$16)+(L46*$F$17*25)+(L46*$F$18*298))/1000</f>
        <v>59.937608999999995</v>
      </c>
    </row>
    <row r="48" spans="1:36" ht="12" x14ac:dyDescent="0.2">
      <c r="A48" s="141" t="str">
        <f t="shared" si="29"/>
        <v>Grassy Creek Trail: Trail</v>
      </c>
      <c r="B48" s="141" t="str">
        <f t="shared" si="28"/>
        <v>WalkBike</v>
      </c>
      <c r="C48" s="141"/>
      <c r="E48" s="5"/>
      <c r="F48" s="12"/>
      <c r="G48" s="12"/>
      <c r="H48" s="12"/>
      <c r="I48" s="12"/>
      <c r="J48" s="12"/>
      <c r="K48" s="12"/>
      <c r="L48" s="12"/>
    </row>
    <row r="49" spans="1:36" ht="12" x14ac:dyDescent="0.25">
      <c r="A49" s="141" t="str">
        <f t="shared" si="29"/>
        <v>Grassy Creek Trail: Trail</v>
      </c>
      <c r="B49" s="141" t="str">
        <f t="shared" si="28"/>
        <v>WalkBike</v>
      </c>
      <c r="C49" s="141"/>
      <c r="D49" t="s">
        <v>208</v>
      </c>
      <c r="E49" t="s">
        <v>141</v>
      </c>
      <c r="F49" s="65"/>
      <c r="G49" s="119"/>
      <c r="H49" s="119"/>
      <c r="I49" s="29"/>
      <c r="K49" s="13"/>
      <c r="L49" s="13"/>
      <c r="M49" s="13">
        <f t="shared" ref="M49:AJ49" si="30">$F41*$F$24*$L$10/1000000</f>
        <v>23.260876032000002</v>
      </c>
      <c r="N49" s="13">
        <f t="shared" si="30"/>
        <v>23.260876032000002</v>
      </c>
      <c r="O49" s="13">
        <f t="shared" si="30"/>
        <v>23.260876032000002</v>
      </c>
      <c r="P49" s="13">
        <f t="shared" si="30"/>
        <v>23.260876032000002</v>
      </c>
      <c r="Q49" s="13">
        <f t="shared" si="30"/>
        <v>23.260876032000002</v>
      </c>
      <c r="R49" s="13">
        <f t="shared" si="30"/>
        <v>23.260876032000002</v>
      </c>
      <c r="S49" s="13">
        <f t="shared" si="30"/>
        <v>23.260876032000002</v>
      </c>
      <c r="T49" s="13">
        <f t="shared" si="30"/>
        <v>23.260876032000002</v>
      </c>
      <c r="U49" s="13">
        <f t="shared" si="30"/>
        <v>23.260876032000002</v>
      </c>
      <c r="V49" s="13">
        <f t="shared" si="30"/>
        <v>23.260876032000002</v>
      </c>
      <c r="W49" s="13">
        <f t="shared" si="30"/>
        <v>23.260876032000002</v>
      </c>
      <c r="X49" s="13">
        <f t="shared" si="30"/>
        <v>23.260876032000002</v>
      </c>
      <c r="Y49" s="13">
        <f t="shared" si="30"/>
        <v>23.260876032000002</v>
      </c>
      <c r="Z49" s="13">
        <f t="shared" si="30"/>
        <v>23.260876032000002</v>
      </c>
      <c r="AA49" s="13">
        <f t="shared" si="30"/>
        <v>23.260876032000002</v>
      </c>
      <c r="AB49" s="13">
        <f t="shared" si="30"/>
        <v>23.260876032000002</v>
      </c>
      <c r="AC49" s="13">
        <f t="shared" si="30"/>
        <v>23.260876032000002</v>
      </c>
      <c r="AD49" s="13">
        <f t="shared" si="30"/>
        <v>23.260876032000002</v>
      </c>
      <c r="AE49" s="13">
        <f t="shared" si="30"/>
        <v>23.260876032000002</v>
      </c>
      <c r="AF49" s="13">
        <f t="shared" si="30"/>
        <v>23.260876032000002</v>
      </c>
      <c r="AG49" s="13">
        <f t="shared" si="30"/>
        <v>23.260876032000002</v>
      </c>
      <c r="AH49" s="13">
        <f t="shared" si="30"/>
        <v>23.260876032000002</v>
      </c>
      <c r="AI49" s="13">
        <f t="shared" si="30"/>
        <v>23.260876032000002</v>
      </c>
      <c r="AJ49" s="13">
        <f t="shared" si="30"/>
        <v>23.260876032000002</v>
      </c>
    </row>
    <row r="50" spans="1:36" ht="12" x14ac:dyDescent="0.25">
      <c r="A50" s="141" t="str">
        <f t="shared" si="29"/>
        <v>Grassy Creek Trail: Trail</v>
      </c>
      <c r="B50" s="141" t="str">
        <f t="shared" si="28"/>
        <v>WalkBike</v>
      </c>
      <c r="C50" s="141"/>
      <c r="F50" s="23" t="s">
        <v>156</v>
      </c>
      <c r="G50" s="23" t="s">
        <v>130</v>
      </c>
      <c r="H50" s="23" t="s">
        <v>157</v>
      </c>
      <c r="I50" s="29"/>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row>
    <row r="51" spans="1:36" ht="12" x14ac:dyDescent="0.25">
      <c r="A51" s="141" t="str">
        <f t="shared" si="29"/>
        <v>Grassy Creek Trail: Trail</v>
      </c>
      <c r="B51" s="141" t="str">
        <f t="shared" si="28"/>
        <v>WalkBike</v>
      </c>
      <c r="C51" s="141" t="s">
        <v>140</v>
      </c>
      <c r="D51" t="s">
        <v>209</v>
      </c>
      <c r="E51" s="113" t="s">
        <v>210</v>
      </c>
      <c r="F51" s="65">
        <f>AVERAGE(K51:AJ51)</f>
        <v>19.93293663072</v>
      </c>
      <c r="G51" s="119">
        <f>SUM(K51:P51)</f>
        <v>33.105895128000014</v>
      </c>
      <c r="H51" s="119">
        <f>SUM(K51:AJ51)</f>
        <v>498.32341576800002</v>
      </c>
      <c r="I51" s="29" t="s">
        <v>142</v>
      </c>
      <c r="K51" s="240"/>
      <c r="L51" s="240">
        <f t="shared" ref="L51:AJ51" si="31">L49-L47</f>
        <v>-59.937608999999995</v>
      </c>
      <c r="M51" s="240">
        <f t="shared" si="31"/>
        <v>23.260876032000002</v>
      </c>
      <c r="N51" s="240">
        <f t="shared" si="31"/>
        <v>23.260876032000002</v>
      </c>
      <c r="O51" s="240">
        <f t="shared" si="31"/>
        <v>23.260876032000002</v>
      </c>
      <c r="P51" s="240">
        <f t="shared" si="31"/>
        <v>23.260876032000002</v>
      </c>
      <c r="Q51" s="240">
        <f t="shared" si="31"/>
        <v>23.260876032000002</v>
      </c>
      <c r="R51" s="240">
        <f t="shared" si="31"/>
        <v>23.260876032000002</v>
      </c>
      <c r="S51" s="240">
        <f t="shared" si="31"/>
        <v>23.260876032000002</v>
      </c>
      <c r="T51" s="240">
        <f t="shared" si="31"/>
        <v>23.260876032000002</v>
      </c>
      <c r="U51" s="240">
        <f t="shared" si="31"/>
        <v>23.260876032000002</v>
      </c>
      <c r="V51" s="240">
        <f t="shared" si="31"/>
        <v>23.260876032000002</v>
      </c>
      <c r="W51" s="240">
        <f t="shared" si="31"/>
        <v>23.260876032000002</v>
      </c>
      <c r="X51" s="240">
        <f t="shared" si="31"/>
        <v>23.260876032000002</v>
      </c>
      <c r="Y51" s="240">
        <f t="shared" si="31"/>
        <v>23.260876032000002</v>
      </c>
      <c r="Z51" s="240">
        <f t="shared" si="31"/>
        <v>23.260876032000002</v>
      </c>
      <c r="AA51" s="240">
        <f t="shared" si="31"/>
        <v>23.260876032000002</v>
      </c>
      <c r="AB51" s="240">
        <f t="shared" si="31"/>
        <v>23.260876032000002</v>
      </c>
      <c r="AC51" s="240">
        <f t="shared" si="31"/>
        <v>23.260876032000002</v>
      </c>
      <c r="AD51" s="240">
        <f t="shared" si="31"/>
        <v>23.260876032000002</v>
      </c>
      <c r="AE51" s="240">
        <f t="shared" si="31"/>
        <v>23.260876032000002</v>
      </c>
      <c r="AF51" s="240">
        <f t="shared" si="31"/>
        <v>23.260876032000002</v>
      </c>
      <c r="AG51" s="240">
        <f t="shared" si="31"/>
        <v>23.260876032000002</v>
      </c>
      <c r="AH51" s="240">
        <f t="shared" si="31"/>
        <v>23.260876032000002</v>
      </c>
      <c r="AI51" s="240">
        <f t="shared" si="31"/>
        <v>23.260876032000002</v>
      </c>
      <c r="AJ51" s="240">
        <f t="shared" si="31"/>
        <v>23.260876032000002</v>
      </c>
    </row>
    <row r="52" spans="1:36" ht="12" x14ac:dyDescent="0.2">
      <c r="A52" s="141"/>
      <c r="B52" s="141"/>
      <c r="C52" s="141"/>
      <c r="F52" s="5"/>
      <c r="G52" s="11"/>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row>
    <row r="53" spans="1:36" ht="12" x14ac:dyDescent="0.25">
      <c r="A53" s="141" t="str">
        <f>E53</f>
        <v>Grassy Creek Trail: Trees</v>
      </c>
      <c r="B53" s="133" t="s">
        <v>94</v>
      </c>
      <c r="C53" s="141"/>
      <c r="D53" s="33" t="s">
        <v>213</v>
      </c>
      <c r="E53" s="34" t="s">
        <v>93</v>
      </c>
      <c r="F53" s="35">
        <v>81</v>
      </c>
      <c r="G53" s="36" t="s">
        <v>214</v>
      </c>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row>
    <row r="54" spans="1:36" ht="12" x14ac:dyDescent="0.25">
      <c r="A54" s="141" t="str">
        <f>A53</f>
        <v>Grassy Creek Trail: Trees</v>
      </c>
      <c r="B54" s="141" t="str">
        <f>B53</f>
        <v>Tree Planting</v>
      </c>
      <c r="C54" s="141" t="s">
        <v>64</v>
      </c>
      <c r="E54" s="1" t="s">
        <v>215</v>
      </c>
      <c r="F54" s="241">
        <v>80</v>
      </c>
      <c r="G54" s="12" t="s">
        <v>137</v>
      </c>
      <c r="H54" s="48"/>
    </row>
    <row r="55" spans="1:36" ht="12" x14ac:dyDescent="0.2">
      <c r="A55" s="141" t="str">
        <f t="shared" ref="A55:A58" si="32">A54</f>
        <v>Grassy Creek Trail: Trees</v>
      </c>
      <c r="B55" s="141" t="str">
        <f t="shared" ref="B55:B58" si="33">B54</f>
        <v>Tree Planting</v>
      </c>
      <c r="C55" s="141" t="s">
        <v>64</v>
      </c>
      <c r="E55" s="5"/>
      <c r="F55" s="258">
        <f>Provided!$F$14</f>
        <v>1.2</v>
      </c>
      <c r="G55" t="s">
        <v>139</v>
      </c>
      <c r="H55" s="45" t="s">
        <v>216</v>
      </c>
    </row>
    <row r="56" spans="1:36" ht="12" x14ac:dyDescent="0.2">
      <c r="A56" s="141" t="str">
        <f t="shared" si="32"/>
        <v>Grassy Creek Trail: Trees</v>
      </c>
      <c r="B56" s="141" t="str">
        <f t="shared" si="33"/>
        <v>Tree Planting</v>
      </c>
      <c r="C56" s="141"/>
      <c r="E56" s="5"/>
      <c r="F56" s="258"/>
      <c r="H56" s="45"/>
    </row>
    <row r="57" spans="1:36" ht="12" x14ac:dyDescent="0.25">
      <c r="A57" s="141" t="str">
        <f t="shared" si="32"/>
        <v>Grassy Creek Trail: Trees</v>
      </c>
      <c r="B57" s="141" t="str">
        <f t="shared" si="33"/>
        <v>Tree Planting</v>
      </c>
      <c r="C57" s="141"/>
      <c r="E57" s="5"/>
      <c r="F57" s="23" t="s">
        <v>156</v>
      </c>
      <c r="G57" s="23" t="s">
        <v>130</v>
      </c>
      <c r="H57" s="23" t="s">
        <v>157</v>
      </c>
    </row>
    <row r="58" spans="1:36" ht="12" x14ac:dyDescent="0.25">
      <c r="A58" s="141" t="str">
        <f t="shared" si="32"/>
        <v>Grassy Creek Trail: Trees</v>
      </c>
      <c r="B58" s="141" t="str">
        <f t="shared" si="33"/>
        <v>Tree Planting</v>
      </c>
      <c r="C58" s="141" t="s">
        <v>140</v>
      </c>
      <c r="E58" s="113" t="s">
        <v>210</v>
      </c>
      <c r="F58" s="119">
        <f>F54*F55</f>
        <v>96</v>
      </c>
      <c r="G58" s="119">
        <f>SUM(K58:P58)</f>
        <v>384</v>
      </c>
      <c r="H58" s="119">
        <f>SUM(K58:AJ58)</f>
        <v>2304</v>
      </c>
      <c r="L58" s="13"/>
      <c r="M58" s="13">
        <f t="shared" ref="M58:AJ58" si="34">$F58</f>
        <v>96</v>
      </c>
      <c r="N58" s="13">
        <f t="shared" si="34"/>
        <v>96</v>
      </c>
      <c r="O58" s="13">
        <f t="shared" si="34"/>
        <v>96</v>
      </c>
      <c r="P58" s="13">
        <f t="shared" si="34"/>
        <v>96</v>
      </c>
      <c r="Q58" s="13">
        <f t="shared" si="34"/>
        <v>96</v>
      </c>
      <c r="R58" s="13">
        <f t="shared" si="34"/>
        <v>96</v>
      </c>
      <c r="S58" s="13">
        <f t="shared" si="34"/>
        <v>96</v>
      </c>
      <c r="T58" s="13">
        <f t="shared" si="34"/>
        <v>96</v>
      </c>
      <c r="U58" s="13">
        <f t="shared" si="34"/>
        <v>96</v>
      </c>
      <c r="V58" s="13">
        <f t="shared" si="34"/>
        <v>96</v>
      </c>
      <c r="W58" s="13">
        <f t="shared" si="34"/>
        <v>96</v>
      </c>
      <c r="X58" s="13">
        <f t="shared" si="34"/>
        <v>96</v>
      </c>
      <c r="Y58" s="13">
        <f t="shared" si="34"/>
        <v>96</v>
      </c>
      <c r="Z58" s="13">
        <f t="shared" si="34"/>
        <v>96</v>
      </c>
      <c r="AA58" s="13">
        <f t="shared" si="34"/>
        <v>96</v>
      </c>
      <c r="AB58" s="13">
        <f t="shared" si="34"/>
        <v>96</v>
      </c>
      <c r="AC58" s="13">
        <f t="shared" si="34"/>
        <v>96</v>
      </c>
      <c r="AD58" s="13">
        <f t="shared" si="34"/>
        <v>96</v>
      </c>
      <c r="AE58" s="13">
        <f t="shared" si="34"/>
        <v>96</v>
      </c>
      <c r="AF58" s="13">
        <f t="shared" si="34"/>
        <v>96</v>
      </c>
      <c r="AG58" s="13">
        <f t="shared" si="34"/>
        <v>96</v>
      </c>
      <c r="AH58" s="13">
        <f t="shared" si="34"/>
        <v>96</v>
      </c>
      <c r="AI58" s="13">
        <f t="shared" si="34"/>
        <v>96</v>
      </c>
      <c r="AJ58" s="13">
        <f t="shared" si="34"/>
        <v>96</v>
      </c>
    </row>
    <row r="59" spans="1:36" ht="12" x14ac:dyDescent="0.2">
      <c r="A59" s="141" t="str">
        <f>A58</f>
        <v>Grassy Creek Trail: Trees</v>
      </c>
      <c r="B59" s="141" t="str">
        <f>B58</f>
        <v>Tree Planting</v>
      </c>
      <c r="C59" s="141" t="s">
        <v>64</v>
      </c>
      <c r="E59" s="5" t="s">
        <v>217</v>
      </c>
    </row>
    <row r="60" spans="1:36" ht="12" x14ac:dyDescent="0.2">
      <c r="A60" s="141"/>
      <c r="B60" s="141"/>
      <c r="C60" s="141"/>
      <c r="E60" s="5"/>
    </row>
    <row r="61" spans="1:36" ht="12" x14ac:dyDescent="0.25">
      <c r="A61" s="141" t="str">
        <f>E61</f>
        <v>Grassy Creek Trail</v>
      </c>
      <c r="B61" s="133" t="s">
        <v>91</v>
      </c>
      <c r="D61" s="33"/>
      <c r="E61" s="34" t="s">
        <v>17</v>
      </c>
      <c r="F61" s="33"/>
      <c r="G61" s="123" t="s">
        <v>218</v>
      </c>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row>
    <row r="62" spans="1:36" ht="12" x14ac:dyDescent="0.25">
      <c r="A62" s="141" t="str">
        <f t="shared" ref="A62:B63" si="35">A61</f>
        <v>Grassy Creek Trail</v>
      </c>
      <c r="B62" s="141" t="str">
        <f t="shared" si="35"/>
        <v>Total for Mult. Meas.</v>
      </c>
      <c r="C62" s="141" t="s">
        <v>64</v>
      </c>
      <c r="E62" s="1" t="s">
        <v>219</v>
      </c>
      <c r="F62" s="23" t="s">
        <v>156</v>
      </c>
      <c r="G62" s="23" t="s">
        <v>130</v>
      </c>
      <c r="H62" s="23" t="s">
        <v>157</v>
      </c>
    </row>
    <row r="63" spans="1:36" ht="12" x14ac:dyDescent="0.25">
      <c r="A63" s="141" t="str">
        <f t="shared" si="35"/>
        <v>Grassy Creek Trail</v>
      </c>
      <c r="B63" s="141" t="str">
        <f t="shared" si="35"/>
        <v>Total for Mult. Meas.</v>
      </c>
      <c r="C63" s="141" t="s">
        <v>140</v>
      </c>
      <c r="E63" s="22"/>
      <c r="F63" s="65">
        <f>AVERAGE(K63:AJ63)</f>
        <v>112.09293663071996</v>
      </c>
      <c r="G63" s="119">
        <f>SUM(K63:P63)</f>
        <v>417.10589512799999</v>
      </c>
      <c r="H63" s="119">
        <f>SUM(K63:AJ63)</f>
        <v>2802.323415767999</v>
      </c>
      <c r="I63" s="29" t="s">
        <v>142</v>
      </c>
      <c r="K63" s="57"/>
      <c r="L63" s="57">
        <f t="shared" ref="L63:AJ63" si="36">L58+L51</f>
        <v>-59.937608999999995</v>
      </c>
      <c r="M63" s="57">
        <f t="shared" si="36"/>
        <v>119.260876032</v>
      </c>
      <c r="N63" s="57">
        <f t="shared" si="36"/>
        <v>119.260876032</v>
      </c>
      <c r="O63" s="57">
        <f t="shared" si="36"/>
        <v>119.260876032</v>
      </c>
      <c r="P63" s="57">
        <f t="shared" si="36"/>
        <v>119.260876032</v>
      </c>
      <c r="Q63" s="57">
        <f t="shared" si="36"/>
        <v>119.260876032</v>
      </c>
      <c r="R63" s="57">
        <f t="shared" si="36"/>
        <v>119.260876032</v>
      </c>
      <c r="S63" s="57">
        <f t="shared" si="36"/>
        <v>119.260876032</v>
      </c>
      <c r="T63" s="57">
        <f t="shared" si="36"/>
        <v>119.260876032</v>
      </c>
      <c r="U63" s="57">
        <f t="shared" si="36"/>
        <v>119.260876032</v>
      </c>
      <c r="V63" s="57">
        <f t="shared" si="36"/>
        <v>119.260876032</v>
      </c>
      <c r="W63" s="57">
        <f t="shared" si="36"/>
        <v>119.260876032</v>
      </c>
      <c r="X63" s="57">
        <f t="shared" si="36"/>
        <v>119.260876032</v>
      </c>
      <c r="Y63" s="57">
        <f t="shared" si="36"/>
        <v>119.260876032</v>
      </c>
      <c r="Z63" s="57">
        <f t="shared" si="36"/>
        <v>119.260876032</v>
      </c>
      <c r="AA63" s="57">
        <f t="shared" si="36"/>
        <v>119.260876032</v>
      </c>
      <c r="AB63" s="57">
        <f t="shared" si="36"/>
        <v>119.260876032</v>
      </c>
      <c r="AC63" s="57">
        <f t="shared" si="36"/>
        <v>119.260876032</v>
      </c>
      <c r="AD63" s="57">
        <f t="shared" si="36"/>
        <v>119.260876032</v>
      </c>
      <c r="AE63" s="57">
        <f t="shared" si="36"/>
        <v>119.260876032</v>
      </c>
      <c r="AF63" s="57">
        <f t="shared" si="36"/>
        <v>119.260876032</v>
      </c>
      <c r="AG63" s="57">
        <f t="shared" si="36"/>
        <v>119.260876032</v>
      </c>
      <c r="AH63" s="57">
        <f t="shared" si="36"/>
        <v>119.260876032</v>
      </c>
      <c r="AI63" s="57">
        <f t="shared" si="36"/>
        <v>119.260876032</v>
      </c>
      <c r="AJ63" s="57">
        <f t="shared" si="36"/>
        <v>119.260876032</v>
      </c>
    </row>
    <row r="64" spans="1:36" ht="12" x14ac:dyDescent="0.25">
      <c r="A64" s="141"/>
      <c r="B64" s="141"/>
      <c r="C64" s="141"/>
      <c r="F64" s="335"/>
      <c r="G64" s="335"/>
      <c r="H64" s="335"/>
      <c r="I64" s="29"/>
      <c r="K64" s="333"/>
      <c r="L64" s="333"/>
      <c r="M64" s="333"/>
      <c r="N64" s="333"/>
      <c r="O64" s="333"/>
      <c r="P64" s="333"/>
      <c r="Q64" s="333"/>
      <c r="R64" s="333"/>
      <c r="S64" s="333"/>
      <c r="T64" s="333"/>
      <c r="U64" s="333"/>
      <c r="V64" s="333"/>
      <c r="W64" s="333"/>
      <c r="X64" s="333"/>
      <c r="Y64" s="333"/>
      <c r="Z64" s="333"/>
      <c r="AA64" s="333"/>
      <c r="AB64" s="333"/>
      <c r="AC64" s="333"/>
      <c r="AD64" s="333"/>
      <c r="AE64" s="333"/>
      <c r="AF64" s="333"/>
      <c r="AG64" s="333"/>
      <c r="AH64" s="333"/>
      <c r="AI64" s="333"/>
      <c r="AJ64" s="333"/>
    </row>
    <row r="65" spans="1:36" ht="12" x14ac:dyDescent="0.25">
      <c r="A65" s="141"/>
      <c r="B65" s="141"/>
      <c r="C65" s="141"/>
      <c r="F65" s="335"/>
      <c r="G65" s="335"/>
      <c r="H65" s="335"/>
      <c r="I65" s="29"/>
      <c r="K65" s="333"/>
      <c r="L65" s="333"/>
      <c r="M65" s="333"/>
      <c r="N65" s="333"/>
      <c r="O65" s="333"/>
      <c r="P65" s="333"/>
      <c r="Q65" s="333"/>
      <c r="R65" s="333"/>
      <c r="S65" s="333"/>
      <c r="T65" s="333"/>
      <c r="U65" s="333"/>
      <c r="V65" s="333"/>
      <c r="W65" s="333"/>
      <c r="X65" s="333"/>
      <c r="Y65" s="333"/>
      <c r="Z65" s="333"/>
      <c r="AA65" s="333"/>
      <c r="AB65" s="333"/>
      <c r="AC65" s="333"/>
      <c r="AD65" s="333"/>
      <c r="AE65" s="333"/>
      <c r="AF65" s="333"/>
      <c r="AG65" s="333"/>
      <c r="AH65" s="333"/>
      <c r="AI65" s="333"/>
      <c r="AJ65" s="333"/>
    </row>
    <row r="66" spans="1:36" ht="12" x14ac:dyDescent="0.25">
      <c r="A66" s="141" t="str">
        <f>E66</f>
        <v>EXAMPLE: Hybrid Buses</v>
      </c>
      <c r="B66" s="133" t="s">
        <v>107</v>
      </c>
      <c r="C66" s="141"/>
      <c r="D66" s="33"/>
      <c r="E66" s="34" t="s">
        <v>106</v>
      </c>
      <c r="F66" s="191">
        <f>F79*5</f>
        <v>109.96557537868726</v>
      </c>
      <c r="G66" s="36" t="s">
        <v>220</v>
      </c>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row>
    <row r="67" spans="1:36" ht="12" x14ac:dyDescent="0.25">
      <c r="A67" s="141" t="str">
        <f>A66</f>
        <v>EXAMPLE: Hybrid Buses</v>
      </c>
      <c r="B67" s="141" t="str">
        <f t="shared" ref="B67" si="37">B66</f>
        <v>Hybrid Buses-EXAMPLE</v>
      </c>
      <c r="C67" s="141" t="s">
        <v>64</v>
      </c>
      <c r="E67" s="1" t="s">
        <v>198</v>
      </c>
      <c r="F67" s="12"/>
      <c r="G67" s="12"/>
      <c r="H67" s="12"/>
      <c r="I67" s="12"/>
      <c r="J67" s="12"/>
      <c r="K67" s="12"/>
      <c r="L67" s="12"/>
    </row>
    <row r="68" spans="1:36" ht="12" x14ac:dyDescent="0.2">
      <c r="A68" s="141" t="str">
        <f t="shared" ref="A68:A82" si="38">A67</f>
        <v>EXAMPLE: Hybrid Buses</v>
      </c>
      <c r="B68" s="141" t="str">
        <f t="shared" ref="B68:B82" si="39">B67</f>
        <v>Hybrid Buses-EXAMPLE</v>
      </c>
      <c r="C68" s="141" t="s">
        <v>64</v>
      </c>
      <c r="E68" s="5" t="s">
        <v>221</v>
      </c>
      <c r="F68" s="241">
        <v>5</v>
      </c>
      <c r="G68" s="12" t="s">
        <v>199</v>
      </c>
      <c r="H68" s="48"/>
      <c r="I68" s="48">
        <v>3</v>
      </c>
      <c r="J68" s="12" t="s">
        <v>200</v>
      </c>
    </row>
    <row r="69" spans="1:36" ht="12" x14ac:dyDescent="0.2">
      <c r="A69" s="141" t="str">
        <f t="shared" si="38"/>
        <v>EXAMPLE: Hybrid Buses</v>
      </c>
      <c r="B69" s="141" t="str">
        <f t="shared" si="39"/>
        <v>Hybrid Buses-EXAMPLE</v>
      </c>
      <c r="C69" s="141" t="s">
        <v>64</v>
      </c>
      <c r="E69" s="5"/>
      <c r="F69" s="48">
        <v>11</v>
      </c>
      <c r="G69" s="12" t="s">
        <v>201</v>
      </c>
      <c r="H69" s="48"/>
      <c r="I69" s="48">
        <v>4</v>
      </c>
      <c r="J69" s="12" t="s">
        <v>202</v>
      </c>
    </row>
    <row r="70" spans="1:36" ht="12" x14ac:dyDescent="0.2">
      <c r="A70" s="141" t="str">
        <f t="shared" si="38"/>
        <v>EXAMPLE: Hybrid Buses</v>
      </c>
      <c r="B70" s="141" t="str">
        <f t="shared" si="39"/>
        <v>Hybrid Buses-EXAMPLE</v>
      </c>
      <c r="C70" s="141" t="s">
        <v>64</v>
      </c>
      <c r="E70" s="5" t="s">
        <v>203</v>
      </c>
      <c r="F70" s="48"/>
      <c r="G70" s="12"/>
      <c r="H70" s="12"/>
      <c r="I70" s="21"/>
      <c r="J70" s="12"/>
      <c r="K70" s="26">
        <f>(F68*I68)*(30*F69)*I69</f>
        <v>19800</v>
      </c>
      <c r="L70" s="26"/>
    </row>
    <row r="71" spans="1:36" ht="12" x14ac:dyDescent="0.2">
      <c r="A71" s="141" t="str">
        <f t="shared" si="38"/>
        <v>EXAMPLE: Hybrid Buses</v>
      </c>
      <c r="B71" s="141" t="str">
        <f t="shared" si="39"/>
        <v>Hybrid Buses-EXAMPLE</v>
      </c>
      <c r="C71" s="141" t="s">
        <v>64</v>
      </c>
      <c r="E71" s="5" t="s">
        <v>204</v>
      </c>
      <c r="F71" s="48"/>
      <c r="G71" s="12"/>
      <c r="H71" s="12"/>
      <c r="I71" s="21"/>
      <c r="J71" s="12"/>
      <c r="K71" s="26">
        <f>K70/$F$20</f>
        <v>3300</v>
      </c>
      <c r="L71" s="26"/>
    </row>
    <row r="72" spans="1:36" ht="12" x14ac:dyDescent="0.2">
      <c r="A72" s="141" t="str">
        <f t="shared" si="38"/>
        <v>EXAMPLE: Hybrid Buses</v>
      </c>
      <c r="B72" s="141" t="str">
        <f t="shared" si="39"/>
        <v>Hybrid Buses-EXAMPLE</v>
      </c>
      <c r="C72" s="141" t="s">
        <v>64</v>
      </c>
      <c r="D72" t="s">
        <v>205</v>
      </c>
      <c r="E72" s="5" t="s">
        <v>206</v>
      </c>
      <c r="F72" s="276" t="s">
        <v>207</v>
      </c>
      <c r="G72" s="12"/>
      <c r="H72" s="12"/>
      <c r="I72" s="21"/>
      <c r="J72" s="12"/>
      <c r="K72" s="26">
        <f>((K71*$F$16)+(K71*$F$17*25)+(K71*$F$18*298))/1000</f>
        <v>34.700720999999994</v>
      </c>
      <c r="L72" s="26">
        <f>K72</f>
        <v>34.700720999999994</v>
      </c>
    </row>
    <row r="73" spans="1:36" ht="12" x14ac:dyDescent="0.2">
      <c r="A73" s="141" t="str">
        <f t="shared" si="38"/>
        <v>EXAMPLE: Hybrid Buses</v>
      </c>
      <c r="B73" s="141" t="str">
        <f t="shared" si="39"/>
        <v>Hybrid Buses-EXAMPLE</v>
      </c>
      <c r="C73" s="141" t="s">
        <v>64</v>
      </c>
      <c r="E73" s="5"/>
      <c r="F73" s="48"/>
      <c r="G73" s="12"/>
      <c r="H73" s="12"/>
      <c r="I73" s="21"/>
      <c r="J73" s="12"/>
      <c r="K73" s="26"/>
      <c r="L73" s="26"/>
    </row>
    <row r="74" spans="1:36" ht="12" x14ac:dyDescent="0.2">
      <c r="A74" s="141" t="str">
        <f t="shared" si="38"/>
        <v>EXAMPLE: Hybrid Buses</v>
      </c>
      <c r="B74" s="141" t="str">
        <f t="shared" si="39"/>
        <v>Hybrid Buses-EXAMPLE</v>
      </c>
      <c r="C74" s="141" t="s">
        <v>64</v>
      </c>
      <c r="E74" t="s">
        <v>222</v>
      </c>
      <c r="F74" s="190">
        <f>30000000/1000</f>
        <v>30000</v>
      </c>
      <c r="G74" t="s">
        <v>223</v>
      </c>
    </row>
    <row r="75" spans="1:36" ht="12" x14ac:dyDescent="0.2">
      <c r="A75" s="141" t="str">
        <f t="shared" si="38"/>
        <v>EXAMPLE: Hybrid Buses</v>
      </c>
      <c r="B75" s="141" t="str">
        <f t="shared" si="39"/>
        <v>Hybrid Buses-EXAMPLE</v>
      </c>
      <c r="C75" s="141" t="s">
        <v>64</v>
      </c>
      <c r="E75" t="s">
        <v>224</v>
      </c>
      <c r="F75" s="125">
        <f>Programs!D16/1000</f>
        <v>18797.515455232802</v>
      </c>
      <c r="G75" t="s">
        <v>223</v>
      </c>
    </row>
    <row r="76" spans="1:36" ht="12" x14ac:dyDescent="0.2">
      <c r="A76" s="141" t="str">
        <f t="shared" si="38"/>
        <v>EXAMPLE: Hybrid Buses</v>
      </c>
      <c r="B76" s="141" t="str">
        <f t="shared" si="39"/>
        <v>Hybrid Buses-EXAMPLE</v>
      </c>
      <c r="C76" s="141" t="s">
        <v>64</v>
      </c>
      <c r="E76" t="s">
        <v>225</v>
      </c>
      <c r="F76" s="254">
        <f>((600000*107%)+(21270*10))/1000</f>
        <v>854.7</v>
      </c>
      <c r="G76" t="s">
        <v>223</v>
      </c>
      <c r="I76" s="24"/>
    </row>
    <row r="77" spans="1:36" ht="12" x14ac:dyDescent="0.25">
      <c r="A77" s="141" t="str">
        <f t="shared" si="38"/>
        <v>EXAMPLE: Hybrid Buses</v>
      </c>
      <c r="B77" s="141" t="str">
        <f t="shared" si="39"/>
        <v>Hybrid Buses-EXAMPLE</v>
      </c>
      <c r="C77" s="141" t="s">
        <v>64</v>
      </c>
      <c r="E77" s="9"/>
      <c r="F77" s="143"/>
    </row>
    <row r="78" spans="1:36" ht="12" x14ac:dyDescent="0.25">
      <c r="A78" s="141" t="str">
        <f t="shared" si="38"/>
        <v>EXAMPLE: Hybrid Buses</v>
      </c>
      <c r="B78" s="141" t="str">
        <f t="shared" si="39"/>
        <v>Hybrid Buses-EXAMPLE</v>
      </c>
      <c r="C78" s="141" t="s">
        <v>64</v>
      </c>
      <c r="D78" t="s">
        <v>208</v>
      </c>
      <c r="E78" t="s">
        <v>141</v>
      </c>
      <c r="F78" s="5"/>
      <c r="G78" s="14"/>
      <c r="H78" s="14"/>
      <c r="I78" s="29"/>
      <c r="K78" s="13"/>
      <c r="L78" s="13"/>
      <c r="M78" s="13">
        <f t="shared" ref="M78:AJ78" si="40">$F66*$F$24*$M$10/1000000</f>
        <v>125.76180196861384</v>
      </c>
      <c r="N78" s="13">
        <f t="shared" si="40"/>
        <v>125.76180196861384</v>
      </c>
      <c r="O78" s="13">
        <f t="shared" si="40"/>
        <v>125.76180196861384</v>
      </c>
      <c r="P78" s="13">
        <f t="shared" si="40"/>
        <v>125.76180196861384</v>
      </c>
      <c r="Q78" s="13">
        <f t="shared" si="40"/>
        <v>125.76180196861384</v>
      </c>
      <c r="R78" s="13">
        <f t="shared" si="40"/>
        <v>125.76180196861384</v>
      </c>
      <c r="S78" s="13">
        <f t="shared" si="40"/>
        <v>125.76180196861384</v>
      </c>
      <c r="T78" s="13">
        <f t="shared" si="40"/>
        <v>125.76180196861384</v>
      </c>
      <c r="U78" s="13">
        <f t="shared" si="40"/>
        <v>125.76180196861384</v>
      </c>
      <c r="V78" s="13">
        <f t="shared" si="40"/>
        <v>125.76180196861384</v>
      </c>
      <c r="W78" s="13">
        <f t="shared" si="40"/>
        <v>125.76180196861384</v>
      </c>
      <c r="X78" s="13">
        <f t="shared" si="40"/>
        <v>125.76180196861384</v>
      </c>
      <c r="Y78" s="13">
        <f t="shared" si="40"/>
        <v>125.76180196861384</v>
      </c>
      <c r="Z78" s="13">
        <f t="shared" si="40"/>
        <v>125.76180196861384</v>
      </c>
      <c r="AA78" s="13">
        <f t="shared" si="40"/>
        <v>125.76180196861384</v>
      </c>
      <c r="AB78" s="13">
        <f t="shared" si="40"/>
        <v>125.76180196861384</v>
      </c>
      <c r="AC78" s="13">
        <f t="shared" si="40"/>
        <v>125.76180196861384</v>
      </c>
      <c r="AD78" s="13">
        <f t="shared" si="40"/>
        <v>125.76180196861384</v>
      </c>
      <c r="AE78" s="13">
        <f t="shared" si="40"/>
        <v>125.76180196861384</v>
      </c>
      <c r="AF78" s="13">
        <f t="shared" si="40"/>
        <v>125.76180196861384</v>
      </c>
      <c r="AG78" s="13">
        <f t="shared" si="40"/>
        <v>125.76180196861384</v>
      </c>
      <c r="AH78" s="13">
        <f t="shared" si="40"/>
        <v>125.76180196861384</v>
      </c>
      <c r="AI78" s="13">
        <f t="shared" si="40"/>
        <v>125.76180196861384</v>
      </c>
      <c r="AJ78" s="13">
        <f t="shared" si="40"/>
        <v>125.76180196861384</v>
      </c>
    </row>
    <row r="79" spans="1:36" ht="12" x14ac:dyDescent="0.25">
      <c r="A79" s="141" t="str">
        <f t="shared" si="38"/>
        <v>EXAMPLE: Hybrid Buses</v>
      </c>
      <c r="B79" s="141" t="str">
        <f t="shared" si="39"/>
        <v>Hybrid Buses-EXAMPLE</v>
      </c>
      <c r="C79" s="141" t="s">
        <v>64</v>
      </c>
      <c r="F79" s="64">
        <f>F75/F76</f>
        <v>21.993115075737453</v>
      </c>
      <c r="G79" t="s">
        <v>226</v>
      </c>
    </row>
    <row r="80" spans="1:36" ht="12" x14ac:dyDescent="0.25">
      <c r="A80" s="141" t="str">
        <f t="shared" si="38"/>
        <v>EXAMPLE: Hybrid Buses</v>
      </c>
      <c r="B80" s="141" t="str">
        <f t="shared" si="39"/>
        <v>Hybrid Buses-EXAMPLE</v>
      </c>
      <c r="C80" s="141" t="s">
        <v>64</v>
      </c>
      <c r="D80" t="s">
        <v>205</v>
      </c>
      <c r="E80" t="s">
        <v>227</v>
      </c>
      <c r="F80" s="5"/>
      <c r="G80" s="14"/>
      <c r="H80" s="14"/>
      <c r="I80" s="66">
        <v>0.25</v>
      </c>
      <c r="J80" s="67" t="s">
        <v>228</v>
      </c>
      <c r="K80" s="13"/>
      <c r="L80" s="13"/>
      <c r="M80" s="13">
        <f t="shared" ref="M80:AJ80" si="41">$F79*$F$24*($M$13*$I80)/1000000</f>
        <v>28.395611502573217</v>
      </c>
      <c r="N80" s="13">
        <f t="shared" si="41"/>
        <v>28.395611502573217</v>
      </c>
      <c r="O80" s="13">
        <f t="shared" si="41"/>
        <v>28.395611502573217</v>
      </c>
      <c r="P80" s="13">
        <f t="shared" si="41"/>
        <v>28.395611502573217</v>
      </c>
      <c r="Q80" s="13">
        <f t="shared" si="41"/>
        <v>28.395611502573217</v>
      </c>
      <c r="R80" s="13">
        <f t="shared" si="41"/>
        <v>28.395611502573217</v>
      </c>
      <c r="S80" s="13">
        <f t="shared" si="41"/>
        <v>28.395611502573217</v>
      </c>
      <c r="T80" s="13">
        <f t="shared" si="41"/>
        <v>28.395611502573217</v>
      </c>
      <c r="U80" s="13">
        <f t="shared" si="41"/>
        <v>28.395611502573217</v>
      </c>
      <c r="V80" s="13">
        <f t="shared" si="41"/>
        <v>28.395611502573217</v>
      </c>
      <c r="W80" s="13">
        <f t="shared" si="41"/>
        <v>28.395611502573217</v>
      </c>
      <c r="X80" s="13">
        <f t="shared" si="41"/>
        <v>28.395611502573217</v>
      </c>
      <c r="Y80" s="13">
        <f t="shared" si="41"/>
        <v>28.395611502573217</v>
      </c>
      <c r="Z80" s="13">
        <f t="shared" si="41"/>
        <v>28.395611502573217</v>
      </c>
      <c r="AA80" s="13">
        <f t="shared" si="41"/>
        <v>28.395611502573217</v>
      </c>
      <c r="AB80" s="13">
        <f t="shared" si="41"/>
        <v>28.395611502573217</v>
      </c>
      <c r="AC80" s="13">
        <f t="shared" si="41"/>
        <v>28.395611502573217</v>
      </c>
      <c r="AD80" s="13">
        <f t="shared" si="41"/>
        <v>28.395611502573217</v>
      </c>
      <c r="AE80" s="13">
        <f t="shared" si="41"/>
        <v>28.395611502573217</v>
      </c>
      <c r="AF80" s="13">
        <f t="shared" si="41"/>
        <v>28.395611502573217</v>
      </c>
      <c r="AG80" s="13">
        <f t="shared" si="41"/>
        <v>28.395611502573217</v>
      </c>
      <c r="AH80" s="13">
        <f t="shared" si="41"/>
        <v>28.395611502573217</v>
      </c>
      <c r="AI80" s="13">
        <f t="shared" si="41"/>
        <v>28.395611502573217</v>
      </c>
      <c r="AJ80" s="13">
        <f t="shared" si="41"/>
        <v>28.395611502573217</v>
      </c>
    </row>
    <row r="81" spans="1:36" ht="12" x14ac:dyDescent="0.25">
      <c r="A81" s="141" t="str">
        <f t="shared" si="38"/>
        <v>EXAMPLE: Hybrid Buses</v>
      </c>
      <c r="B81" s="141" t="str">
        <f t="shared" si="39"/>
        <v>Hybrid Buses-EXAMPLE</v>
      </c>
      <c r="C81" s="141" t="s">
        <v>64</v>
      </c>
      <c r="F81" s="23" t="s">
        <v>156</v>
      </c>
      <c r="G81" s="23" t="s">
        <v>130</v>
      </c>
      <c r="H81" s="23" t="s">
        <v>157</v>
      </c>
    </row>
    <row r="82" spans="1:36" ht="12" x14ac:dyDescent="0.25">
      <c r="A82" s="141" t="str">
        <f t="shared" si="38"/>
        <v>EXAMPLE: Hybrid Buses</v>
      </c>
      <c r="B82" s="141" t="str">
        <f t="shared" si="39"/>
        <v>Hybrid Buses-EXAMPLE</v>
      </c>
      <c r="C82" s="141" t="s">
        <v>140</v>
      </c>
      <c r="D82" t="s">
        <v>229</v>
      </c>
      <c r="E82" s="1" t="s">
        <v>141</v>
      </c>
      <c r="F82" s="119">
        <f>AVERAGE(K82:AJ82)</f>
        <v>87.207197276345241</v>
      </c>
      <c r="G82" s="119">
        <f t="shared" ref="G82" si="42">SUM(K82:P82)</f>
        <v>320.06331986416251</v>
      </c>
      <c r="H82" s="119">
        <f t="shared" ref="H82" si="43">SUM(K82:AJ82)</f>
        <v>2267.3871291849764</v>
      </c>
      <c r="I82" s="29" t="s">
        <v>142</v>
      </c>
      <c r="K82" s="240">
        <f t="shared" ref="K82:AJ82" si="44">K78-K80-K72</f>
        <v>-34.700720999999994</v>
      </c>
      <c r="L82" s="240">
        <f t="shared" si="44"/>
        <v>-34.700720999999994</v>
      </c>
      <c r="M82" s="240">
        <f t="shared" si="44"/>
        <v>97.366190466040621</v>
      </c>
      <c r="N82" s="240">
        <f t="shared" si="44"/>
        <v>97.366190466040621</v>
      </c>
      <c r="O82" s="240">
        <f t="shared" si="44"/>
        <v>97.366190466040621</v>
      </c>
      <c r="P82" s="240">
        <f t="shared" si="44"/>
        <v>97.366190466040621</v>
      </c>
      <c r="Q82" s="240">
        <f t="shared" si="44"/>
        <v>97.366190466040621</v>
      </c>
      <c r="R82" s="240">
        <f t="shared" si="44"/>
        <v>97.366190466040621</v>
      </c>
      <c r="S82" s="240">
        <f t="shared" si="44"/>
        <v>97.366190466040621</v>
      </c>
      <c r="T82" s="240">
        <f t="shared" si="44"/>
        <v>97.366190466040621</v>
      </c>
      <c r="U82" s="240">
        <f t="shared" si="44"/>
        <v>97.366190466040621</v>
      </c>
      <c r="V82" s="240">
        <f t="shared" si="44"/>
        <v>97.366190466040621</v>
      </c>
      <c r="W82" s="240">
        <f t="shared" si="44"/>
        <v>97.366190466040621</v>
      </c>
      <c r="X82" s="240">
        <f t="shared" si="44"/>
        <v>97.366190466040621</v>
      </c>
      <c r="Y82" s="240">
        <f t="shared" si="44"/>
        <v>97.366190466040621</v>
      </c>
      <c r="Z82" s="240">
        <f t="shared" si="44"/>
        <v>97.366190466040621</v>
      </c>
      <c r="AA82" s="240">
        <f t="shared" si="44"/>
        <v>97.366190466040621</v>
      </c>
      <c r="AB82" s="240">
        <f t="shared" si="44"/>
        <v>97.366190466040621</v>
      </c>
      <c r="AC82" s="240">
        <f t="shared" si="44"/>
        <v>97.366190466040621</v>
      </c>
      <c r="AD82" s="240">
        <f t="shared" si="44"/>
        <v>97.366190466040621</v>
      </c>
      <c r="AE82" s="240">
        <f t="shared" si="44"/>
        <v>97.366190466040621</v>
      </c>
      <c r="AF82" s="240">
        <f t="shared" si="44"/>
        <v>97.366190466040621</v>
      </c>
      <c r="AG82" s="240">
        <f t="shared" si="44"/>
        <v>97.366190466040621</v>
      </c>
      <c r="AH82" s="240">
        <f t="shared" si="44"/>
        <v>97.366190466040621</v>
      </c>
      <c r="AI82" s="240">
        <f t="shared" si="44"/>
        <v>97.366190466040621</v>
      </c>
      <c r="AJ82" s="240">
        <f t="shared" si="44"/>
        <v>97.366190466040621</v>
      </c>
    </row>
    <row r="83" spans="1:36" ht="12" x14ac:dyDescent="0.25">
      <c r="A83" s="141"/>
      <c r="B83" s="141"/>
      <c r="C83" s="141"/>
      <c r="F83" s="335"/>
      <c r="G83" s="335"/>
      <c r="H83" s="335"/>
      <c r="I83" s="29"/>
      <c r="K83" s="333"/>
      <c r="L83" s="333"/>
      <c r="M83" s="333"/>
      <c r="N83" s="333"/>
      <c r="O83" s="333"/>
      <c r="P83" s="333"/>
      <c r="Q83" s="333"/>
      <c r="R83" s="333"/>
      <c r="S83" s="333"/>
      <c r="T83" s="333"/>
      <c r="U83" s="333"/>
      <c r="V83" s="333"/>
      <c r="W83" s="333"/>
      <c r="X83" s="333"/>
      <c r="Y83" s="333"/>
      <c r="Z83" s="333"/>
      <c r="AA83" s="333"/>
      <c r="AB83" s="333"/>
      <c r="AC83" s="333"/>
      <c r="AD83" s="333"/>
      <c r="AE83" s="333"/>
      <c r="AF83" s="333"/>
      <c r="AG83" s="333"/>
      <c r="AH83" s="333"/>
      <c r="AI83" s="333"/>
      <c r="AJ83" s="333"/>
    </row>
    <row r="84" spans="1:36" ht="12" x14ac:dyDescent="0.25">
      <c r="A84" s="141"/>
      <c r="B84" s="141"/>
      <c r="C84" s="141"/>
      <c r="F84" s="335"/>
      <c r="G84" s="335"/>
      <c r="H84" s="335"/>
      <c r="I84" s="29"/>
      <c r="K84" s="333"/>
      <c r="L84" s="333"/>
      <c r="M84" s="333"/>
      <c r="N84" s="333"/>
      <c r="O84" s="333"/>
      <c r="P84" s="333"/>
      <c r="Q84" s="333"/>
      <c r="R84" s="333"/>
      <c r="S84" s="333"/>
      <c r="T84" s="333"/>
      <c r="U84" s="333"/>
      <c r="V84" s="333"/>
      <c r="W84" s="333"/>
      <c r="X84" s="333"/>
      <c r="Y84" s="333"/>
      <c r="Z84" s="333"/>
      <c r="AA84" s="333"/>
      <c r="AB84" s="333"/>
      <c r="AC84" s="333"/>
      <c r="AD84" s="333"/>
      <c r="AE84" s="333"/>
      <c r="AF84" s="333"/>
      <c r="AG84" s="333"/>
      <c r="AH84" s="333"/>
      <c r="AI84" s="333"/>
      <c r="AJ84" s="333"/>
    </row>
    <row r="85" spans="1:36" ht="12" x14ac:dyDescent="0.25">
      <c r="A85" s="141" t="str">
        <f>E85</f>
        <v>EXAMPLE: mobility/bike share</v>
      </c>
      <c r="B85" s="133" t="s">
        <v>109</v>
      </c>
      <c r="C85" s="141"/>
      <c r="D85" s="33"/>
      <c r="E85" s="34" t="s">
        <v>108</v>
      </c>
      <c r="F85" s="35">
        <f>240/2</f>
        <v>120</v>
      </c>
      <c r="G85" s="36" t="s">
        <v>230</v>
      </c>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row>
    <row r="86" spans="1:36" ht="12" x14ac:dyDescent="0.25">
      <c r="A86" s="141" t="str">
        <f t="shared" ref="A86:A87" si="45">A85</f>
        <v>EXAMPLE: mobility/bike share</v>
      </c>
      <c r="B86" s="141" t="str">
        <f t="shared" ref="B86:B87" si="46">B85</f>
        <v>Bike Share-EXAMPLE</v>
      </c>
      <c r="C86" s="141" t="s">
        <v>64</v>
      </c>
      <c r="E86" s="117"/>
      <c r="F86" s="23" t="s">
        <v>156</v>
      </c>
      <c r="G86" s="23" t="s">
        <v>130</v>
      </c>
      <c r="H86" s="23" t="s">
        <v>157</v>
      </c>
    </row>
    <row r="87" spans="1:36" ht="12" x14ac:dyDescent="0.25">
      <c r="A87" s="141" t="str">
        <f t="shared" si="45"/>
        <v>EXAMPLE: mobility/bike share</v>
      </c>
      <c r="B87" s="141" t="str">
        <f t="shared" si="46"/>
        <v>Bike Share-EXAMPLE</v>
      </c>
      <c r="C87" s="141" t="s">
        <v>140</v>
      </c>
      <c r="D87" t="s">
        <v>231</v>
      </c>
      <c r="E87" t="s">
        <v>141</v>
      </c>
      <c r="F87" s="65">
        <f>AVERAGE(K87:AJ87)</f>
        <v>119.91348083390287</v>
      </c>
      <c r="G87" s="119">
        <f t="shared" ref="G87" si="47">SUM(K87:P87)</f>
        <v>678.57426278399987</v>
      </c>
      <c r="H87" s="119">
        <f t="shared" ref="H87" si="48">SUM(K87:AJ87)</f>
        <v>2997.8370208475717</v>
      </c>
      <c r="I87" s="29" t="s">
        <v>142</v>
      </c>
      <c r="K87" s="13"/>
      <c r="L87" s="13">
        <f>$F85*$F$24*L$10/1000000</f>
        <v>139.56525619199999</v>
      </c>
      <c r="M87" s="13">
        <f t="shared" ref="M87:AJ87" si="49">$F85*$F$24*M$10/1000000</f>
        <v>137.23764172799997</v>
      </c>
      <c r="N87" s="13">
        <f t="shared" si="49"/>
        <v>135.26629478399997</v>
      </c>
      <c r="O87" s="13">
        <f t="shared" si="49"/>
        <v>133.83231801599999</v>
      </c>
      <c r="P87" s="13">
        <f t="shared" si="49"/>
        <v>132.67275206399998</v>
      </c>
      <c r="Q87" s="13">
        <f t="shared" si="49"/>
        <v>130.94718446052664</v>
      </c>
      <c r="R87" s="13">
        <f t="shared" si="49"/>
        <v>129.24405992473552</v>
      </c>
      <c r="S87" s="13">
        <f t="shared" si="49"/>
        <v>127.56308655772563</v>
      </c>
      <c r="T87" s="13">
        <f t="shared" si="49"/>
        <v>125.90397625708987</v>
      </c>
      <c r="U87" s="13">
        <f t="shared" si="49"/>
        <v>124.26644466753704</v>
      </c>
      <c r="V87" s="13">
        <f t="shared" si="49"/>
        <v>122.65021113215613</v>
      </c>
      <c r="W87" s="13">
        <f t="shared" si="49"/>
        <v>121.05499864431449</v>
      </c>
      <c r="X87" s="13">
        <f t="shared" si="49"/>
        <v>119.48053380018152</v>
      </c>
      <c r="Y87" s="13">
        <f t="shared" si="49"/>
        <v>117.92654675187006</v>
      </c>
      <c r="Z87" s="13">
        <f t="shared" si="49"/>
        <v>116.39277116118701</v>
      </c>
      <c r="AA87" s="13">
        <f t="shared" si="49"/>
        <v>114.87894415398553</v>
      </c>
      <c r="AB87" s="13">
        <f t="shared" si="49"/>
        <v>113.38480627511107</v>
      </c>
      <c r="AC87" s="13">
        <f t="shared" si="49"/>
        <v>111.91010144393334</v>
      </c>
      <c r="AD87" s="13">
        <f t="shared" si="49"/>
        <v>110.45457691045631</v>
      </c>
      <c r="AE87" s="13">
        <f t="shared" si="49"/>
        <v>109.01798321199972</v>
      </c>
      <c r="AF87" s="13">
        <f t="shared" si="49"/>
        <v>107.60007413044332</v>
      </c>
      <c r="AG87" s="13">
        <f t="shared" si="49"/>
        <v>106.20060665002764</v>
      </c>
      <c r="AH87" s="13">
        <f t="shared" si="49"/>
        <v>104.81934091570339</v>
      </c>
      <c r="AI87" s="13">
        <f t="shared" si="49"/>
        <v>103.45604019202267</v>
      </c>
      <c r="AJ87" s="13">
        <f t="shared" si="49"/>
        <v>102.11047082256485</v>
      </c>
    </row>
    <row r="88" spans="1:36" ht="12" x14ac:dyDescent="0.25">
      <c r="A88" s="141"/>
      <c r="B88" s="141"/>
      <c r="C88" s="141"/>
      <c r="F88" s="335"/>
      <c r="G88" s="335"/>
      <c r="H88" s="335"/>
      <c r="I88" s="29"/>
      <c r="K88" s="333"/>
      <c r="L88" s="333"/>
      <c r="M88" s="333"/>
      <c r="N88" s="333"/>
      <c r="O88" s="333"/>
      <c r="P88" s="333"/>
      <c r="Q88" s="333"/>
      <c r="R88" s="333"/>
      <c r="S88" s="333"/>
      <c r="T88" s="333"/>
      <c r="U88" s="333"/>
      <c r="V88" s="333"/>
      <c r="W88" s="333"/>
      <c r="X88" s="333"/>
      <c r="Y88" s="333"/>
      <c r="Z88" s="333"/>
      <c r="AA88" s="333"/>
      <c r="AB88" s="333"/>
      <c r="AC88" s="333"/>
      <c r="AD88" s="333"/>
      <c r="AE88" s="333"/>
      <c r="AF88" s="333"/>
      <c r="AG88" s="333"/>
      <c r="AH88" s="333"/>
      <c r="AI88" s="333"/>
      <c r="AJ88" s="333"/>
    </row>
    <row r="89" spans="1:36" ht="12" x14ac:dyDescent="0.2">
      <c r="A89" s="141"/>
      <c r="B89" s="141"/>
      <c r="C89" s="141"/>
    </row>
    <row r="90" spans="1:36" ht="12" x14ac:dyDescent="0.25">
      <c r="A90" s="141" t="str">
        <f>E90</f>
        <v>EXAMPLE: EV Chargers</v>
      </c>
      <c r="B90" s="133" t="s">
        <v>111</v>
      </c>
      <c r="C90" s="141"/>
      <c r="D90" s="33"/>
      <c r="E90" s="34" t="s">
        <v>110</v>
      </c>
      <c r="F90" s="35"/>
      <c r="G90" s="36" t="s">
        <v>232</v>
      </c>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row>
    <row r="91" spans="1:36" ht="12" x14ac:dyDescent="0.2">
      <c r="A91" s="141" t="str">
        <f>A90</f>
        <v>EXAMPLE: EV Chargers</v>
      </c>
      <c r="B91" s="141" t="str">
        <f>B90</f>
        <v>EV-EXAMPLE</v>
      </c>
      <c r="C91" s="141" t="s">
        <v>64</v>
      </c>
      <c r="E91" t="s">
        <v>233</v>
      </c>
      <c r="F91" s="229">
        <v>2</v>
      </c>
      <c r="G91" t="s">
        <v>234</v>
      </c>
      <c r="H91" t="s">
        <v>235</v>
      </c>
    </row>
    <row r="92" spans="1:36" ht="12" x14ac:dyDescent="0.2">
      <c r="A92" s="141" t="str">
        <f t="shared" ref="A92:A98" si="50">A91</f>
        <v>EXAMPLE: EV Chargers</v>
      </c>
      <c r="B92" s="141" t="str">
        <f t="shared" ref="B92:B98" si="51">B91</f>
        <v>EV-EXAMPLE</v>
      </c>
      <c r="C92" s="141" t="s">
        <v>64</v>
      </c>
      <c r="E92" t="s">
        <v>236</v>
      </c>
      <c r="F92" s="243">
        <f>(408*12)/1000</f>
        <v>4.8959999999999999</v>
      </c>
      <c r="G92" t="s">
        <v>237</v>
      </c>
      <c r="H92" s="189" t="s">
        <v>238</v>
      </c>
    </row>
    <row r="93" spans="1:36" ht="12" x14ac:dyDescent="0.2">
      <c r="A93" s="141" t="str">
        <f>A92</f>
        <v>EXAMPLE: EV Chargers</v>
      </c>
      <c r="B93" s="141" t="str">
        <f>B92</f>
        <v>EV-EXAMPLE</v>
      </c>
      <c r="C93" s="141" t="s">
        <v>64</v>
      </c>
      <c r="E93" t="s">
        <v>239</v>
      </c>
      <c r="F93" s="244">
        <f>AVERAGE(11467,11576,11599,9780)</f>
        <v>11105.5</v>
      </c>
      <c r="G93" t="s">
        <v>240</v>
      </c>
      <c r="H93" s="32" t="s">
        <v>241</v>
      </c>
    </row>
    <row r="94" spans="1:36" ht="12" x14ac:dyDescent="0.2">
      <c r="A94" s="141" t="str">
        <f>A93</f>
        <v>EXAMPLE: EV Chargers</v>
      </c>
      <c r="B94" s="141" t="str">
        <f>B93</f>
        <v>EV-EXAMPLE</v>
      </c>
      <c r="C94" s="141" t="s">
        <v>64</v>
      </c>
      <c r="F94" s="244"/>
      <c r="H94" s="32"/>
    </row>
    <row r="95" spans="1:36" ht="12" x14ac:dyDescent="0.2">
      <c r="A95" s="141" t="str">
        <f t="shared" si="50"/>
        <v>EXAMPLE: EV Chargers</v>
      </c>
      <c r="B95" s="141" t="str">
        <f t="shared" si="51"/>
        <v>EV-EXAMPLE</v>
      </c>
      <c r="C95" s="141" t="s">
        <v>64</v>
      </c>
      <c r="D95" t="s">
        <v>205</v>
      </c>
      <c r="E95" t="s">
        <v>242</v>
      </c>
      <c r="F95" t="s">
        <v>243</v>
      </c>
      <c r="G95" s="76"/>
      <c r="L95" s="240">
        <f>($F92*1000)*$F91*GridEF!L$24/1000000</f>
        <v>5.4152533272140948</v>
      </c>
      <c r="M95" s="240">
        <f>($F92*1000)*$F91*GridEF!M$24/1000000</f>
        <v>4.3947166845330532</v>
      </c>
      <c r="N95" s="240">
        <f>($F92*1000)*$F91*GridEF!N$24/1000000</f>
        <v>4.0098407049475639</v>
      </c>
      <c r="O95" s="240">
        <f>($F92*1000)*$F91*GridEF!O$24/1000000</f>
        <v>3.4858528141132692</v>
      </c>
      <c r="P95" s="240">
        <f>($F92*1000)*$F91*GridEF!P$24/1000000</f>
        <v>2.9129760486457137</v>
      </c>
      <c r="Q95" s="240">
        <f>($F92*1000)*$F91*GridEF!Q$24/1000000</f>
        <v>2.7989939068382093</v>
      </c>
      <c r="R95" s="240">
        <f>($F92*1000)*$F91*GridEF!R$24/1000000</f>
        <v>2.6239207255130537</v>
      </c>
      <c r="S95" s="240">
        <f>($F92*1000)*$F91*GridEF!S$24/1000000</f>
        <v>2.5673811577699546</v>
      </c>
      <c r="T95" s="240">
        <f>($F92*1000)*$F91*GridEF!T$24/1000000</f>
        <v>2.4240802818734153</v>
      </c>
      <c r="U95" s="240">
        <f>($F92*1000)*$F91*GridEF!U$24/1000000</f>
        <v>2.3984281015665911</v>
      </c>
      <c r="V95" s="240">
        <f>($F92*1000)*$F91*GridEF!V$24/1000000</f>
        <v>2.5263820391624483</v>
      </c>
      <c r="W95" s="240">
        <f>($F92*1000)*$F91*GridEF!W$24/1000000</f>
        <v>2.5929142491624377</v>
      </c>
      <c r="X95" s="240">
        <f>($F92*1000)*$F91*GridEF!X$24/1000000</f>
        <v>2.6359779600850897</v>
      </c>
      <c r="Y95" s="240">
        <f>($F92*1000)*$F91*GridEF!Y$24/1000000</f>
        <v>2.559692020507514</v>
      </c>
      <c r="Z95" s="240">
        <f>($F92*1000)*$F91*GridEF!Z$24/1000000</f>
        <v>2.5281821126605664</v>
      </c>
      <c r="AA95" s="240">
        <f>($F92*1000)*$F91*GridEF!AA$24/1000000</f>
        <v>2.5613858595252479</v>
      </c>
      <c r="AB95" s="240">
        <f>($F92*1000)*$F91*GridEF!AB$24/1000000</f>
        <v>2.5689175756930323</v>
      </c>
      <c r="AC95" s="240">
        <f>($F92*1000)*$F91*GridEF!AC$24/1000000</f>
        <v>2.5479239570266454</v>
      </c>
      <c r="AD95" s="240">
        <f>($F92*1000)*$F91*GridEF!AD$24/1000000</f>
        <v>2.5536049681509492</v>
      </c>
      <c r="AE95" s="240">
        <f>($F92*1000)*$F91*GridEF!AE$24/1000000</f>
        <v>2.4295751821512583</v>
      </c>
      <c r="AF95" s="240">
        <f>($F92*1000)*$F91*GridEF!AF$24/1000000</f>
        <v>2.3420920754851395</v>
      </c>
      <c r="AG95" s="240">
        <f>($F92*1000)*$F91*GridEF!AG$24/1000000</f>
        <v>2.3539060144180599</v>
      </c>
      <c r="AH95" s="240">
        <f>($F92*1000)*$F91*GridEF!AH$24/1000000</f>
        <v>2.3249497793305087</v>
      </c>
      <c r="AI95" s="240">
        <f>($F92*1000)*$F91*GridEF!AI$24/1000000</f>
        <v>2.2941956330153834</v>
      </c>
      <c r="AJ95" s="240">
        <f>($F92*1000)*$F91*GridEF!AJ$24/1000000</f>
        <v>2.1786376458150394</v>
      </c>
    </row>
    <row r="96" spans="1:36" ht="12" x14ac:dyDescent="0.25">
      <c r="A96" s="141" t="str">
        <f t="shared" si="50"/>
        <v>EXAMPLE: EV Chargers</v>
      </c>
      <c r="B96" s="141" t="str">
        <f t="shared" si="51"/>
        <v>EV-EXAMPLE</v>
      </c>
      <c r="C96" s="141" t="s">
        <v>64</v>
      </c>
      <c r="D96" t="s">
        <v>208</v>
      </c>
      <c r="E96" t="s">
        <v>141</v>
      </c>
      <c r="F96" t="s">
        <v>244</v>
      </c>
      <c r="G96" s="119"/>
      <c r="H96" s="119"/>
      <c r="I96" s="29"/>
      <c r="K96" s="13"/>
      <c r="L96" s="240">
        <f t="shared" ref="L96:AJ96" si="52">$F91*$F$93*$L$10/1000000</f>
        <v>7.3088405040000008</v>
      </c>
      <c r="M96" s="240">
        <f t="shared" si="52"/>
        <v>7.3088405040000008</v>
      </c>
      <c r="N96" s="240">
        <f t="shared" si="52"/>
        <v>7.3088405040000008</v>
      </c>
      <c r="O96" s="240">
        <f t="shared" si="52"/>
        <v>7.3088405040000008</v>
      </c>
      <c r="P96" s="240">
        <f t="shared" si="52"/>
        <v>7.3088405040000008</v>
      </c>
      <c r="Q96" s="240">
        <f t="shared" si="52"/>
        <v>7.3088405040000008</v>
      </c>
      <c r="R96" s="240">
        <f t="shared" si="52"/>
        <v>7.3088405040000008</v>
      </c>
      <c r="S96" s="240">
        <f t="shared" si="52"/>
        <v>7.3088405040000008</v>
      </c>
      <c r="T96" s="240">
        <f t="shared" si="52"/>
        <v>7.3088405040000008</v>
      </c>
      <c r="U96" s="240">
        <f t="shared" si="52"/>
        <v>7.3088405040000008</v>
      </c>
      <c r="V96" s="240">
        <f t="shared" si="52"/>
        <v>7.3088405040000008</v>
      </c>
      <c r="W96" s="240">
        <f t="shared" si="52"/>
        <v>7.3088405040000008</v>
      </c>
      <c r="X96" s="240">
        <f t="shared" si="52"/>
        <v>7.3088405040000008</v>
      </c>
      <c r="Y96" s="240">
        <f t="shared" si="52"/>
        <v>7.3088405040000008</v>
      </c>
      <c r="Z96" s="240">
        <f t="shared" si="52"/>
        <v>7.3088405040000008</v>
      </c>
      <c r="AA96" s="240">
        <f t="shared" si="52"/>
        <v>7.3088405040000008</v>
      </c>
      <c r="AB96" s="240">
        <f t="shared" si="52"/>
        <v>7.3088405040000008</v>
      </c>
      <c r="AC96" s="240">
        <f t="shared" si="52"/>
        <v>7.3088405040000008</v>
      </c>
      <c r="AD96" s="240">
        <f t="shared" si="52"/>
        <v>7.3088405040000008</v>
      </c>
      <c r="AE96" s="240">
        <f t="shared" si="52"/>
        <v>7.3088405040000008</v>
      </c>
      <c r="AF96" s="240">
        <f t="shared" si="52"/>
        <v>7.3088405040000008</v>
      </c>
      <c r="AG96" s="240">
        <f t="shared" si="52"/>
        <v>7.3088405040000008</v>
      </c>
      <c r="AH96" s="240">
        <f t="shared" si="52"/>
        <v>7.3088405040000008</v>
      </c>
      <c r="AI96" s="240">
        <f t="shared" si="52"/>
        <v>7.3088405040000008</v>
      </c>
      <c r="AJ96" s="240">
        <f t="shared" si="52"/>
        <v>7.3088405040000008</v>
      </c>
    </row>
    <row r="97" spans="1:36" ht="12" x14ac:dyDescent="0.25">
      <c r="A97" s="141" t="str">
        <f t="shared" si="50"/>
        <v>EXAMPLE: EV Chargers</v>
      </c>
      <c r="B97" s="141" t="str">
        <f t="shared" si="51"/>
        <v>EV-EXAMPLE</v>
      </c>
      <c r="C97" s="141" t="s">
        <v>64</v>
      </c>
      <c r="F97" s="23" t="s">
        <v>156</v>
      </c>
      <c r="G97" s="23" t="s">
        <v>130</v>
      </c>
      <c r="H97" s="23" t="s">
        <v>157</v>
      </c>
      <c r="L97" s="240"/>
      <c r="M97" s="240"/>
      <c r="N97" s="240"/>
      <c r="O97" s="240"/>
      <c r="P97" s="240"/>
      <c r="Q97" s="240"/>
      <c r="R97" s="240"/>
      <c r="S97" s="240"/>
      <c r="T97" s="240"/>
      <c r="U97" s="240"/>
      <c r="V97" s="240"/>
      <c r="W97" s="240"/>
      <c r="X97" s="240"/>
      <c r="Y97" s="240"/>
      <c r="Z97" s="240"/>
      <c r="AA97" s="240"/>
      <c r="AB97" s="240"/>
      <c r="AC97" s="240"/>
      <c r="AD97" s="240"/>
      <c r="AE97" s="240"/>
      <c r="AF97" s="240"/>
      <c r="AG97" s="240"/>
      <c r="AH97" s="240"/>
      <c r="AI97" s="240"/>
      <c r="AJ97" s="240"/>
    </row>
    <row r="98" spans="1:36" ht="12" x14ac:dyDescent="0.25">
      <c r="A98" s="141" t="str">
        <f t="shared" si="50"/>
        <v>EXAMPLE: EV Chargers</v>
      </c>
      <c r="B98" s="141" t="str">
        <f t="shared" si="51"/>
        <v>EV-EXAMPLE</v>
      </c>
      <c r="C98" s="141" t="s">
        <v>140</v>
      </c>
      <c r="D98" t="s">
        <v>229</v>
      </c>
      <c r="E98" s="1" t="s">
        <v>141</v>
      </c>
      <c r="F98" s="65">
        <f>AVERAGE(K98:AJ98)</f>
        <v>4.5076492709918314</v>
      </c>
      <c r="G98" s="119">
        <f t="shared" ref="G98" si="53">SUM(K98:P98)</f>
        <v>16.325562940546309</v>
      </c>
      <c r="H98" s="119">
        <f t="shared" ref="H98" si="54">SUM(K98:AJ98)</f>
        <v>112.69123177479578</v>
      </c>
      <c r="I98" s="29" t="s">
        <v>142</v>
      </c>
      <c r="L98" s="240">
        <f t="shared" ref="L98:AJ98" si="55">L96-L95</f>
        <v>1.893587176785906</v>
      </c>
      <c r="M98" s="240">
        <f t="shared" si="55"/>
        <v>2.9141238194669477</v>
      </c>
      <c r="N98" s="240">
        <f t="shared" si="55"/>
        <v>3.2989997990524369</v>
      </c>
      <c r="O98" s="240">
        <f t="shared" si="55"/>
        <v>3.8229876898867317</v>
      </c>
      <c r="P98" s="240">
        <f t="shared" si="55"/>
        <v>4.3958644553542872</v>
      </c>
      <c r="Q98" s="240">
        <f t="shared" si="55"/>
        <v>4.5098465971617916</v>
      </c>
      <c r="R98" s="240">
        <f t="shared" si="55"/>
        <v>4.6849197784869467</v>
      </c>
      <c r="S98" s="240">
        <f t="shared" si="55"/>
        <v>4.7414593462300463</v>
      </c>
      <c r="T98" s="240">
        <f t="shared" si="55"/>
        <v>4.8847602221265856</v>
      </c>
      <c r="U98" s="240">
        <f t="shared" si="55"/>
        <v>4.9104124024334102</v>
      </c>
      <c r="V98" s="240">
        <f t="shared" si="55"/>
        <v>4.7824584648375525</v>
      </c>
      <c r="W98" s="240">
        <f t="shared" si="55"/>
        <v>4.7159262548375631</v>
      </c>
      <c r="X98" s="240">
        <f t="shared" si="55"/>
        <v>4.6728625439149116</v>
      </c>
      <c r="Y98" s="240">
        <f t="shared" si="55"/>
        <v>4.7491484834924869</v>
      </c>
      <c r="Z98" s="240">
        <f t="shared" si="55"/>
        <v>4.7806583913394345</v>
      </c>
      <c r="AA98" s="240">
        <f t="shared" si="55"/>
        <v>4.747454644474753</v>
      </c>
      <c r="AB98" s="240">
        <f t="shared" si="55"/>
        <v>4.739922928306969</v>
      </c>
      <c r="AC98" s="240">
        <f t="shared" si="55"/>
        <v>4.7609165469733554</v>
      </c>
      <c r="AD98" s="240">
        <f t="shared" si="55"/>
        <v>4.7552355358490512</v>
      </c>
      <c r="AE98" s="240">
        <f t="shared" si="55"/>
        <v>4.8792653218487425</v>
      </c>
      <c r="AF98" s="240">
        <f t="shared" si="55"/>
        <v>4.9667484285148618</v>
      </c>
      <c r="AG98" s="240">
        <f t="shared" si="55"/>
        <v>4.9549344895819409</v>
      </c>
      <c r="AH98" s="240">
        <f t="shared" si="55"/>
        <v>4.9838907246694921</v>
      </c>
      <c r="AI98" s="240">
        <f t="shared" si="55"/>
        <v>5.0146448709846174</v>
      </c>
      <c r="AJ98" s="240">
        <f t="shared" si="55"/>
        <v>5.1302028581849619</v>
      </c>
    </row>
    <row r="99" spans="1:36" ht="12" x14ac:dyDescent="0.25">
      <c r="A99" s="141"/>
      <c r="B99" s="141"/>
      <c r="C99" s="141"/>
      <c r="F99" s="335"/>
      <c r="G99" s="335"/>
      <c r="H99" s="335"/>
      <c r="I99" s="29"/>
      <c r="K99" s="333"/>
      <c r="L99" s="333"/>
      <c r="M99" s="333"/>
      <c r="N99" s="333"/>
      <c r="O99" s="333"/>
      <c r="P99" s="333"/>
      <c r="Q99" s="333"/>
      <c r="R99" s="333"/>
      <c r="S99" s="333"/>
      <c r="T99" s="333"/>
      <c r="U99" s="333"/>
      <c r="V99" s="333"/>
      <c r="W99" s="333"/>
      <c r="X99" s="333"/>
      <c r="Y99" s="333"/>
      <c r="Z99" s="333"/>
      <c r="AA99" s="333"/>
      <c r="AB99" s="333"/>
      <c r="AC99" s="333"/>
      <c r="AD99" s="333"/>
      <c r="AE99" s="333"/>
      <c r="AF99" s="333"/>
      <c r="AG99" s="333"/>
      <c r="AH99" s="333"/>
      <c r="AI99" s="333"/>
      <c r="AJ99" s="333"/>
    </row>
    <row r="100" spans="1:36" ht="12" x14ac:dyDescent="0.2">
      <c r="A100" s="141"/>
      <c r="B100" s="141"/>
      <c r="C100" s="141"/>
    </row>
    <row r="101" spans="1:36" ht="12" x14ac:dyDescent="0.2">
      <c r="A101" s="141"/>
      <c r="B101" s="141"/>
      <c r="C101" s="141"/>
    </row>
    <row r="102" spans="1:36" ht="12" x14ac:dyDescent="0.2">
      <c r="A102" s="141"/>
      <c r="B102" s="141"/>
      <c r="C102" s="141"/>
    </row>
    <row r="103" spans="1:36" ht="12" x14ac:dyDescent="0.2">
      <c r="A103" s="141"/>
      <c r="B103" s="141"/>
      <c r="C103" s="141"/>
    </row>
    <row r="104" spans="1:36" ht="12" x14ac:dyDescent="0.2">
      <c r="A104" s="141"/>
      <c r="B104" s="141"/>
      <c r="C104" s="141"/>
    </row>
    <row r="105" spans="1:36" ht="12" x14ac:dyDescent="0.2">
      <c r="A105" s="141"/>
      <c r="B105" s="141"/>
      <c r="C105" s="141"/>
    </row>
    <row r="106" spans="1:36" ht="12" x14ac:dyDescent="0.2">
      <c r="A106" s="141"/>
      <c r="B106" s="141"/>
      <c r="C106" s="141"/>
    </row>
    <row r="107" spans="1:36" ht="12" x14ac:dyDescent="0.2">
      <c r="A107" s="141"/>
      <c r="B107" s="141"/>
      <c r="C107" s="141"/>
    </row>
    <row r="108" spans="1:36" ht="12" x14ac:dyDescent="0.2">
      <c r="A108" s="141"/>
      <c r="B108" s="141"/>
      <c r="C108" s="141"/>
    </row>
    <row r="109" spans="1:36" ht="12" x14ac:dyDescent="0.2">
      <c r="A109" s="141"/>
      <c r="B109" s="141"/>
      <c r="C109" s="141"/>
    </row>
    <row r="110" spans="1:36" ht="12" x14ac:dyDescent="0.2">
      <c r="A110" s="141"/>
      <c r="B110" s="141"/>
      <c r="C110" s="141"/>
    </row>
    <row r="111" spans="1:36" x14ac:dyDescent="0.2">
      <c r="A111" s="141"/>
      <c r="B111" s="141"/>
      <c r="C111" s="141"/>
    </row>
    <row r="112" spans="1:36" x14ac:dyDescent="0.2">
      <c r="A112" s="141"/>
      <c r="B112" s="141"/>
      <c r="C112" s="141"/>
    </row>
    <row r="113" spans="1:3" x14ac:dyDescent="0.2">
      <c r="A113" s="141"/>
      <c r="B113" s="141"/>
      <c r="C113" s="141"/>
    </row>
    <row r="114" spans="1:3" x14ac:dyDescent="0.2">
      <c r="A114" s="142"/>
      <c r="B114" s="142"/>
      <c r="C114" s="142"/>
    </row>
    <row r="115" spans="1:3" x14ac:dyDescent="0.2">
      <c r="A115" s="142"/>
      <c r="B115" s="142"/>
      <c r="C115" s="142"/>
    </row>
    <row r="116" spans="1:3" x14ac:dyDescent="0.2">
      <c r="A116" s="142"/>
      <c r="B116" s="142"/>
      <c r="C116" s="142"/>
    </row>
    <row r="117" spans="1:3" x14ac:dyDescent="0.2">
      <c r="A117" s="142"/>
      <c r="B117" s="142"/>
      <c r="C117" s="142"/>
    </row>
    <row r="118" spans="1:3" x14ac:dyDescent="0.2">
      <c r="A118" s="142"/>
      <c r="B118" s="142"/>
      <c r="C118" s="142"/>
    </row>
    <row r="119" spans="1:3" x14ac:dyDescent="0.2">
      <c r="A119" s="142"/>
      <c r="B119" s="142"/>
      <c r="C119" s="142"/>
    </row>
    <row r="120" spans="1:3" x14ac:dyDescent="0.2">
      <c r="A120" s="142"/>
      <c r="B120" s="142"/>
      <c r="C120" s="142"/>
    </row>
    <row r="121" spans="1:3" x14ac:dyDescent="0.2">
      <c r="A121" s="142"/>
      <c r="B121" s="142"/>
      <c r="C121" s="142"/>
    </row>
    <row r="122" spans="1:3" x14ac:dyDescent="0.2">
      <c r="A122" s="142"/>
      <c r="B122" s="142"/>
      <c r="C122" s="142"/>
    </row>
    <row r="123" spans="1:3" x14ac:dyDescent="0.2">
      <c r="A123" s="142"/>
      <c r="B123" s="142"/>
      <c r="C123" s="142"/>
    </row>
    <row r="124" spans="1:3" x14ac:dyDescent="0.2">
      <c r="A124" s="142"/>
      <c r="B124" s="142"/>
      <c r="C124" s="142"/>
    </row>
    <row r="125" spans="1:3" x14ac:dyDescent="0.2">
      <c r="A125" s="142"/>
      <c r="B125" s="142"/>
      <c r="C125" s="142"/>
    </row>
    <row r="126" spans="1:3" x14ac:dyDescent="0.2">
      <c r="A126" s="142"/>
      <c r="B126" s="142"/>
      <c r="C126" s="142"/>
    </row>
    <row r="127" spans="1:3" x14ac:dyDescent="0.2">
      <c r="A127" s="142"/>
      <c r="B127" s="142"/>
      <c r="C127" s="142"/>
    </row>
    <row r="128" spans="1:3" x14ac:dyDescent="0.2">
      <c r="A128" s="142"/>
      <c r="B128" s="142"/>
      <c r="C128" s="142"/>
    </row>
  </sheetData>
  <hyperlinks>
    <hyperlink ref="F4" r:id="rId1" xr:uid="{B0C43BFC-A095-46B7-807C-EAFA63EA74D4}"/>
    <hyperlink ref="F3" r:id="rId2" xr:uid="{224DA460-5F29-4AFA-BD15-D46AC110663E}"/>
    <hyperlink ref="P4" r:id="rId3" xr:uid="{EB9618DB-4134-48F5-B3FF-767871C5BCE0}"/>
    <hyperlink ref="P3" r:id="rId4" xr:uid="{5EF741CB-C140-4143-883F-B1D60A7A2D8A}"/>
    <hyperlink ref="F7" r:id="rId5" xr:uid="{9A929700-F3C8-45AB-8F43-4FEAC93E1F07}"/>
    <hyperlink ref="F6" r:id="rId6" xr:uid="{15FED092-BF60-40C6-B40D-FB8E61BB8669}"/>
  </hyperlinks>
  <pageMargins left="0.7" right="0.7" top="0.75" bottom="0.75" header="0.3" footer="0.3"/>
  <pageSetup paperSize="9" orientation="portrait" r:id="rId7"/>
  <legacyDrawing r:id="rId8"/>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5BD221E7-EB12-429E-8441-982E2366BA29}">
          <x14:formula1>
            <xm:f>Lists!$D$3:$D$20</xm:f>
          </x14:formula1>
          <xm:sqref>B66 B61 B53 B41 B28 B90 B85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6A9C-34E9-4BC0-B9FF-8FCBE907A287}">
  <sheetPr>
    <tabColor theme="9" tint="0.79998168889431442"/>
  </sheetPr>
  <dimension ref="A1:AJ40"/>
  <sheetViews>
    <sheetView zoomScaleNormal="100" workbookViewId="0">
      <pane xSplit="5" ySplit="8" topLeftCell="F9" activePane="bottomRight" state="frozen"/>
      <selection pane="topRight" activeCell="A2" sqref="A2"/>
      <selection pane="bottomLeft" activeCell="A2" sqref="A2"/>
      <selection pane="bottomRight" activeCell="A3" sqref="A3"/>
    </sheetView>
  </sheetViews>
  <sheetFormatPr defaultRowHeight="11.4" x14ac:dyDescent="0.2"/>
  <cols>
    <col min="1" max="1" width="6.375" customWidth="1"/>
    <col min="2" max="2" width="7.875" customWidth="1"/>
    <col min="3" max="3" width="5.375" customWidth="1"/>
    <col min="4" max="4" width="10.875" customWidth="1"/>
    <col min="5" max="5" width="49.625" customWidth="1"/>
    <col min="6" max="7" width="8.75" customWidth="1"/>
    <col min="8" max="8" width="9.125" customWidth="1"/>
    <col min="9" max="36" width="7.125" customWidth="1"/>
  </cols>
  <sheetData>
    <row r="1" spans="1:36" ht="12" x14ac:dyDescent="0.25">
      <c r="A1" s="1" t="s">
        <v>245</v>
      </c>
      <c r="D1" s="1"/>
    </row>
    <row r="2" spans="1:36" ht="12" x14ac:dyDescent="0.25">
      <c r="A2" t="s">
        <v>246</v>
      </c>
      <c r="E2" s="1"/>
      <c r="F2" s="1"/>
      <c r="G2" s="1"/>
    </row>
    <row r="3" spans="1:36" ht="12" x14ac:dyDescent="0.2">
      <c r="E3" s="2"/>
      <c r="G3" s="8"/>
    </row>
    <row r="4" spans="1:36" ht="12" x14ac:dyDescent="0.2">
      <c r="G4" s="2"/>
    </row>
    <row r="5" spans="1:36" ht="12" x14ac:dyDescent="0.2">
      <c r="G5" s="24"/>
    </row>
    <row r="6" spans="1:36" ht="12" x14ac:dyDescent="0.2">
      <c r="G6" s="32"/>
    </row>
    <row r="7" spans="1:36" ht="12" x14ac:dyDescent="0.2">
      <c r="A7" s="96" t="s">
        <v>124</v>
      </c>
      <c r="G7" s="27"/>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A9" s="141"/>
      <c r="B9" s="141"/>
      <c r="C9" s="141"/>
      <c r="E9" s="46"/>
      <c r="F9" s="50"/>
      <c r="G9" s="50"/>
      <c r="H9" s="51"/>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row>
    <row r="10" spans="1:36" ht="12" x14ac:dyDescent="0.25">
      <c r="A10" s="141"/>
      <c r="B10" s="141"/>
      <c r="C10" s="141"/>
      <c r="D10" s="107"/>
      <c r="E10" s="114" t="s">
        <v>196</v>
      </c>
      <c r="F10" s="115" t="s">
        <v>156</v>
      </c>
      <c r="G10" s="115" t="s">
        <v>130</v>
      </c>
      <c r="H10" s="116" t="s">
        <v>131</v>
      </c>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row>
    <row r="11" spans="1:36" ht="12" x14ac:dyDescent="0.2">
      <c r="A11" s="141"/>
      <c r="B11" s="141"/>
      <c r="C11" s="141"/>
    </row>
    <row r="12" spans="1:36" ht="12" x14ac:dyDescent="0.25">
      <c r="A12" s="141" t="str">
        <f>E12</f>
        <v>Indianapolis Arts Center - Solar</v>
      </c>
      <c r="B12" s="133" t="s">
        <v>85</v>
      </c>
      <c r="C12" s="141"/>
      <c r="D12" s="336" t="s">
        <v>213</v>
      </c>
      <c r="E12" s="34" t="s">
        <v>100</v>
      </c>
      <c r="F12" s="33"/>
      <c r="G12" s="33"/>
      <c r="H12" s="58"/>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row>
    <row r="13" spans="1:36" ht="12" x14ac:dyDescent="0.2">
      <c r="A13" s="141" t="str">
        <f>A12</f>
        <v>Indianapolis Arts Center - Solar</v>
      </c>
      <c r="B13" s="141" t="str">
        <f>B12</f>
        <v>Solar</v>
      </c>
      <c r="C13" s="141"/>
      <c r="D13" s="5"/>
      <c r="E13" t="s">
        <v>247</v>
      </c>
      <c r="F13" s="241">
        <f>168.96/1000</f>
        <v>0.16896</v>
      </c>
      <c r="G13" t="s">
        <v>248</v>
      </c>
      <c r="H13" s="24"/>
    </row>
    <row r="14" spans="1:36" ht="12" x14ac:dyDescent="0.2">
      <c r="A14" s="141" t="str">
        <f t="shared" ref="A14:B16" si="0">A13</f>
        <v>Indianapolis Arts Center - Solar</v>
      </c>
      <c r="B14" s="141" t="str">
        <f t="shared" si="0"/>
        <v>Solar</v>
      </c>
      <c r="C14" s="141"/>
      <c r="E14" t="s">
        <v>249</v>
      </c>
      <c r="F14" s="31">
        <f>222818/1000</f>
        <v>222.81800000000001</v>
      </c>
      <c r="G14" t="s">
        <v>237</v>
      </c>
      <c r="H14" s="24" t="s">
        <v>250</v>
      </c>
    </row>
    <row r="15" spans="1:36" ht="12" x14ac:dyDescent="0.25">
      <c r="A15" s="141" t="str">
        <f t="shared" si="0"/>
        <v>Indianapolis Arts Center - Solar</v>
      </c>
      <c r="B15" s="141" t="str">
        <f t="shared" si="0"/>
        <v>Solar</v>
      </c>
      <c r="C15" s="141"/>
      <c r="F15" s="23" t="s">
        <v>156</v>
      </c>
      <c r="G15" s="23" t="s">
        <v>130</v>
      </c>
      <c r="H15" s="23" t="s">
        <v>157</v>
      </c>
    </row>
    <row r="16" spans="1:36" ht="12" x14ac:dyDescent="0.2">
      <c r="A16" s="141" t="str">
        <f t="shared" si="0"/>
        <v>Indianapolis Arts Center - Solar</v>
      </c>
      <c r="B16" s="141" t="str">
        <f t="shared" si="0"/>
        <v>Solar</v>
      </c>
      <c r="C16" s="141" t="s">
        <v>140</v>
      </c>
      <c r="E16" t="s">
        <v>251</v>
      </c>
      <c r="F16" s="140">
        <f>AVERAGE(K16:AJ16)</f>
        <v>67.137661336796143</v>
      </c>
      <c r="G16" s="140">
        <f>SUM(K16:P16)</f>
        <v>484.35859132517288</v>
      </c>
      <c r="H16" s="140">
        <f>SUM(K16:AJ16)</f>
        <v>1678.4415334199034</v>
      </c>
      <c r="I16" s="29" t="s">
        <v>142</v>
      </c>
      <c r="J16" s="21"/>
      <c r="K16" s="26"/>
      <c r="L16" s="26">
        <f>($F14*1000)*GridEF!L$23/1000000</f>
        <v>129.69303815069233</v>
      </c>
      <c r="M16" s="26">
        <f>($F14*1000)*GridEF!M$23/1000000</f>
        <v>105.26843807817737</v>
      </c>
      <c r="N16" s="26">
        <f>($F14*1000)*GridEF!N$23/1000000</f>
        <v>96.065043097455288</v>
      </c>
      <c r="O16" s="26">
        <f>($F14*1000)*GridEF!O$23/1000000</f>
        <v>83.518203874270696</v>
      </c>
      <c r="P16" s="26">
        <f>($F14*1000)*GridEF!P$23/1000000</f>
        <v>69.813868124577212</v>
      </c>
      <c r="Q16" s="26">
        <f>($F14*1000)*GridEF!Q$23/1000000</f>
        <v>67.083207507497704</v>
      </c>
      <c r="R16" s="26">
        <f>($F14*1000)*GridEF!R$23/1000000</f>
        <v>62.894093823735695</v>
      </c>
      <c r="S16" s="26">
        <f>($F14*1000)*GridEF!S$23/1000000</f>
        <v>61.532834275794485</v>
      </c>
      <c r="T16" s="26">
        <f>($F14*1000)*GridEF!T$23/1000000</f>
        <v>58.10412968750439</v>
      </c>
      <c r="U16" s="26">
        <f>($F14*1000)*GridEF!U$23/1000000</f>
        <v>57.490178819320789</v>
      </c>
      <c r="V16" s="26">
        <f>($F14*1000)*GridEF!V$23/1000000</f>
        <v>60.551882112672715</v>
      </c>
      <c r="W16" s="26">
        <f>($F14*1000)*GridEF!W$23/1000000</f>
        <v>62.139431272885545</v>
      </c>
      <c r="X16" s="26">
        <f>($F14*1000)*GridEF!X$23/1000000</f>
        <v>63.175968535633245</v>
      </c>
      <c r="Y16" s="26">
        <f>($F14*1000)*GridEF!Y$23/1000000</f>
        <v>61.351946142572373</v>
      </c>
      <c r="Z16" s="26">
        <f>($F14*1000)*GridEF!Z$23/1000000</f>
        <v>60.601047093184938</v>
      </c>
      <c r="AA16" s="26">
        <f>($F14*1000)*GridEF!AA$23/1000000</f>
        <v>61.394572203303149</v>
      </c>
      <c r="AB16" s="26">
        <f>($F14*1000)*GridEF!AB$23/1000000</f>
        <v>61.575417359047449</v>
      </c>
      <c r="AC16" s="26">
        <f>($F14*1000)*GridEF!AC$23/1000000</f>
        <v>61.07423272236398</v>
      </c>
      <c r="AD16" s="26">
        <f>($F14*1000)*GridEF!AD$23/1000000</f>
        <v>61.212555742421607</v>
      </c>
      <c r="AE16" s="26">
        <f>($F14*1000)*GridEF!AE$23/1000000</f>
        <v>58.252590139174664</v>
      </c>
      <c r="AF16" s="26">
        <f>($F14*1000)*GridEF!AF$23/1000000</f>
        <v>56.157909347496762</v>
      </c>
      <c r="AG16" s="26">
        <f>($F14*1000)*GridEF!AG$23/1000000</f>
        <v>56.447077071699049</v>
      </c>
      <c r="AH16" s="26">
        <f>($F14*1000)*GridEF!AH$23/1000000</f>
        <v>55.758649468196325</v>
      </c>
      <c r="AI16" s="26">
        <f>($F14*1000)*GridEF!AI$23/1000000</f>
        <v>55.024165077912706</v>
      </c>
      <c r="AJ16" s="26">
        <f>($F14*1000)*GridEF!AJ$23/1000000</f>
        <v>52.261053692313084</v>
      </c>
    </row>
    <row r="17" spans="1:36" ht="12" x14ac:dyDescent="0.25">
      <c r="A17" s="141"/>
      <c r="B17" s="141"/>
      <c r="C17" s="141"/>
      <c r="F17" s="335"/>
      <c r="G17" s="335"/>
      <c r="H17" s="335"/>
      <c r="I17" s="29"/>
      <c r="K17" s="333"/>
      <c r="L17" s="333"/>
      <c r="M17" s="333"/>
      <c r="N17" s="333"/>
      <c r="O17" s="333"/>
      <c r="P17" s="333"/>
      <c r="Q17" s="333"/>
      <c r="R17" s="333"/>
      <c r="S17" s="333"/>
      <c r="T17" s="333"/>
      <c r="U17" s="333"/>
      <c r="V17" s="333"/>
      <c r="W17" s="333"/>
      <c r="X17" s="333"/>
      <c r="Y17" s="333"/>
      <c r="Z17" s="333"/>
      <c r="AA17" s="333"/>
      <c r="AB17" s="333"/>
      <c r="AC17" s="333"/>
      <c r="AD17" s="333"/>
      <c r="AE17" s="333"/>
      <c r="AF17" s="333"/>
      <c r="AG17" s="333"/>
      <c r="AH17" s="333"/>
      <c r="AI17" s="333"/>
      <c r="AJ17" s="333"/>
    </row>
    <row r="18" spans="1:36" ht="12" x14ac:dyDescent="0.2">
      <c r="A18" s="141"/>
      <c r="B18" s="141"/>
      <c r="C18" s="141"/>
      <c r="F18" s="140"/>
      <c r="G18" s="140"/>
      <c r="H18" s="140"/>
      <c r="I18" s="29"/>
      <c r="J18" s="21"/>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2" x14ac:dyDescent="0.25">
      <c r="A19" s="141" t="str">
        <f>E19</f>
        <v>Rolls Royce Solar PV</v>
      </c>
      <c r="B19" s="133" t="s">
        <v>117</v>
      </c>
      <c r="C19" s="141"/>
      <c r="D19" s="261"/>
      <c r="E19" s="34" t="s">
        <v>11</v>
      </c>
      <c r="F19" s="33"/>
      <c r="G19" s="33"/>
      <c r="H19" s="58"/>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row>
    <row r="20" spans="1:36" ht="12" x14ac:dyDescent="0.2">
      <c r="A20" s="141" t="str">
        <f>A19</f>
        <v>Rolls Royce Solar PV</v>
      </c>
      <c r="B20" s="141" t="str">
        <f>B19</f>
        <v>Ind Solar</v>
      </c>
      <c r="C20" s="141"/>
      <c r="E20" t="s">
        <v>247</v>
      </c>
      <c r="F20" s="241">
        <v>10.5</v>
      </c>
      <c r="G20" t="s">
        <v>248</v>
      </c>
      <c r="H20" s="24"/>
    </row>
    <row r="21" spans="1:36" ht="12" x14ac:dyDescent="0.2">
      <c r="A21" s="141" t="str">
        <f t="shared" ref="A21:A23" si="1">A20</f>
        <v>Rolls Royce Solar PV</v>
      </c>
      <c r="B21" s="141" t="str">
        <f t="shared" ref="B21:B23" si="2">B20</f>
        <v>Ind Solar</v>
      </c>
      <c r="C21" s="141"/>
      <c r="E21" t="s">
        <v>249</v>
      </c>
      <c r="F21" s="31">
        <f>14487500/1000</f>
        <v>14487.5</v>
      </c>
      <c r="G21" t="s">
        <v>237</v>
      </c>
      <c r="H21" s="24" t="s">
        <v>250</v>
      </c>
    </row>
    <row r="22" spans="1:36" ht="12" x14ac:dyDescent="0.25">
      <c r="A22" s="141" t="str">
        <f t="shared" si="1"/>
        <v>Rolls Royce Solar PV</v>
      </c>
      <c r="B22" s="141" t="str">
        <f t="shared" si="2"/>
        <v>Ind Solar</v>
      </c>
      <c r="C22" s="141"/>
      <c r="F22" s="23" t="s">
        <v>156</v>
      </c>
      <c r="G22" s="23" t="s">
        <v>130</v>
      </c>
      <c r="H22" s="23" t="s">
        <v>157</v>
      </c>
    </row>
    <row r="23" spans="1:36" ht="12" x14ac:dyDescent="0.2">
      <c r="A23" s="141" t="str">
        <f t="shared" si="1"/>
        <v>Rolls Royce Solar PV</v>
      </c>
      <c r="B23" s="141" t="str">
        <f t="shared" si="2"/>
        <v>Ind Solar</v>
      </c>
      <c r="C23" s="141" t="s">
        <v>140</v>
      </c>
      <c r="E23" t="s">
        <v>251</v>
      </c>
      <c r="F23" s="140">
        <f>AVERAGE(K23:AJ23)</f>
        <v>3982.1890953564066</v>
      </c>
      <c r="G23" s="140">
        <f>SUM(K23:P23)</f>
        <v>9969.5643668074808</v>
      </c>
      <c r="H23" s="140">
        <f>SUM(K23:AJ23)</f>
        <v>87608.160097840941</v>
      </c>
      <c r="I23" s="29" t="s">
        <v>142</v>
      </c>
      <c r="J23" s="21"/>
      <c r="K23" s="26"/>
      <c r="L23" s="26"/>
      <c r="M23" s="26"/>
      <c r="N23" s="26"/>
      <c r="O23" s="26">
        <f>($F21*1000)*GridEF!O$23/1000000</f>
        <v>5430.3062527645734</v>
      </c>
      <c r="P23" s="26">
        <f>($F21*1000)*GridEF!P$23/1000000</f>
        <v>4539.2581140429065</v>
      </c>
      <c r="Q23" s="26">
        <f>($F21*1000)*GridEF!Q$23/1000000</f>
        <v>4361.7121092769567</v>
      </c>
      <c r="R23" s="26">
        <f>($F21*1000)*GridEF!R$23/1000000</f>
        <v>4089.3383132034701</v>
      </c>
      <c r="S23" s="26">
        <f>($F21*1000)*GridEF!S$23/1000000</f>
        <v>4000.829989366086</v>
      </c>
      <c r="T23" s="26">
        <f>($F21*1000)*GridEF!T$23/1000000</f>
        <v>3777.8975614524852</v>
      </c>
      <c r="U23" s="26">
        <f>($F21*1000)*GridEF!U$23/1000000</f>
        <v>3737.9788241744832</v>
      </c>
      <c r="V23" s="26">
        <f>($F21*1000)*GridEF!V$23/1000000</f>
        <v>3937.0490360174936</v>
      </c>
      <c r="W23" s="26">
        <f>($F21*1000)*GridEF!W$23/1000000</f>
        <v>4040.2705821160293</v>
      </c>
      <c r="X23" s="26">
        <f>($F21*1000)*GridEF!X$23/1000000</f>
        <v>4107.6656471200113</v>
      </c>
      <c r="Y23" s="26">
        <f>($F21*1000)*GridEF!Y$23/1000000</f>
        <v>3989.0687455255734</v>
      </c>
      <c r="Z23" s="26">
        <f>($F21*1000)*GridEF!Z$23/1000000</f>
        <v>3940.2457151689578</v>
      </c>
      <c r="AA23" s="26">
        <f>($F21*1000)*GridEF!AA$23/1000000</f>
        <v>3991.8402678210664</v>
      </c>
      <c r="AB23" s="26">
        <f>($F21*1000)*GridEF!AB$23/1000000</f>
        <v>4003.5987172903442</v>
      </c>
      <c r="AC23" s="26">
        <f>($F21*1000)*GridEF!AC$23/1000000</f>
        <v>3971.0119764347951</v>
      </c>
      <c r="AD23" s="26">
        <f>($F21*1000)*GridEF!AD$23/1000000</f>
        <v>3980.0056607560114</v>
      </c>
      <c r="AE23" s="26">
        <f>($F21*1000)*GridEF!AE$23/1000000</f>
        <v>3787.550375828223</v>
      </c>
      <c r="AF23" s="26">
        <f>($F21*1000)*GridEF!AF$23/1000000</f>
        <v>3651.3554186459769</v>
      </c>
      <c r="AG23" s="26">
        <f>($F21*1000)*GridEF!AG$23/1000000</f>
        <v>3670.156940086707</v>
      </c>
      <c r="AH23" s="26">
        <f>($F21*1000)*GridEF!AH$23/1000000</f>
        <v>3625.3957677139829</v>
      </c>
      <c r="AI23" s="26">
        <f>($F21*1000)*GridEF!AI$23/1000000</f>
        <v>3577.6400091835503</v>
      </c>
      <c r="AJ23" s="26">
        <f>($F21*1000)*GridEF!AJ$23/1000000</f>
        <v>3397.9840738512412</v>
      </c>
    </row>
    <row r="24" spans="1:36" ht="12" x14ac:dyDescent="0.25">
      <c r="A24" s="141"/>
      <c r="B24" s="141"/>
      <c r="C24" s="141"/>
      <c r="F24" s="335"/>
      <c r="G24" s="335"/>
      <c r="H24" s="335"/>
      <c r="I24" s="29"/>
      <c r="K24" s="333"/>
      <c r="L24" s="333"/>
      <c r="M24" s="333"/>
      <c r="N24" s="333"/>
      <c r="O24" s="333"/>
      <c r="P24" s="333"/>
      <c r="Q24" s="333"/>
      <c r="R24" s="333"/>
      <c r="S24" s="333"/>
      <c r="T24" s="333"/>
      <c r="U24" s="333"/>
      <c r="V24" s="333"/>
      <c r="W24" s="333"/>
      <c r="X24" s="333"/>
      <c r="Y24" s="333"/>
      <c r="Z24" s="333"/>
      <c r="AA24" s="333"/>
      <c r="AB24" s="333"/>
      <c r="AC24" s="333"/>
      <c r="AD24" s="333"/>
      <c r="AE24" s="333"/>
      <c r="AF24" s="333"/>
      <c r="AG24" s="333"/>
      <c r="AH24" s="333"/>
      <c r="AI24" s="333"/>
      <c r="AJ24" s="333"/>
    </row>
    <row r="25" spans="1:36" ht="12" x14ac:dyDescent="0.2">
      <c r="A25" s="141"/>
      <c r="B25" s="141"/>
      <c r="C25" s="141"/>
      <c r="F25" s="140"/>
      <c r="G25" s="140"/>
      <c r="H25" s="140"/>
      <c r="I25" s="29"/>
      <c r="J25" s="21"/>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ht="12" x14ac:dyDescent="0.25">
      <c r="A26" s="141" t="str">
        <f>E26</f>
        <v>City of Indianapolis Brownfield Julietta Landfill</v>
      </c>
      <c r="B26" s="133" t="s">
        <v>84</v>
      </c>
      <c r="C26" s="141"/>
      <c r="D26" s="33"/>
      <c r="E26" s="34" t="s">
        <v>15</v>
      </c>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row>
    <row r="27" spans="1:36" ht="12" x14ac:dyDescent="0.2">
      <c r="A27" s="141" t="str">
        <f t="shared" ref="A27:B32" si="3">A26</f>
        <v>City of Indianapolis Brownfield Julietta Landfill</v>
      </c>
      <c r="B27" s="141" t="str">
        <f t="shared" si="3"/>
        <v>Brownfield Solar</v>
      </c>
      <c r="C27" s="141" t="s">
        <v>64</v>
      </c>
      <c r="E27" t="s">
        <v>247</v>
      </c>
      <c r="F27" s="24">
        <v>10</v>
      </c>
      <c r="G27" t="s">
        <v>248</v>
      </c>
      <c r="H27" s="24" t="s">
        <v>252</v>
      </c>
    </row>
    <row r="28" spans="1:36" ht="12" x14ac:dyDescent="0.2">
      <c r="A28" s="141" t="str">
        <f t="shared" si="3"/>
        <v>City of Indianapolis Brownfield Julietta Landfill</v>
      </c>
      <c r="B28" s="141" t="str">
        <f t="shared" si="3"/>
        <v>Brownfield Solar</v>
      </c>
      <c r="C28" s="141" t="s">
        <v>64</v>
      </c>
      <c r="E28" t="s">
        <v>253</v>
      </c>
      <c r="F28" s="28">
        <f>F29/(F27*8760)</f>
        <v>0.25917808219178085</v>
      </c>
    </row>
    <row r="29" spans="1:36" ht="12" x14ac:dyDescent="0.2">
      <c r="A29" s="141" t="str">
        <f t="shared" si="3"/>
        <v>City of Indianapolis Brownfield Julietta Landfill</v>
      </c>
      <c r="B29" s="141" t="str">
        <f t="shared" si="3"/>
        <v>Brownfield Solar</v>
      </c>
      <c r="C29" s="141" t="s">
        <v>64</v>
      </c>
      <c r="E29" t="s">
        <v>249</v>
      </c>
      <c r="F29" s="31">
        <f>2400*(10/12)*F30</f>
        <v>22704</v>
      </c>
      <c r="G29" t="s">
        <v>237</v>
      </c>
      <c r="H29" s="24" t="s">
        <v>252</v>
      </c>
    </row>
    <row r="30" spans="1:36" ht="12" x14ac:dyDescent="0.2">
      <c r="A30" s="141" t="str">
        <f t="shared" si="3"/>
        <v>City of Indianapolis Brownfield Julietta Landfill</v>
      </c>
      <c r="B30" s="141" t="str">
        <f t="shared" si="3"/>
        <v>Brownfield Solar</v>
      </c>
      <c r="C30" s="141" t="s">
        <v>64</v>
      </c>
      <c r="E30" t="s">
        <v>254</v>
      </c>
      <c r="F30" s="27">
        <f>946*12/1000</f>
        <v>11.352</v>
      </c>
      <c r="G30" t="s">
        <v>255</v>
      </c>
      <c r="H30" s="27" t="s">
        <v>256</v>
      </c>
    </row>
    <row r="31" spans="1:36" ht="12" x14ac:dyDescent="0.25">
      <c r="A31" s="141" t="str">
        <f t="shared" si="3"/>
        <v>City of Indianapolis Brownfield Julietta Landfill</v>
      </c>
      <c r="B31" s="141" t="str">
        <f t="shared" si="3"/>
        <v>Brownfield Solar</v>
      </c>
      <c r="C31" s="141" t="s">
        <v>64</v>
      </c>
      <c r="F31" s="23" t="s">
        <v>156</v>
      </c>
      <c r="G31" s="23" t="s">
        <v>130</v>
      </c>
      <c r="H31" s="23" t="s">
        <v>157</v>
      </c>
    </row>
    <row r="32" spans="1:36" ht="12" x14ac:dyDescent="0.2">
      <c r="A32" s="141" t="str">
        <f t="shared" si="3"/>
        <v>City of Indianapolis Brownfield Julietta Landfill</v>
      </c>
      <c r="B32" s="141" t="str">
        <f t="shared" si="3"/>
        <v>Brownfield Solar</v>
      </c>
      <c r="C32" s="141" t="s">
        <v>140</v>
      </c>
      <c r="E32" t="s">
        <v>251</v>
      </c>
      <c r="F32" s="140">
        <f>AVERAGE(K32:AJ32)</f>
        <v>6575.3937138142946</v>
      </c>
      <c r="G32" s="140">
        <f>SUM(K32:P32)</f>
        <v>36138.582696520956</v>
      </c>
      <c r="H32" s="140">
        <f>SUM(K32:AJ32)</f>
        <v>157809.44913154308</v>
      </c>
      <c r="I32" s="29" t="s">
        <v>142</v>
      </c>
      <c r="J32" s="21"/>
      <c r="K32" s="26"/>
      <c r="L32" s="26"/>
      <c r="M32" s="26">
        <f>($F29*1000)*GridEF!M$23/1000000</f>
        <v>10726.30854835309</v>
      </c>
      <c r="N32" s="26">
        <f>($F29*1000)*GridEF!N$23/1000000</f>
        <v>9788.5302735175119</v>
      </c>
      <c r="O32" s="26">
        <f>($F29*1000)*GridEF!O$23/1000000</f>
        <v>8510.0723494575923</v>
      </c>
      <c r="P32" s="26">
        <f>($F29*1000)*GridEF!P$23/1000000</f>
        <v>7113.6715251927635</v>
      </c>
      <c r="Q32" s="26">
        <f>($F29*1000)*GridEF!Q$23/1000000</f>
        <v>6835.431353168181</v>
      </c>
      <c r="R32" s="26">
        <f>($F29*1000)*GridEF!R$23/1000000</f>
        <v>6408.5823684536035</v>
      </c>
      <c r="S32" s="26">
        <f>($F29*1000)*GridEF!S$23/1000000</f>
        <v>6269.8770718597143</v>
      </c>
      <c r="T32" s="26">
        <f>($F29*1000)*GridEF!T$23/1000000</f>
        <v>5920.5098350451926</v>
      </c>
      <c r="U32" s="26">
        <f>($F29*1000)*GridEF!U$23/1000000</f>
        <v>5857.9514218503855</v>
      </c>
      <c r="V32" s="26">
        <f>($F29*1000)*GridEF!V$23/1000000</f>
        <v>6169.9231277819626</v>
      </c>
      <c r="W32" s="26">
        <f>($F29*1000)*GridEF!W$23/1000000</f>
        <v>6331.6861636833355</v>
      </c>
      <c r="X32" s="26">
        <f>($F29*1000)*GridEF!X$23/1000000</f>
        <v>6437.3039414814657</v>
      </c>
      <c r="Y32" s="26">
        <f>($F29*1000)*GridEF!Y$23/1000000</f>
        <v>6251.4455080871521</v>
      </c>
      <c r="Z32" s="26">
        <f>($F29*1000)*GridEF!Z$23/1000000</f>
        <v>6174.9327846209499</v>
      </c>
      <c r="AA32" s="26">
        <f>($F29*1000)*GridEF!AA$23/1000000</f>
        <v>6255.7888828720961</v>
      </c>
      <c r="AB32" s="26">
        <f>($F29*1000)*GridEF!AB$23/1000000</f>
        <v>6274.2160674622937</v>
      </c>
      <c r="AC32" s="26">
        <f>($F29*1000)*GridEF!AC$23/1000000</f>
        <v>6223.1479491268738</v>
      </c>
      <c r="AD32" s="26">
        <f>($F29*1000)*GridEF!AD$23/1000000</f>
        <v>6237.2423483557886</v>
      </c>
      <c r="AE32" s="26">
        <f>($F29*1000)*GridEF!AE$23/1000000</f>
        <v>5935.6371860434137</v>
      </c>
      <c r="AF32" s="26">
        <f>($F29*1000)*GridEF!AF$23/1000000</f>
        <v>5722.2000638438831</v>
      </c>
      <c r="AG32" s="26">
        <f>($F29*1000)*GridEF!AG$23/1000000</f>
        <v>5751.6647570477035</v>
      </c>
      <c r="AH32" s="26">
        <f>($F29*1000)*GridEF!AH$23/1000000</f>
        <v>5681.51755031429</v>
      </c>
      <c r="AI32" s="26">
        <f>($F29*1000)*GridEF!AI$23/1000000</f>
        <v>5606.6773955826284</v>
      </c>
      <c r="AJ32" s="26">
        <f>($F29*1000)*GridEF!AJ$23/1000000</f>
        <v>5325.1306583412306</v>
      </c>
    </row>
    <row r="33" spans="1:36" ht="12" x14ac:dyDescent="0.25">
      <c r="A33" s="141"/>
      <c r="B33" s="141"/>
      <c r="C33" s="141"/>
      <c r="F33" s="335"/>
      <c r="G33" s="335"/>
      <c r="H33" s="335"/>
      <c r="I33" s="29"/>
      <c r="K33" s="333"/>
      <c r="L33" s="333"/>
      <c r="M33" s="333"/>
      <c r="N33" s="333"/>
      <c r="O33" s="333"/>
      <c r="P33" s="333"/>
      <c r="Q33" s="333"/>
      <c r="R33" s="333"/>
      <c r="S33" s="333"/>
      <c r="T33" s="333"/>
      <c r="U33" s="333"/>
      <c r="V33" s="333"/>
      <c r="W33" s="333"/>
      <c r="X33" s="333"/>
      <c r="Y33" s="333"/>
      <c r="Z33" s="333"/>
      <c r="AA33" s="333"/>
      <c r="AB33" s="333"/>
      <c r="AC33" s="333"/>
      <c r="AD33" s="333"/>
      <c r="AE33" s="333"/>
      <c r="AF33" s="333"/>
      <c r="AG33" s="333"/>
      <c r="AH33" s="333"/>
      <c r="AI33" s="333"/>
      <c r="AJ33" s="333"/>
    </row>
    <row r="34" spans="1:36" ht="12" x14ac:dyDescent="0.2">
      <c r="A34" s="141"/>
      <c r="B34" s="141"/>
      <c r="C34" s="141"/>
    </row>
    <row r="35" spans="1:36" ht="12" x14ac:dyDescent="0.25">
      <c r="A35" s="141" t="str">
        <f>E35</f>
        <v>City of Indianapolis Solar Upgrades</v>
      </c>
      <c r="B35" s="133" t="s">
        <v>85</v>
      </c>
      <c r="C35" s="141"/>
      <c r="D35" s="33"/>
      <c r="E35" s="34" t="s">
        <v>7</v>
      </c>
      <c r="F35" s="33"/>
      <c r="G35" s="259" t="s">
        <v>257</v>
      </c>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row>
    <row r="36" spans="1:36" ht="12" x14ac:dyDescent="0.2">
      <c r="A36" s="141" t="str">
        <f>A35</f>
        <v>City of Indianapolis Solar Upgrades</v>
      </c>
      <c r="B36" s="141" t="str">
        <f>B35</f>
        <v>Solar</v>
      </c>
      <c r="C36" s="141"/>
      <c r="E36" t="s">
        <v>546</v>
      </c>
      <c r="F36" s="56">
        <f>F28/F37*8760</f>
        <v>0.79791019503885707</v>
      </c>
      <c r="G36" t="s">
        <v>248</v>
      </c>
    </row>
    <row r="37" spans="1:36" ht="12" x14ac:dyDescent="0.2">
      <c r="A37" s="141" t="str">
        <f t="shared" ref="A37:A39" si="4">A36</f>
        <v>City of Indianapolis Solar Upgrades</v>
      </c>
      <c r="B37" s="141" t="str">
        <f t="shared" ref="B37:B39" si="5">B36</f>
        <v>Solar</v>
      </c>
      <c r="C37" s="141"/>
      <c r="E37" t="s">
        <v>258</v>
      </c>
      <c r="F37" s="260">
        <f>SUM(503343,486199,169197,462093,107464,203314,107421,99910,399276,307216)/1000</f>
        <v>2845.433</v>
      </c>
      <c r="G37" t="s">
        <v>237</v>
      </c>
    </row>
    <row r="38" spans="1:36" ht="12" x14ac:dyDescent="0.25">
      <c r="A38" s="141" t="str">
        <f t="shared" si="4"/>
        <v>City of Indianapolis Solar Upgrades</v>
      </c>
      <c r="B38" s="141" t="str">
        <f t="shared" si="5"/>
        <v>Solar</v>
      </c>
      <c r="C38" s="141"/>
      <c r="F38" s="23" t="s">
        <v>156</v>
      </c>
      <c r="G38" s="23" t="s">
        <v>130</v>
      </c>
      <c r="H38" s="23" t="s">
        <v>157</v>
      </c>
    </row>
    <row r="39" spans="1:36" ht="12" x14ac:dyDescent="0.2">
      <c r="A39" s="141" t="str">
        <f t="shared" si="4"/>
        <v>City of Indianapolis Solar Upgrades</v>
      </c>
      <c r="B39" s="141" t="str">
        <f t="shared" si="5"/>
        <v>Solar</v>
      </c>
      <c r="C39" s="141" t="s">
        <v>140</v>
      </c>
      <c r="E39" t="s">
        <v>251</v>
      </c>
      <c r="F39" s="140">
        <f>AVERAGE(K39:AJ39)</f>
        <v>857.36213910251342</v>
      </c>
      <c r="G39" s="140">
        <f>SUM(K39:P39)</f>
        <v>6185.361683482306</v>
      </c>
      <c r="H39" s="140">
        <f>SUM(K39:AJ39)</f>
        <v>21434.053477562837</v>
      </c>
      <c r="I39" s="29" t="s">
        <v>142</v>
      </c>
      <c r="J39" s="21"/>
      <c r="K39" s="26"/>
      <c r="L39" s="26">
        <f>($F37*1000)*GridEF!L$23/1000000</f>
        <v>1656.2075354066499</v>
      </c>
      <c r="M39" s="26">
        <f>($F37*1000)*GridEF!M$23/1000000</f>
        <v>1344.3002251438504</v>
      </c>
      <c r="N39" s="26">
        <f>($F37*1000)*GridEF!N$23/1000000</f>
        <v>1226.7709241440166</v>
      </c>
      <c r="O39" s="26">
        <f>($F37*1000)*GridEF!O$23/1000000</f>
        <v>1066.5451328195104</v>
      </c>
      <c r="P39" s="26">
        <f>($F37*1000)*GridEF!P$23/1000000</f>
        <v>891.53786596827956</v>
      </c>
      <c r="Q39" s="26">
        <f>($F37*1000)*GridEF!Q$23/1000000</f>
        <v>856.66675218196781</v>
      </c>
      <c r="R39" s="26">
        <f>($F37*1000)*GridEF!R$23/1000000</f>
        <v>803.17088417970592</v>
      </c>
      <c r="S39" s="26">
        <f>($F37*1000)*GridEF!S$23/1000000</f>
        <v>785.78731176061501</v>
      </c>
      <c r="T39" s="26">
        <f>($F37*1000)*GridEF!T$23/1000000</f>
        <v>742.0020287818071</v>
      </c>
      <c r="U39" s="26">
        <f>($F37*1000)*GridEF!U$23/1000000</f>
        <v>734.16174630593764</v>
      </c>
      <c r="V39" s="26">
        <f>($F37*1000)*GridEF!V$23/1000000</f>
        <v>773.26034510456361</v>
      </c>
      <c r="W39" s="26">
        <f>($F37*1000)*GridEF!W$23/1000000</f>
        <v>793.53368374682725</v>
      </c>
      <c r="X39" s="26">
        <f>($F37*1000)*GridEF!X$23/1000000</f>
        <v>806.77048388484104</v>
      </c>
      <c r="Y39" s="26">
        <f>($F37*1000)*GridEF!Y$23/1000000</f>
        <v>783.47733203016867</v>
      </c>
      <c r="Z39" s="26">
        <f>($F37*1000)*GridEF!Z$23/1000000</f>
        <v>773.8881923071857</v>
      </c>
      <c r="AA39" s="26">
        <f>($F37*1000)*GridEF!AA$23/1000000</f>
        <v>784.02167584378958</v>
      </c>
      <c r="AB39" s="26">
        <f>($F37*1000)*GridEF!AB$23/1000000</f>
        <v>786.33110674275179</v>
      </c>
      <c r="AC39" s="26">
        <f>($F37*1000)*GridEF!AC$23/1000000</f>
        <v>779.9308729002787</v>
      </c>
      <c r="AD39" s="26">
        <f>($F37*1000)*GridEF!AD$23/1000000</f>
        <v>781.69728713042014</v>
      </c>
      <c r="AE39" s="26">
        <f>($F37*1000)*GridEF!AE$23/1000000</f>
        <v>743.89790015834524</v>
      </c>
      <c r="AF39" s="26">
        <f>($F37*1000)*GridEF!AF$23/1000000</f>
        <v>717.14838329208476</v>
      </c>
      <c r="AG39" s="26">
        <f>($F37*1000)*GridEF!AG$23/1000000</f>
        <v>720.84111630728137</v>
      </c>
      <c r="AH39" s="26">
        <f>($F37*1000)*GridEF!AH$23/1000000</f>
        <v>712.04975016488027</v>
      </c>
      <c r="AI39" s="26">
        <f>($F37*1000)*GridEF!AI$23/1000000</f>
        <v>702.67022911138406</v>
      </c>
      <c r="AJ39" s="26">
        <f>($F37*1000)*GridEF!AJ$23/1000000</f>
        <v>667.38471214569506</v>
      </c>
    </row>
    <row r="40" spans="1:36" ht="12" x14ac:dyDescent="0.25">
      <c r="A40" s="141"/>
      <c r="B40" s="141"/>
      <c r="C40" s="141"/>
      <c r="F40" s="335"/>
      <c r="G40" s="335"/>
      <c r="H40" s="335"/>
      <c r="I40" s="29"/>
      <c r="K40" s="333"/>
      <c r="L40" s="333"/>
      <c r="M40" s="333"/>
      <c r="N40" s="333"/>
      <c r="O40" s="333"/>
      <c r="P40" s="333"/>
      <c r="Q40" s="333"/>
      <c r="R40" s="333"/>
      <c r="S40" s="333"/>
      <c r="T40" s="333"/>
      <c r="U40" s="333"/>
      <c r="V40" s="333"/>
      <c r="W40" s="333"/>
      <c r="X40" s="333"/>
      <c r="Y40" s="333"/>
      <c r="Z40" s="333"/>
      <c r="AA40" s="333"/>
      <c r="AB40" s="333"/>
      <c r="AC40" s="333"/>
      <c r="AD40" s="333"/>
      <c r="AE40" s="333"/>
      <c r="AF40" s="333"/>
      <c r="AG40" s="333"/>
      <c r="AH40" s="333"/>
      <c r="AI40" s="333"/>
      <c r="AJ40" s="333"/>
    </row>
  </sheetData>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DD70151-C7AA-473C-9E2E-C1CC37AE370F}">
          <x14:formula1>
            <xm:f>Lists!$D$3:$D$20</xm:f>
          </x14:formula1>
          <xm:sqref>B26 B12 B19 B35</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11D7F-A4D2-4E69-826D-3805C7FC3856}">
  <sheetPr>
    <tabColor theme="9" tint="0.79998168889431442"/>
  </sheetPr>
  <dimension ref="A1:AJ149"/>
  <sheetViews>
    <sheetView zoomScaleNormal="100" workbookViewId="0">
      <pane xSplit="5" ySplit="8" topLeftCell="F9" activePane="bottomRight" state="frozen"/>
      <selection pane="topRight" activeCell="A3" sqref="A3"/>
      <selection pane="bottomLeft" activeCell="A3" sqref="A3"/>
      <selection pane="bottomRight" activeCell="A3" sqref="A3"/>
    </sheetView>
  </sheetViews>
  <sheetFormatPr defaultRowHeight="11.4" x14ac:dyDescent="0.2"/>
  <cols>
    <col min="1" max="1" width="6.375" customWidth="1"/>
    <col min="2" max="2" width="7.875" customWidth="1"/>
    <col min="3" max="3" width="5.375" customWidth="1"/>
    <col min="4" max="4" width="10.875" customWidth="1"/>
    <col min="5" max="5" width="49.625" customWidth="1"/>
    <col min="6" max="6" width="8.375" customWidth="1"/>
    <col min="7" max="36" width="7.625" customWidth="1"/>
  </cols>
  <sheetData>
    <row r="1" spans="1:36" ht="12" x14ac:dyDescent="0.25">
      <c r="A1" s="1" t="s">
        <v>259</v>
      </c>
      <c r="D1" s="1"/>
    </row>
    <row r="2" spans="1:36" ht="12" x14ac:dyDescent="0.25">
      <c r="A2" t="s">
        <v>260</v>
      </c>
      <c r="E2" s="1"/>
      <c r="F2" s="108" t="s">
        <v>144</v>
      </c>
      <c r="G2" s="108" t="s">
        <v>122</v>
      </c>
      <c r="J2" s="1"/>
      <c r="K2" s="1"/>
      <c r="Q2" s="108" t="s">
        <v>144</v>
      </c>
      <c r="R2" s="108" t="s">
        <v>122</v>
      </c>
      <c r="S2" s="109"/>
      <c r="AB2" s="108" t="s">
        <v>144</v>
      </c>
      <c r="AC2" s="108" t="s">
        <v>122</v>
      </c>
    </row>
    <row r="3" spans="1:36" ht="12" x14ac:dyDescent="0.2">
      <c r="E3" s="2"/>
      <c r="G3" s="8"/>
      <c r="Q3" s="7" t="s">
        <v>261</v>
      </c>
      <c r="R3" s="106" t="s">
        <v>262</v>
      </c>
      <c r="AB3" s="7" t="s">
        <v>263</v>
      </c>
      <c r="AC3" s="189" t="s">
        <v>264</v>
      </c>
    </row>
    <row r="4" spans="1:36" ht="12" x14ac:dyDescent="0.2">
      <c r="G4" s="2"/>
      <c r="Q4" s="7" t="s">
        <v>265</v>
      </c>
      <c r="R4" s="27" t="s">
        <v>266</v>
      </c>
      <c r="AB4" s="7" t="s">
        <v>267</v>
      </c>
      <c r="AC4" s="45" t="s">
        <v>268</v>
      </c>
    </row>
    <row r="5" spans="1:36" ht="12" x14ac:dyDescent="0.2">
      <c r="G5" s="24" t="s">
        <v>269</v>
      </c>
      <c r="Q5" s="7" t="s">
        <v>270</v>
      </c>
      <c r="R5" s="32" t="s">
        <v>271</v>
      </c>
    </row>
    <row r="6" spans="1:36" ht="12" x14ac:dyDescent="0.2">
      <c r="F6" s="7" t="s">
        <v>272</v>
      </c>
      <c r="G6" s="62" t="s">
        <v>273</v>
      </c>
      <c r="Q6" s="7" t="s">
        <v>274</v>
      </c>
      <c r="R6" s="110" t="s">
        <v>275</v>
      </c>
    </row>
    <row r="7" spans="1:36" ht="12" x14ac:dyDescent="0.2">
      <c r="A7" s="96" t="s">
        <v>124</v>
      </c>
      <c r="F7" s="7"/>
      <c r="G7" s="106"/>
      <c r="Q7" s="7"/>
      <c r="R7" s="32"/>
    </row>
    <row r="8" spans="1:36" ht="12" x14ac:dyDescent="0.25">
      <c r="A8" s="96" t="s">
        <v>125</v>
      </c>
      <c r="B8" s="96" t="s">
        <v>126</v>
      </c>
      <c r="C8" s="96" t="s">
        <v>127</v>
      </c>
      <c r="F8" s="1">
        <v>2020</v>
      </c>
      <c r="G8" s="1">
        <v>2021</v>
      </c>
      <c r="H8" s="1">
        <v>2022</v>
      </c>
      <c r="I8" s="1">
        <v>2023</v>
      </c>
      <c r="J8" s="1">
        <v>2024</v>
      </c>
      <c r="K8" s="1">
        <v>2025</v>
      </c>
      <c r="L8" s="1">
        <v>2026</v>
      </c>
      <c r="M8" s="1">
        <v>2027</v>
      </c>
      <c r="N8" s="1">
        <v>2028</v>
      </c>
      <c r="O8" s="1">
        <v>2029</v>
      </c>
      <c r="P8" s="1">
        <v>2030</v>
      </c>
      <c r="Q8" s="1">
        <v>2031</v>
      </c>
      <c r="R8" s="1">
        <v>2032</v>
      </c>
      <c r="S8" s="1">
        <v>2033</v>
      </c>
      <c r="T8" s="1">
        <v>2034</v>
      </c>
      <c r="U8" s="1">
        <v>2035</v>
      </c>
      <c r="V8" s="1">
        <v>2036</v>
      </c>
      <c r="W8" s="1">
        <v>2037</v>
      </c>
      <c r="X8" s="1">
        <v>2038</v>
      </c>
      <c r="Y8" s="1">
        <v>2039</v>
      </c>
      <c r="Z8" s="1">
        <v>2040</v>
      </c>
      <c r="AA8" s="1">
        <v>2041</v>
      </c>
      <c r="AB8" s="1">
        <v>2042</v>
      </c>
      <c r="AC8" s="1">
        <v>2043</v>
      </c>
      <c r="AD8" s="1">
        <v>2044</v>
      </c>
      <c r="AE8" s="1">
        <v>2045</v>
      </c>
      <c r="AF8" s="1">
        <v>2046</v>
      </c>
      <c r="AG8" s="1">
        <v>2047</v>
      </c>
      <c r="AH8" s="1">
        <v>2048</v>
      </c>
      <c r="AI8" s="1">
        <v>2049</v>
      </c>
      <c r="AJ8" s="1">
        <v>2050</v>
      </c>
    </row>
    <row r="9" spans="1:36" ht="12" x14ac:dyDescent="0.25">
      <c r="A9" s="141"/>
      <c r="B9" s="141"/>
      <c r="C9" s="141"/>
      <c r="E9" s="46"/>
      <c r="F9" s="50"/>
      <c r="G9" s="50"/>
      <c r="H9" s="51"/>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row>
    <row r="10" spans="1:36" ht="12" x14ac:dyDescent="0.25">
      <c r="A10" s="141"/>
      <c r="B10" s="141"/>
      <c r="C10" s="141"/>
      <c r="E10" s="1" t="s">
        <v>276</v>
      </c>
      <c r="F10" s="52">
        <v>5.3019999999999998E-2</v>
      </c>
      <c r="G10" s="53" t="s">
        <v>277</v>
      </c>
      <c r="H10" s="51"/>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row>
    <row r="11" spans="1:36" ht="12" x14ac:dyDescent="0.25">
      <c r="A11" s="141"/>
      <c r="B11" s="141"/>
      <c r="C11" s="141"/>
      <c r="E11" s="1" t="s">
        <v>278</v>
      </c>
      <c r="F11" s="59">
        <f>3412/1000000</f>
        <v>3.4120000000000001E-3</v>
      </c>
      <c r="G11" s="60" t="s">
        <v>279</v>
      </c>
      <c r="H11" s="51"/>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row>
    <row r="12" spans="1:36" ht="12" x14ac:dyDescent="0.25">
      <c r="A12" s="141"/>
      <c r="B12" s="141"/>
      <c r="C12" s="141"/>
      <c r="E12" s="46"/>
      <c r="F12" s="50"/>
      <c r="G12" s="50"/>
      <c r="H12" s="51"/>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row>
    <row r="13" spans="1:36" ht="12" x14ac:dyDescent="0.25">
      <c r="D13" s="107"/>
      <c r="E13" s="114" t="s">
        <v>280</v>
      </c>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row>
    <row r="14" spans="1:36" ht="12" x14ac:dyDescent="0.25">
      <c r="A14" s="141" t="str">
        <f>E14</f>
        <v>McCordsville Town Hall Energy Efficiency Updates</v>
      </c>
      <c r="B14" s="133" t="s">
        <v>99</v>
      </c>
      <c r="D14" s="33"/>
      <c r="E14" s="34" t="s">
        <v>8</v>
      </c>
      <c r="F14" s="33"/>
      <c r="G14" s="58" t="s">
        <v>281</v>
      </c>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row>
    <row r="15" spans="1:36" ht="12" x14ac:dyDescent="0.2">
      <c r="A15" s="141" t="str">
        <f t="shared" ref="A15:B16" si="0">A14</f>
        <v>McCordsville Town Hall Energy Efficiency Updates</v>
      </c>
      <c r="B15" s="141" t="str">
        <f t="shared" si="0"/>
        <v>HVAC EE</v>
      </c>
      <c r="E15" t="s">
        <v>282</v>
      </c>
      <c r="F15" s="31">
        <v>38295</v>
      </c>
      <c r="G15" t="s">
        <v>283</v>
      </c>
      <c r="H15" s="24" t="s">
        <v>284</v>
      </c>
    </row>
    <row r="16" spans="1:36" ht="12" x14ac:dyDescent="0.2">
      <c r="A16" s="141" t="str">
        <f t="shared" si="0"/>
        <v>McCordsville Town Hall Energy Efficiency Updates</v>
      </c>
      <c r="B16" s="141" t="str">
        <f t="shared" si="0"/>
        <v>HVAC EE</v>
      </c>
      <c r="E16" t="s">
        <v>285</v>
      </c>
      <c r="F16" s="31">
        <v>60510</v>
      </c>
      <c r="G16" t="s">
        <v>283</v>
      </c>
      <c r="H16" s="96"/>
      <c r="K16" s="122"/>
    </row>
    <row r="17" spans="1:36" ht="12" x14ac:dyDescent="0.2">
      <c r="A17" s="141" t="str">
        <f>A16</f>
        <v>McCordsville Town Hall Energy Efficiency Updates</v>
      </c>
      <c r="B17" s="141" t="str">
        <f>B16</f>
        <v>HVAC EE</v>
      </c>
      <c r="E17" t="s">
        <v>547</v>
      </c>
      <c r="F17" s="95">
        <f>(F16-F15)*$F$11*GridEF!M11</f>
        <v>11.471476736585217</v>
      </c>
      <c r="G17" t="s">
        <v>342</v>
      </c>
      <c r="H17" s="96" t="s">
        <v>553</v>
      </c>
      <c r="K17" s="122"/>
    </row>
    <row r="18" spans="1:36" ht="12" x14ac:dyDescent="0.25">
      <c r="A18" s="141" t="str">
        <f t="shared" ref="A18:B18" si="1">A17</f>
        <v>McCordsville Town Hall Energy Efficiency Updates</v>
      </c>
      <c r="B18" s="141" t="str">
        <f t="shared" si="1"/>
        <v>HVAC EE</v>
      </c>
      <c r="E18" s="1" t="s">
        <v>286</v>
      </c>
    </row>
    <row r="19" spans="1:36" ht="12" x14ac:dyDescent="0.2">
      <c r="A19" s="141" t="str">
        <f t="shared" ref="A19:B19" si="2">A18</f>
        <v>McCordsville Town Hall Energy Efficiency Updates</v>
      </c>
      <c r="B19" s="141" t="str">
        <f t="shared" si="2"/>
        <v>HVAC EE</v>
      </c>
      <c r="E19" t="s">
        <v>287</v>
      </c>
      <c r="F19" s="56">
        <f t="shared" ref="F19:AJ19" si="3">($F16)/1000</f>
        <v>60.51</v>
      </c>
      <c r="G19" s="56">
        <f t="shared" si="3"/>
        <v>60.51</v>
      </c>
      <c r="H19" s="56">
        <f t="shared" si="3"/>
        <v>60.51</v>
      </c>
      <c r="I19" s="56">
        <f t="shared" si="3"/>
        <v>60.51</v>
      </c>
      <c r="J19" s="56">
        <f t="shared" si="3"/>
        <v>60.51</v>
      </c>
      <c r="K19" s="56">
        <f t="shared" si="3"/>
        <v>60.51</v>
      </c>
      <c r="L19" s="56">
        <f t="shared" si="3"/>
        <v>60.51</v>
      </c>
      <c r="M19" s="56">
        <f t="shared" si="3"/>
        <v>60.51</v>
      </c>
      <c r="N19" s="56">
        <f t="shared" si="3"/>
        <v>60.51</v>
      </c>
      <c r="O19" s="56">
        <f t="shared" si="3"/>
        <v>60.51</v>
      </c>
      <c r="P19" s="56">
        <f t="shared" si="3"/>
        <v>60.51</v>
      </c>
      <c r="Q19" s="56">
        <f t="shared" si="3"/>
        <v>60.51</v>
      </c>
      <c r="R19" s="56">
        <f t="shared" si="3"/>
        <v>60.51</v>
      </c>
      <c r="S19" s="56">
        <f t="shared" si="3"/>
        <v>60.51</v>
      </c>
      <c r="T19" s="56">
        <f t="shared" si="3"/>
        <v>60.51</v>
      </c>
      <c r="U19" s="56">
        <f t="shared" si="3"/>
        <v>60.51</v>
      </c>
      <c r="V19" s="56">
        <f t="shared" si="3"/>
        <v>60.51</v>
      </c>
      <c r="W19" s="56">
        <f t="shared" si="3"/>
        <v>60.51</v>
      </c>
      <c r="X19" s="56">
        <f t="shared" si="3"/>
        <v>60.51</v>
      </c>
      <c r="Y19" s="56">
        <f t="shared" si="3"/>
        <v>60.51</v>
      </c>
      <c r="Z19" s="56">
        <f t="shared" si="3"/>
        <v>60.51</v>
      </c>
      <c r="AA19" s="56">
        <f t="shared" si="3"/>
        <v>60.51</v>
      </c>
      <c r="AB19" s="56">
        <f t="shared" si="3"/>
        <v>60.51</v>
      </c>
      <c r="AC19" s="56">
        <f t="shared" si="3"/>
        <v>60.51</v>
      </c>
      <c r="AD19" s="56">
        <f t="shared" si="3"/>
        <v>60.51</v>
      </c>
      <c r="AE19" s="56">
        <f t="shared" si="3"/>
        <v>60.51</v>
      </c>
      <c r="AF19" s="56">
        <f t="shared" si="3"/>
        <v>60.51</v>
      </c>
      <c r="AG19" s="56">
        <f t="shared" si="3"/>
        <v>60.51</v>
      </c>
      <c r="AH19" s="56">
        <f t="shared" si="3"/>
        <v>60.51</v>
      </c>
      <c r="AI19" s="56">
        <f t="shared" si="3"/>
        <v>60.51</v>
      </c>
      <c r="AJ19" s="56">
        <f t="shared" si="3"/>
        <v>60.51</v>
      </c>
    </row>
    <row r="20" spans="1:36" ht="12" x14ac:dyDescent="0.2">
      <c r="A20" s="141" t="str">
        <f t="shared" ref="A20:B20" si="4">A19</f>
        <v>McCordsville Town Hall Energy Efficiency Updates</v>
      </c>
      <c r="B20" s="141" t="str">
        <f t="shared" si="4"/>
        <v>HVAC EE</v>
      </c>
      <c r="E20" t="s">
        <v>288</v>
      </c>
      <c r="F20" s="57"/>
      <c r="G20" s="57"/>
      <c r="H20" s="57"/>
      <c r="I20" s="57">
        <f>((I19*1000)*GridEF!I$23/1000000)</f>
        <v>43.3849064540303</v>
      </c>
      <c r="J20" s="57">
        <f>((J19*1000)*GridEF!J$23/1000000)</f>
        <v>41.576171338261567</v>
      </c>
      <c r="K20" s="57">
        <f>((K19*1000)*GridEF!K$23/1000000)</f>
        <v>40.810218967968503</v>
      </c>
      <c r="L20" s="57">
        <f>((L19*1000)*GridEF!L$23/1000000)</f>
        <v>35.220340091457565</v>
      </c>
      <c r="M20" s="57">
        <f>((M19*1000)*GridEF!M$23/1000000)</f>
        <v>28.587426456168316</v>
      </c>
      <c r="N20" s="57">
        <f>((N19*1000)*GridEF!N$23/1000000)</f>
        <v>26.088088744298123</v>
      </c>
      <c r="O20" s="57">
        <f>((O19*1000)*GridEF!O$23/1000000)</f>
        <v>22.680782147008408</v>
      </c>
      <c r="P20" s="57">
        <f>((P19*1000)*GridEF!P$23/1000000)</f>
        <v>18.959137772613378</v>
      </c>
      <c r="Q20" s="57">
        <f>((Q19*1000)*GridEF!Q$23/1000000)</f>
        <v>18.21758065451932</v>
      </c>
      <c r="R20" s="57">
        <f>((R19*1000)*GridEF!R$23/1000000)</f>
        <v>17.07995591592352</v>
      </c>
      <c r="S20" s="57">
        <f>((S19*1000)*GridEF!S$23/1000000)</f>
        <v>16.710282840831191</v>
      </c>
      <c r="T20" s="57">
        <f>((T19*1000)*GridEF!T$23/1000000)</f>
        <v>15.77916006512441</v>
      </c>
      <c r="U20" s="57">
        <f>((U19*1000)*GridEF!U$23/1000000)</f>
        <v>15.612431313256115</v>
      </c>
      <c r="V20" s="57">
        <f>((V19*1000)*GridEF!V$23/1000000)</f>
        <v>16.443888674334328</v>
      </c>
      <c r="W20" s="57">
        <f>((W19*1000)*GridEF!W$23/1000000)</f>
        <v>16.87501452451016</v>
      </c>
      <c r="X20" s="57">
        <f>((X19*1000)*GridEF!X$23/1000000)</f>
        <v>17.156503765814108</v>
      </c>
      <c r="Y20" s="57">
        <f>((Y19*1000)*GridEF!Y$23/1000000)</f>
        <v>16.66115960598809</v>
      </c>
      <c r="Z20" s="57">
        <f>((Z19*1000)*GridEF!Z$23/1000000)</f>
        <v>16.457240257109483</v>
      </c>
      <c r="AA20" s="57">
        <f>((AA19*1000)*GridEF!AA$23/1000000)</f>
        <v>16.672735434398806</v>
      </c>
      <c r="AB20" s="57">
        <f>((AB19*1000)*GridEF!AB$23/1000000)</f>
        <v>16.72184699798024</v>
      </c>
      <c r="AC20" s="57">
        <f>((AC19*1000)*GridEF!AC$23/1000000)</f>
        <v>16.585741825302463</v>
      </c>
      <c r="AD20" s="57">
        <f>((AD19*1000)*GridEF!AD$23/1000000)</f>
        <v>16.623305783078258</v>
      </c>
      <c r="AE20" s="57">
        <f>((AE19*1000)*GridEF!AE$23/1000000)</f>
        <v>15.819477014071838</v>
      </c>
      <c r="AF20" s="57">
        <f>((AF19*1000)*GridEF!AF$23/1000000)</f>
        <v>15.250630984108238</v>
      </c>
      <c r="AG20" s="57">
        <f>((AG19*1000)*GridEF!AG$23/1000000)</f>
        <v>15.32915937495404</v>
      </c>
      <c r="AH20" s="57">
        <f>((AH19*1000)*GridEF!AH$23/1000000)</f>
        <v>15.142205204788482</v>
      </c>
      <c r="AI20" s="57">
        <f>((AI19*1000)*GridEF!AI$23/1000000)</f>
        <v>14.942743534474314</v>
      </c>
      <c r="AJ20" s="57">
        <f>((AJ19*1000)*GridEF!AJ$23/1000000)</f>
        <v>14.192373860827512</v>
      </c>
    </row>
    <row r="21" spans="1:36" ht="12" x14ac:dyDescent="0.25">
      <c r="A21" s="141" t="str">
        <f t="shared" ref="A21:B21" si="5">A20</f>
        <v>McCordsville Town Hall Energy Efficiency Updates</v>
      </c>
      <c r="B21" s="141" t="str">
        <f t="shared" si="5"/>
        <v>HVAC EE</v>
      </c>
      <c r="E21" s="1" t="s">
        <v>289</v>
      </c>
      <c r="L21" s="24" t="s">
        <v>290</v>
      </c>
    </row>
    <row r="22" spans="1:36" ht="12" x14ac:dyDescent="0.2">
      <c r="A22" s="141" t="str">
        <f t="shared" ref="A22:B22" si="6">A21</f>
        <v>McCordsville Town Hall Energy Efficiency Updates</v>
      </c>
      <c r="B22" s="141" t="str">
        <f t="shared" si="6"/>
        <v>HVAC EE</v>
      </c>
      <c r="E22" t="s">
        <v>287</v>
      </c>
      <c r="F22" s="56"/>
      <c r="G22" s="56"/>
      <c r="H22" s="56"/>
      <c r="I22" s="56"/>
      <c r="J22" s="56">
        <f>J19</f>
        <v>60.51</v>
      </c>
      <c r="K22" s="56">
        <f>K19</f>
        <v>60.51</v>
      </c>
      <c r="L22" s="56">
        <f>($F15)/1000</f>
        <v>38.295000000000002</v>
      </c>
      <c r="M22" s="247">
        <f>L22</f>
        <v>38.295000000000002</v>
      </c>
      <c r="N22" s="247">
        <f t="shared" ref="N22" si="7">M22</f>
        <v>38.295000000000002</v>
      </c>
      <c r="O22" s="247">
        <f t="shared" ref="O22" si="8">N22</f>
        <v>38.295000000000002</v>
      </c>
      <c r="P22" s="247">
        <f t="shared" ref="P22" si="9">O22</f>
        <v>38.295000000000002</v>
      </c>
      <c r="Q22" s="247">
        <f t="shared" ref="Q22" si="10">P22</f>
        <v>38.295000000000002</v>
      </c>
      <c r="R22" s="247">
        <f t="shared" ref="R22" si="11">Q22</f>
        <v>38.295000000000002</v>
      </c>
      <c r="S22" s="247">
        <f t="shared" ref="S22" si="12">R22</f>
        <v>38.295000000000002</v>
      </c>
      <c r="T22" s="247">
        <f t="shared" ref="T22" si="13">S22</f>
        <v>38.295000000000002</v>
      </c>
      <c r="U22" s="247">
        <f t="shared" ref="U22" si="14">T22</f>
        <v>38.295000000000002</v>
      </c>
      <c r="V22" s="247">
        <f t="shared" ref="V22" si="15">U22</f>
        <v>38.295000000000002</v>
      </c>
      <c r="W22" s="247">
        <f t="shared" ref="W22" si="16">V22</f>
        <v>38.295000000000002</v>
      </c>
      <c r="X22" s="247">
        <f t="shared" ref="X22" si="17">W22</f>
        <v>38.295000000000002</v>
      </c>
      <c r="Y22" s="247">
        <f t="shared" ref="Y22" si="18">X22</f>
        <v>38.295000000000002</v>
      </c>
      <c r="Z22" s="247">
        <f t="shared" ref="Z22" si="19">Y22</f>
        <v>38.295000000000002</v>
      </c>
      <c r="AA22" s="247">
        <f t="shared" ref="AA22" si="20">Z22</f>
        <v>38.295000000000002</v>
      </c>
      <c r="AB22" s="247">
        <f t="shared" ref="AB22" si="21">AA22</f>
        <v>38.295000000000002</v>
      </c>
      <c r="AC22" s="247">
        <f t="shared" ref="AC22" si="22">AB22</f>
        <v>38.295000000000002</v>
      </c>
      <c r="AD22" s="247">
        <f t="shared" ref="AD22" si="23">AC22</f>
        <v>38.295000000000002</v>
      </c>
      <c r="AE22" s="247">
        <f t="shared" ref="AE22" si="24">AD22</f>
        <v>38.295000000000002</v>
      </c>
      <c r="AF22" s="247">
        <f t="shared" ref="AF22" si="25">AE22</f>
        <v>38.295000000000002</v>
      </c>
      <c r="AG22" s="247">
        <f t="shared" ref="AG22" si="26">AF22</f>
        <v>38.295000000000002</v>
      </c>
      <c r="AH22" s="247">
        <f t="shared" ref="AH22" si="27">AG22</f>
        <v>38.295000000000002</v>
      </c>
      <c r="AI22" s="247">
        <f t="shared" ref="AI22" si="28">AH22</f>
        <v>38.295000000000002</v>
      </c>
      <c r="AJ22" s="247">
        <f t="shared" ref="AJ22" si="29">AI22</f>
        <v>38.295000000000002</v>
      </c>
    </row>
    <row r="23" spans="1:36" ht="12" x14ac:dyDescent="0.2">
      <c r="A23" s="141" t="str">
        <f t="shared" ref="A23:B23" si="30">A22</f>
        <v>McCordsville Town Hall Energy Efficiency Updates</v>
      </c>
      <c r="B23" s="141" t="str">
        <f t="shared" si="30"/>
        <v>HVAC EE</v>
      </c>
      <c r="E23" t="s">
        <v>288</v>
      </c>
      <c r="F23" s="57"/>
      <c r="G23" s="57"/>
      <c r="H23" s="57"/>
      <c r="I23" s="57"/>
      <c r="J23" s="57">
        <f>(J22*1000)*GridEF!J$23/1000000</f>
        <v>41.576171338261567</v>
      </c>
      <c r="K23" s="57">
        <f>(K22*1000)*GridEF!K$23/1000000</f>
        <v>40.810218967968503</v>
      </c>
      <c r="L23" s="57">
        <f>(L22*1000)*GridEF!L$23/1000000</f>
        <v>22.289917762392456</v>
      </c>
      <c r="M23" s="57">
        <f>(M22*1000)*GridEF!M$23/1000000</f>
        <v>18.092141730936468</v>
      </c>
      <c r="N23" s="57">
        <f>(N22*1000)*GridEF!N$23/1000000</f>
        <v>16.51038437387038</v>
      </c>
      <c r="O23" s="57">
        <f>(O22*1000)*GridEF!O$23/1000000</f>
        <v>14.354000203597536</v>
      </c>
      <c r="P23" s="57">
        <f>(P22*1000)*GridEF!P$23/1000000</f>
        <v>11.998680895756555</v>
      </c>
      <c r="Q23" s="57">
        <f>(Q22*1000)*GridEF!Q$23/1000000</f>
        <v>11.529371197567633</v>
      </c>
      <c r="R23" s="57">
        <f>(R22*1000)*GridEF!R$23/1000000</f>
        <v>10.809401946790468</v>
      </c>
      <c r="S23" s="57">
        <f>(S22*1000)*GridEF!S$23/1000000</f>
        <v>10.575446725989595</v>
      </c>
      <c r="T23" s="57">
        <f>(T22*1000)*GridEF!T$23/1000000</f>
        <v>9.9861664963467067</v>
      </c>
      <c r="U23" s="57">
        <f>(U22*1000)*GridEF!U$23/1000000</f>
        <v>9.8806487711311028</v>
      </c>
      <c r="V23" s="57">
        <f>(V22*1000)*GridEF!V$23/1000000</f>
        <v>10.40685369002864</v>
      </c>
      <c r="W23" s="57">
        <f>(W22*1000)*GridEF!W$23/1000000</f>
        <v>10.679700565462179</v>
      </c>
      <c r="X23" s="57">
        <f>(X22*1000)*GridEF!X$23/1000000</f>
        <v>10.857846830471843</v>
      </c>
      <c r="Y23" s="57">
        <f>(Y22*1000)*GridEF!Y$23/1000000</f>
        <v>10.544358074885372</v>
      </c>
      <c r="Z23" s="57">
        <f>(Z22*1000)*GridEF!Z$23/1000000</f>
        <v>10.415303514229178</v>
      </c>
      <c r="AA23" s="57">
        <f>(AA22*1000)*GridEF!AA$23/1000000</f>
        <v>10.551684076356013</v>
      </c>
      <c r="AB23" s="57">
        <f>(AB22*1000)*GridEF!AB$23/1000000</f>
        <v>10.582765341061862</v>
      </c>
      <c r="AC23" s="57">
        <f>(AC22*1000)*GridEF!AC$23/1000000</f>
        <v>10.49662837877967</v>
      </c>
      <c r="AD23" s="57">
        <f>(AD22*1000)*GridEF!AD$23/1000000</f>
        <v>10.520401503271888</v>
      </c>
      <c r="AE23" s="57">
        <f>(AE22*1000)*GridEF!AE$23/1000000</f>
        <v>10.011681908013237</v>
      </c>
      <c r="AF23" s="57">
        <f>(AF22*1000)*GridEF!AF$23/1000000</f>
        <v>9.6516759797789611</v>
      </c>
      <c r="AG23" s="57">
        <f>(AG22*1000)*GridEF!AG$23/1000000</f>
        <v>9.701374289602791</v>
      </c>
      <c r="AH23" s="57">
        <f>(AH22*1000)*GridEF!AH$23/1000000</f>
        <v>9.5830564917761514</v>
      </c>
      <c r="AI23" s="57">
        <f>(AI22*1000)*GridEF!AI$23/1000000</f>
        <v>9.4568230648271996</v>
      </c>
      <c r="AJ23" s="57">
        <f>(AJ22*1000)*GridEF!AJ$23/1000000</f>
        <v>8.9819361593189484</v>
      </c>
    </row>
    <row r="24" spans="1:36" ht="12" x14ac:dyDescent="0.25">
      <c r="A24" s="141" t="str">
        <f t="shared" ref="A24:B24" si="31">A23</f>
        <v>McCordsville Town Hall Energy Efficiency Updates</v>
      </c>
      <c r="B24" s="141" t="str">
        <f t="shared" si="31"/>
        <v>HVAC EE</v>
      </c>
      <c r="F24" s="23" t="s">
        <v>156</v>
      </c>
      <c r="G24" s="23" t="s">
        <v>130</v>
      </c>
      <c r="H24" s="23" t="s">
        <v>157</v>
      </c>
    </row>
    <row r="25" spans="1:36" ht="12" x14ac:dyDescent="0.25">
      <c r="A25" s="141" t="str">
        <f t="shared" ref="A25:B25" si="32">A24</f>
        <v>McCordsville Town Hall Energy Efficiency Updates</v>
      </c>
      <c r="B25" s="141" t="str">
        <f t="shared" si="32"/>
        <v>HVAC EE</v>
      </c>
      <c r="C25" s="141" t="s">
        <v>140</v>
      </c>
      <c r="E25" s="1" t="s">
        <v>251</v>
      </c>
      <c r="F25" s="65">
        <f>AVERAGE(K25:AJ25)</f>
        <v>6.4361908796422265</v>
      </c>
      <c r="G25" s="121">
        <f>SUM(K25:P25)</f>
        <v>48.290650244992399</v>
      </c>
      <c r="H25" s="121">
        <f>SUM(K25:AJ25)</f>
        <v>167.34096287069789</v>
      </c>
      <c r="I25" s="29" t="s">
        <v>142</v>
      </c>
      <c r="J25" s="57"/>
      <c r="K25" s="57">
        <f t="shared" ref="K25:AJ25" si="33">K20-K23</f>
        <v>0</v>
      </c>
      <c r="L25" s="57">
        <f>L20-L23</f>
        <v>12.930422329065109</v>
      </c>
      <c r="M25" s="57">
        <f t="shared" si="33"/>
        <v>10.495284725231848</v>
      </c>
      <c r="N25" s="57">
        <f t="shared" si="33"/>
        <v>9.5777043704277425</v>
      </c>
      <c r="O25" s="57">
        <f t="shared" si="33"/>
        <v>8.3267819434108716</v>
      </c>
      <c r="P25" s="57">
        <f t="shared" si="33"/>
        <v>6.9604568768568225</v>
      </c>
      <c r="Q25" s="57">
        <f t="shared" si="33"/>
        <v>6.6882094569516877</v>
      </c>
      <c r="R25" s="57">
        <f t="shared" si="33"/>
        <v>6.2705539691330525</v>
      </c>
      <c r="S25" s="57">
        <f t="shared" si="33"/>
        <v>6.1348361148415957</v>
      </c>
      <c r="T25" s="57">
        <f t="shared" si="33"/>
        <v>5.7929935687777032</v>
      </c>
      <c r="U25" s="57">
        <f t="shared" si="33"/>
        <v>5.7317825421250124</v>
      </c>
      <c r="V25" s="57">
        <f t="shared" si="33"/>
        <v>6.0370349843056879</v>
      </c>
      <c r="W25" s="57">
        <f t="shared" si="33"/>
        <v>6.1953139590479811</v>
      </c>
      <c r="X25" s="57">
        <f t="shared" si="33"/>
        <v>6.2986569353422652</v>
      </c>
      <c r="Y25" s="57">
        <f t="shared" si="33"/>
        <v>6.116801531102718</v>
      </c>
      <c r="Z25" s="57">
        <f t="shared" si="33"/>
        <v>6.0419367428803046</v>
      </c>
      <c r="AA25" s="57">
        <f t="shared" si="33"/>
        <v>6.1210513580427932</v>
      </c>
      <c r="AB25" s="57">
        <f t="shared" si="33"/>
        <v>6.1390816569183784</v>
      </c>
      <c r="AC25" s="57">
        <f t="shared" si="33"/>
        <v>6.0891134465227932</v>
      </c>
      <c r="AD25" s="57">
        <f t="shared" si="33"/>
        <v>6.1029042798063706</v>
      </c>
      <c r="AE25" s="57">
        <f t="shared" si="33"/>
        <v>5.8077951060586006</v>
      </c>
      <c r="AF25" s="57">
        <f t="shared" si="33"/>
        <v>5.5989550043292766</v>
      </c>
      <c r="AG25" s="57">
        <f t="shared" si="33"/>
        <v>5.627785085351249</v>
      </c>
      <c r="AH25" s="57">
        <f t="shared" si="33"/>
        <v>5.5591487130123305</v>
      </c>
      <c r="AI25" s="57">
        <f t="shared" si="33"/>
        <v>5.4859204696471142</v>
      </c>
      <c r="AJ25" s="57">
        <f t="shared" si="33"/>
        <v>5.2104377015085639</v>
      </c>
    </row>
    <row r="26" spans="1:36" ht="12" x14ac:dyDescent="0.25">
      <c r="A26" s="141"/>
      <c r="B26" s="141"/>
      <c r="C26" s="141"/>
      <c r="F26" s="335"/>
      <c r="G26" s="335"/>
      <c r="H26" s="335"/>
      <c r="I26" s="29"/>
      <c r="K26" s="333"/>
      <c r="L26" s="333"/>
      <c r="M26" s="333"/>
      <c r="N26" s="333"/>
      <c r="O26" s="333"/>
      <c r="P26" s="333"/>
      <c r="Q26" s="333"/>
      <c r="R26" s="333"/>
      <c r="S26" s="333"/>
      <c r="T26" s="333"/>
      <c r="U26" s="333"/>
      <c r="V26" s="333"/>
      <c r="W26" s="333"/>
      <c r="X26" s="333"/>
      <c r="Y26" s="333"/>
      <c r="Z26" s="333"/>
      <c r="AA26" s="333"/>
      <c r="AB26" s="333"/>
      <c r="AC26" s="333"/>
      <c r="AD26" s="333"/>
      <c r="AE26" s="333"/>
      <c r="AF26" s="333"/>
      <c r="AG26" s="333"/>
      <c r="AH26" s="333"/>
      <c r="AI26" s="333"/>
      <c r="AJ26" s="333"/>
    </row>
    <row r="27" spans="1:36" ht="12" x14ac:dyDescent="0.25">
      <c r="A27" s="141"/>
      <c r="B27" s="141"/>
      <c r="C27" s="141"/>
      <c r="E27" s="1"/>
      <c r="F27" s="65"/>
      <c r="G27" s="121"/>
      <c r="H27" s="121"/>
      <c r="I27" s="29"/>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row>
    <row r="28" spans="1:36" ht="12" x14ac:dyDescent="0.25">
      <c r="A28" s="141"/>
      <c r="B28" s="141"/>
      <c r="C28" s="141"/>
      <c r="D28" s="107"/>
      <c r="E28" s="114" t="s">
        <v>291</v>
      </c>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row>
    <row r="29" spans="1:36" ht="12" x14ac:dyDescent="0.25">
      <c r="A29" s="141" t="str">
        <f>E29</f>
        <v>Indianapolis Arts Center - HVAC</v>
      </c>
      <c r="B29" s="133" t="s">
        <v>99</v>
      </c>
      <c r="C29" s="141"/>
      <c r="D29" s="33" t="s">
        <v>211</v>
      </c>
      <c r="E29" s="34" t="s">
        <v>98</v>
      </c>
      <c r="F29" s="33"/>
      <c r="G29" s="58" t="s">
        <v>292</v>
      </c>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row>
    <row r="30" spans="1:36" ht="12" x14ac:dyDescent="0.2">
      <c r="A30" s="141" t="str">
        <f t="shared" ref="A30:A40" si="34">A29</f>
        <v>Indianapolis Arts Center - HVAC</v>
      </c>
      <c r="B30" s="141" t="str">
        <f t="shared" ref="B30:B40" si="35">B29</f>
        <v>HVAC EE</v>
      </c>
      <c r="C30" s="141"/>
      <c r="E30" t="s">
        <v>293</v>
      </c>
      <c r="F30" s="31">
        <f>BaseBuildingConsmp!$C$37</f>
        <v>1664.4814022496721</v>
      </c>
      <c r="G30" t="s">
        <v>294</v>
      </c>
      <c r="H30" s="96" t="s">
        <v>295</v>
      </c>
    </row>
    <row r="31" spans="1:36" ht="12" x14ac:dyDescent="0.2">
      <c r="A31" s="141" t="str">
        <f t="shared" si="34"/>
        <v>Indianapolis Arts Center - HVAC</v>
      </c>
      <c r="B31" s="141" t="str">
        <f t="shared" si="35"/>
        <v>HVAC EE</v>
      </c>
      <c r="E31" t="s">
        <v>547</v>
      </c>
      <c r="F31" s="95">
        <f>L34-L38</f>
        <v>108.78963413396559</v>
      </c>
      <c r="G31" t="s">
        <v>342</v>
      </c>
      <c r="H31" s="96"/>
      <c r="K31" s="122"/>
    </row>
    <row r="32" spans="1:36" ht="12" x14ac:dyDescent="0.25">
      <c r="A32" s="141" t="str">
        <f t="shared" si="34"/>
        <v>Indianapolis Arts Center - HVAC</v>
      </c>
      <c r="B32" s="141" t="str">
        <f t="shared" si="35"/>
        <v>HVAC EE</v>
      </c>
      <c r="C32" s="141"/>
      <c r="E32" s="1" t="s">
        <v>286</v>
      </c>
    </row>
    <row r="33" spans="1:36" ht="12" x14ac:dyDescent="0.25">
      <c r="A33" s="141" t="str">
        <f t="shared" si="34"/>
        <v>Indianapolis Arts Center - HVAC</v>
      </c>
      <c r="B33" s="141" t="str">
        <f t="shared" si="35"/>
        <v>HVAC EE</v>
      </c>
      <c r="C33" s="141"/>
      <c r="E33" t="s">
        <v>296</v>
      </c>
      <c r="F33" s="63">
        <v>85</v>
      </c>
      <c r="G33" s="55">
        <f t="shared" ref="G33:AJ33" si="36">F33</f>
        <v>85</v>
      </c>
      <c r="H33" s="55">
        <f t="shared" si="36"/>
        <v>85</v>
      </c>
      <c r="I33" s="55">
        <f t="shared" si="36"/>
        <v>85</v>
      </c>
      <c r="J33" s="55">
        <f t="shared" si="36"/>
        <v>85</v>
      </c>
      <c r="K33" s="55">
        <f t="shared" si="36"/>
        <v>85</v>
      </c>
      <c r="L33" s="55">
        <f t="shared" si="36"/>
        <v>85</v>
      </c>
      <c r="M33" s="55">
        <f t="shared" si="36"/>
        <v>85</v>
      </c>
      <c r="N33" s="55">
        <f t="shared" si="36"/>
        <v>85</v>
      </c>
      <c r="O33" s="55">
        <f t="shared" si="36"/>
        <v>85</v>
      </c>
      <c r="P33" s="55">
        <f t="shared" si="36"/>
        <v>85</v>
      </c>
      <c r="Q33" s="55">
        <f t="shared" si="36"/>
        <v>85</v>
      </c>
      <c r="R33" s="55">
        <f t="shared" si="36"/>
        <v>85</v>
      </c>
      <c r="S33" s="55">
        <f t="shared" si="36"/>
        <v>85</v>
      </c>
      <c r="T33" s="55">
        <f t="shared" si="36"/>
        <v>85</v>
      </c>
      <c r="U33" s="55">
        <f t="shared" si="36"/>
        <v>85</v>
      </c>
      <c r="V33" s="55">
        <f t="shared" si="36"/>
        <v>85</v>
      </c>
      <c r="W33" s="55">
        <f t="shared" si="36"/>
        <v>85</v>
      </c>
      <c r="X33" s="55">
        <f t="shared" si="36"/>
        <v>85</v>
      </c>
      <c r="Y33" s="55">
        <f t="shared" si="36"/>
        <v>85</v>
      </c>
      <c r="Z33" s="55">
        <f t="shared" si="36"/>
        <v>85</v>
      </c>
      <c r="AA33" s="55">
        <f t="shared" si="36"/>
        <v>85</v>
      </c>
      <c r="AB33" s="55">
        <f t="shared" si="36"/>
        <v>85</v>
      </c>
      <c r="AC33" s="55">
        <f t="shared" si="36"/>
        <v>85</v>
      </c>
      <c r="AD33" s="55">
        <f t="shared" si="36"/>
        <v>85</v>
      </c>
      <c r="AE33" s="55">
        <f t="shared" si="36"/>
        <v>85</v>
      </c>
      <c r="AF33" s="55">
        <f t="shared" si="36"/>
        <v>85</v>
      </c>
      <c r="AG33" s="55">
        <f t="shared" si="36"/>
        <v>85</v>
      </c>
      <c r="AH33" s="55">
        <f t="shared" si="36"/>
        <v>85</v>
      </c>
      <c r="AI33" s="55">
        <f t="shared" si="36"/>
        <v>85</v>
      </c>
      <c r="AJ33" s="55">
        <f t="shared" si="36"/>
        <v>85</v>
      </c>
    </row>
    <row r="34" spans="1:36" ht="12" x14ac:dyDescent="0.2">
      <c r="A34" s="141" t="str">
        <f t="shared" si="34"/>
        <v>Indianapolis Arts Center - HVAC</v>
      </c>
      <c r="B34" s="141" t="str">
        <f t="shared" si="35"/>
        <v>HVAC EE</v>
      </c>
      <c r="C34" s="141"/>
      <c r="E34" t="s">
        <v>297</v>
      </c>
      <c r="F34" s="95">
        <f t="shared" ref="F34:AJ34" si="37">$F30/(F33/100)</f>
        <v>1958.2134144113791</v>
      </c>
      <c r="G34" s="95">
        <f t="shared" si="37"/>
        <v>1958.2134144113791</v>
      </c>
      <c r="H34" s="95">
        <f t="shared" si="37"/>
        <v>1958.2134144113791</v>
      </c>
      <c r="I34" s="95">
        <f t="shared" si="37"/>
        <v>1958.2134144113791</v>
      </c>
      <c r="J34" s="95">
        <f t="shared" si="37"/>
        <v>1958.2134144113791</v>
      </c>
      <c r="K34" s="95">
        <f t="shared" si="37"/>
        <v>1958.2134144113791</v>
      </c>
      <c r="L34" s="95">
        <f t="shared" si="37"/>
        <v>1958.2134144113791</v>
      </c>
      <c r="M34" s="95">
        <f t="shared" si="37"/>
        <v>1958.2134144113791</v>
      </c>
      <c r="N34" s="95">
        <f t="shared" si="37"/>
        <v>1958.2134144113791</v>
      </c>
      <c r="O34" s="95">
        <f t="shared" si="37"/>
        <v>1958.2134144113791</v>
      </c>
      <c r="P34" s="95">
        <f t="shared" si="37"/>
        <v>1958.2134144113791</v>
      </c>
      <c r="Q34" s="95">
        <f t="shared" si="37"/>
        <v>1958.2134144113791</v>
      </c>
      <c r="R34" s="95">
        <f t="shared" si="37"/>
        <v>1958.2134144113791</v>
      </c>
      <c r="S34" s="95">
        <f t="shared" si="37"/>
        <v>1958.2134144113791</v>
      </c>
      <c r="T34" s="95">
        <f t="shared" si="37"/>
        <v>1958.2134144113791</v>
      </c>
      <c r="U34" s="95">
        <f t="shared" si="37"/>
        <v>1958.2134144113791</v>
      </c>
      <c r="V34" s="95">
        <f t="shared" si="37"/>
        <v>1958.2134144113791</v>
      </c>
      <c r="W34" s="95">
        <f t="shared" si="37"/>
        <v>1958.2134144113791</v>
      </c>
      <c r="X34" s="95">
        <f t="shared" si="37"/>
        <v>1958.2134144113791</v>
      </c>
      <c r="Y34" s="95">
        <f t="shared" si="37"/>
        <v>1958.2134144113791</v>
      </c>
      <c r="Z34" s="95">
        <f t="shared" si="37"/>
        <v>1958.2134144113791</v>
      </c>
      <c r="AA34" s="95">
        <f t="shared" si="37"/>
        <v>1958.2134144113791</v>
      </c>
      <c r="AB34" s="95">
        <f t="shared" si="37"/>
        <v>1958.2134144113791</v>
      </c>
      <c r="AC34" s="95">
        <f t="shared" si="37"/>
        <v>1958.2134144113791</v>
      </c>
      <c r="AD34" s="95">
        <f t="shared" si="37"/>
        <v>1958.2134144113791</v>
      </c>
      <c r="AE34" s="95">
        <f t="shared" si="37"/>
        <v>1958.2134144113791</v>
      </c>
      <c r="AF34" s="95">
        <f t="shared" si="37"/>
        <v>1958.2134144113791</v>
      </c>
      <c r="AG34" s="95">
        <f t="shared" si="37"/>
        <v>1958.2134144113791</v>
      </c>
      <c r="AH34" s="95">
        <f t="shared" si="37"/>
        <v>1958.2134144113791</v>
      </c>
      <c r="AI34" s="95">
        <f t="shared" si="37"/>
        <v>1958.2134144113791</v>
      </c>
      <c r="AJ34" s="95">
        <f t="shared" si="37"/>
        <v>1958.2134144113791</v>
      </c>
    </row>
    <row r="35" spans="1:36" ht="12" x14ac:dyDescent="0.2">
      <c r="A35" s="141" t="str">
        <f t="shared" si="34"/>
        <v>Indianapolis Arts Center - HVAC</v>
      </c>
      <c r="B35" s="141" t="str">
        <f t="shared" si="35"/>
        <v>HVAC EE</v>
      </c>
      <c r="C35" s="141"/>
      <c r="E35" t="s">
        <v>288</v>
      </c>
      <c r="F35" s="57">
        <f>F34*$F$10</f>
        <v>103.82447523209132</v>
      </c>
      <c r="G35" s="57">
        <f>G34*$F$10</f>
        <v>103.82447523209132</v>
      </c>
      <c r="H35" s="57">
        <f t="shared" ref="H35:AJ35" si="38">H34*$F$10</f>
        <v>103.82447523209132</v>
      </c>
      <c r="I35" s="57">
        <f t="shared" si="38"/>
        <v>103.82447523209132</v>
      </c>
      <c r="J35" s="57">
        <f t="shared" si="38"/>
        <v>103.82447523209132</v>
      </c>
      <c r="K35" s="57">
        <f t="shared" si="38"/>
        <v>103.82447523209132</v>
      </c>
      <c r="L35" s="57">
        <f t="shared" si="38"/>
        <v>103.82447523209132</v>
      </c>
      <c r="M35" s="57">
        <f t="shared" si="38"/>
        <v>103.82447523209132</v>
      </c>
      <c r="N35" s="57">
        <f t="shared" si="38"/>
        <v>103.82447523209132</v>
      </c>
      <c r="O35" s="57">
        <f t="shared" si="38"/>
        <v>103.82447523209132</v>
      </c>
      <c r="P35" s="57">
        <f t="shared" si="38"/>
        <v>103.82447523209132</v>
      </c>
      <c r="Q35" s="57">
        <f t="shared" si="38"/>
        <v>103.82447523209132</v>
      </c>
      <c r="R35" s="57">
        <f t="shared" si="38"/>
        <v>103.82447523209132</v>
      </c>
      <c r="S35" s="57">
        <f t="shared" si="38"/>
        <v>103.82447523209132</v>
      </c>
      <c r="T35" s="57">
        <f t="shared" si="38"/>
        <v>103.82447523209132</v>
      </c>
      <c r="U35" s="57">
        <f t="shared" si="38"/>
        <v>103.82447523209132</v>
      </c>
      <c r="V35" s="57">
        <f t="shared" si="38"/>
        <v>103.82447523209132</v>
      </c>
      <c r="W35" s="57">
        <f t="shared" si="38"/>
        <v>103.82447523209132</v>
      </c>
      <c r="X35" s="57">
        <f t="shared" si="38"/>
        <v>103.82447523209132</v>
      </c>
      <c r="Y35" s="57">
        <f t="shared" si="38"/>
        <v>103.82447523209132</v>
      </c>
      <c r="Z35" s="57">
        <f t="shared" si="38"/>
        <v>103.82447523209132</v>
      </c>
      <c r="AA35" s="57">
        <f t="shared" si="38"/>
        <v>103.82447523209132</v>
      </c>
      <c r="AB35" s="57">
        <f t="shared" si="38"/>
        <v>103.82447523209132</v>
      </c>
      <c r="AC35" s="57">
        <f t="shared" si="38"/>
        <v>103.82447523209132</v>
      </c>
      <c r="AD35" s="57">
        <f t="shared" si="38"/>
        <v>103.82447523209132</v>
      </c>
      <c r="AE35" s="57">
        <f t="shared" si="38"/>
        <v>103.82447523209132</v>
      </c>
      <c r="AF35" s="57">
        <f t="shared" si="38"/>
        <v>103.82447523209132</v>
      </c>
      <c r="AG35" s="57">
        <f t="shared" si="38"/>
        <v>103.82447523209132</v>
      </c>
      <c r="AH35" s="57">
        <f t="shared" si="38"/>
        <v>103.82447523209132</v>
      </c>
      <c r="AI35" s="57">
        <f t="shared" si="38"/>
        <v>103.82447523209132</v>
      </c>
      <c r="AJ35" s="57">
        <f t="shared" si="38"/>
        <v>103.82447523209132</v>
      </c>
    </row>
    <row r="36" spans="1:36" ht="12" x14ac:dyDescent="0.25">
      <c r="A36" s="141" t="str">
        <f t="shared" si="34"/>
        <v>Indianapolis Arts Center - HVAC</v>
      </c>
      <c r="B36" s="141" t="str">
        <f t="shared" si="35"/>
        <v>HVAC EE</v>
      </c>
      <c r="C36" s="141"/>
      <c r="E36" s="1" t="s">
        <v>289</v>
      </c>
    </row>
    <row r="37" spans="1:36" ht="12" x14ac:dyDescent="0.2">
      <c r="A37" s="141" t="str">
        <f t="shared" si="34"/>
        <v>Indianapolis Arts Center - HVAC</v>
      </c>
      <c r="B37" s="141" t="str">
        <f t="shared" si="35"/>
        <v>HVAC EE</v>
      </c>
      <c r="C37" s="141"/>
      <c r="E37" t="s">
        <v>296</v>
      </c>
      <c r="F37" s="55">
        <f>F33</f>
        <v>85</v>
      </c>
      <c r="G37" s="55">
        <f>F37</f>
        <v>85</v>
      </c>
      <c r="H37" s="55">
        <f>G37</f>
        <v>85</v>
      </c>
      <c r="I37" s="55">
        <f>H37</f>
        <v>85</v>
      </c>
      <c r="J37" s="55">
        <f>I37</f>
        <v>85</v>
      </c>
      <c r="K37" s="55">
        <f>J37</f>
        <v>85</v>
      </c>
      <c r="L37" s="54">
        <v>90</v>
      </c>
      <c r="M37" s="55">
        <f t="shared" ref="M37:AJ37" si="39">L37</f>
        <v>90</v>
      </c>
      <c r="N37" s="55">
        <f t="shared" si="39"/>
        <v>90</v>
      </c>
      <c r="O37" s="55">
        <f t="shared" si="39"/>
        <v>90</v>
      </c>
      <c r="P37" s="55">
        <f t="shared" si="39"/>
        <v>90</v>
      </c>
      <c r="Q37" s="55">
        <f t="shared" si="39"/>
        <v>90</v>
      </c>
      <c r="R37" s="55">
        <f t="shared" si="39"/>
        <v>90</v>
      </c>
      <c r="S37" s="55">
        <f t="shared" si="39"/>
        <v>90</v>
      </c>
      <c r="T37" s="55">
        <f t="shared" si="39"/>
        <v>90</v>
      </c>
      <c r="U37" s="55">
        <f t="shared" si="39"/>
        <v>90</v>
      </c>
      <c r="V37" s="55">
        <f t="shared" si="39"/>
        <v>90</v>
      </c>
      <c r="W37" s="55">
        <f t="shared" si="39"/>
        <v>90</v>
      </c>
      <c r="X37" s="55">
        <f t="shared" si="39"/>
        <v>90</v>
      </c>
      <c r="Y37" s="55">
        <f t="shared" si="39"/>
        <v>90</v>
      </c>
      <c r="Z37" s="55">
        <f t="shared" si="39"/>
        <v>90</v>
      </c>
      <c r="AA37" s="55">
        <f t="shared" si="39"/>
        <v>90</v>
      </c>
      <c r="AB37" s="55">
        <f t="shared" si="39"/>
        <v>90</v>
      </c>
      <c r="AC37" s="55">
        <f t="shared" si="39"/>
        <v>90</v>
      </c>
      <c r="AD37" s="55">
        <f t="shared" si="39"/>
        <v>90</v>
      </c>
      <c r="AE37" s="55">
        <f t="shared" si="39"/>
        <v>90</v>
      </c>
      <c r="AF37" s="55">
        <f t="shared" si="39"/>
        <v>90</v>
      </c>
      <c r="AG37" s="55">
        <f t="shared" si="39"/>
        <v>90</v>
      </c>
      <c r="AH37" s="55">
        <f t="shared" si="39"/>
        <v>90</v>
      </c>
      <c r="AI37" s="55">
        <f t="shared" si="39"/>
        <v>90</v>
      </c>
      <c r="AJ37" s="55">
        <f t="shared" si="39"/>
        <v>90</v>
      </c>
    </row>
    <row r="38" spans="1:36" ht="12" x14ac:dyDescent="0.2">
      <c r="A38" s="141" t="str">
        <f t="shared" si="34"/>
        <v>Indianapolis Arts Center - HVAC</v>
      </c>
      <c r="B38" s="141" t="str">
        <f t="shared" si="35"/>
        <v>HVAC EE</v>
      </c>
      <c r="E38" t="s">
        <v>297</v>
      </c>
      <c r="F38" s="95">
        <f t="shared" ref="F38:AJ38" si="40">$F30/(F37/100)</f>
        <v>1958.2134144113791</v>
      </c>
      <c r="G38" s="95">
        <f t="shared" si="40"/>
        <v>1958.2134144113791</v>
      </c>
      <c r="H38" s="95">
        <f t="shared" si="40"/>
        <v>1958.2134144113791</v>
      </c>
      <c r="I38" s="95">
        <f t="shared" si="40"/>
        <v>1958.2134144113791</v>
      </c>
      <c r="J38" s="95">
        <f t="shared" si="40"/>
        <v>1958.2134144113791</v>
      </c>
      <c r="K38" s="95">
        <f t="shared" si="40"/>
        <v>1958.2134144113791</v>
      </c>
      <c r="L38" s="95">
        <f t="shared" si="40"/>
        <v>1849.4237802774135</v>
      </c>
      <c r="M38" s="95">
        <f t="shared" si="40"/>
        <v>1849.4237802774135</v>
      </c>
      <c r="N38" s="95">
        <f t="shared" si="40"/>
        <v>1849.4237802774135</v>
      </c>
      <c r="O38" s="95">
        <f t="shared" si="40"/>
        <v>1849.4237802774135</v>
      </c>
      <c r="P38" s="95">
        <f t="shared" si="40"/>
        <v>1849.4237802774135</v>
      </c>
      <c r="Q38" s="95">
        <f t="shared" si="40"/>
        <v>1849.4237802774135</v>
      </c>
      <c r="R38" s="95">
        <f t="shared" si="40"/>
        <v>1849.4237802774135</v>
      </c>
      <c r="S38" s="95">
        <f t="shared" si="40"/>
        <v>1849.4237802774135</v>
      </c>
      <c r="T38" s="95">
        <f t="shared" si="40"/>
        <v>1849.4237802774135</v>
      </c>
      <c r="U38" s="95">
        <f t="shared" si="40"/>
        <v>1849.4237802774135</v>
      </c>
      <c r="V38" s="95">
        <f t="shared" si="40"/>
        <v>1849.4237802774135</v>
      </c>
      <c r="W38" s="95">
        <f t="shared" si="40"/>
        <v>1849.4237802774135</v>
      </c>
      <c r="X38" s="95">
        <f t="shared" si="40"/>
        <v>1849.4237802774135</v>
      </c>
      <c r="Y38" s="95">
        <f t="shared" si="40"/>
        <v>1849.4237802774135</v>
      </c>
      <c r="Z38" s="95">
        <f t="shared" si="40"/>
        <v>1849.4237802774135</v>
      </c>
      <c r="AA38" s="95">
        <f t="shared" si="40"/>
        <v>1849.4237802774135</v>
      </c>
      <c r="AB38" s="95">
        <f t="shared" si="40"/>
        <v>1849.4237802774135</v>
      </c>
      <c r="AC38" s="95">
        <f t="shared" si="40"/>
        <v>1849.4237802774135</v>
      </c>
      <c r="AD38" s="95">
        <f t="shared" si="40"/>
        <v>1849.4237802774135</v>
      </c>
      <c r="AE38" s="95">
        <f t="shared" si="40"/>
        <v>1849.4237802774135</v>
      </c>
      <c r="AF38" s="95">
        <f t="shared" si="40"/>
        <v>1849.4237802774135</v>
      </c>
      <c r="AG38" s="95">
        <f t="shared" si="40"/>
        <v>1849.4237802774135</v>
      </c>
      <c r="AH38" s="95">
        <f t="shared" si="40"/>
        <v>1849.4237802774135</v>
      </c>
      <c r="AI38" s="95">
        <f t="shared" si="40"/>
        <v>1849.4237802774135</v>
      </c>
      <c r="AJ38" s="95">
        <f t="shared" si="40"/>
        <v>1849.4237802774135</v>
      </c>
    </row>
    <row r="39" spans="1:36" ht="12" x14ac:dyDescent="0.2">
      <c r="A39" s="141" t="str">
        <f t="shared" si="34"/>
        <v>Indianapolis Arts Center - HVAC</v>
      </c>
      <c r="B39" s="141" t="str">
        <f t="shared" si="35"/>
        <v>HVAC EE</v>
      </c>
      <c r="E39" t="s">
        <v>288</v>
      </c>
      <c r="F39" s="57">
        <f t="shared" ref="F39:AJ39" si="41">F38*$F$10</f>
        <v>103.82447523209132</v>
      </c>
      <c r="G39" s="57">
        <f t="shared" si="41"/>
        <v>103.82447523209132</v>
      </c>
      <c r="H39" s="57">
        <f t="shared" si="41"/>
        <v>103.82447523209132</v>
      </c>
      <c r="I39" s="57">
        <f t="shared" si="41"/>
        <v>103.82447523209132</v>
      </c>
      <c r="J39" s="57">
        <f t="shared" si="41"/>
        <v>103.82447523209132</v>
      </c>
      <c r="K39" s="57">
        <f t="shared" si="41"/>
        <v>103.82447523209132</v>
      </c>
      <c r="L39" s="57">
        <f t="shared" si="41"/>
        <v>98.056448830308454</v>
      </c>
      <c r="M39" s="57">
        <f t="shared" si="41"/>
        <v>98.056448830308454</v>
      </c>
      <c r="N39" s="57">
        <f t="shared" si="41"/>
        <v>98.056448830308454</v>
      </c>
      <c r="O39" s="57">
        <f t="shared" si="41"/>
        <v>98.056448830308454</v>
      </c>
      <c r="P39" s="57">
        <f t="shared" si="41"/>
        <v>98.056448830308454</v>
      </c>
      <c r="Q39" s="57">
        <f t="shared" si="41"/>
        <v>98.056448830308454</v>
      </c>
      <c r="R39" s="57">
        <f t="shared" si="41"/>
        <v>98.056448830308454</v>
      </c>
      <c r="S39" s="57">
        <f t="shared" si="41"/>
        <v>98.056448830308454</v>
      </c>
      <c r="T39" s="57">
        <f t="shared" si="41"/>
        <v>98.056448830308454</v>
      </c>
      <c r="U39" s="57">
        <f t="shared" si="41"/>
        <v>98.056448830308454</v>
      </c>
      <c r="V39" s="57">
        <f t="shared" si="41"/>
        <v>98.056448830308454</v>
      </c>
      <c r="W39" s="57">
        <f t="shared" si="41"/>
        <v>98.056448830308454</v>
      </c>
      <c r="X39" s="57">
        <f t="shared" si="41"/>
        <v>98.056448830308454</v>
      </c>
      <c r="Y39" s="57">
        <f t="shared" si="41"/>
        <v>98.056448830308454</v>
      </c>
      <c r="Z39" s="57">
        <f t="shared" si="41"/>
        <v>98.056448830308454</v>
      </c>
      <c r="AA39" s="57">
        <f t="shared" si="41"/>
        <v>98.056448830308454</v>
      </c>
      <c r="AB39" s="57">
        <f t="shared" si="41"/>
        <v>98.056448830308454</v>
      </c>
      <c r="AC39" s="57">
        <f t="shared" si="41"/>
        <v>98.056448830308454</v>
      </c>
      <c r="AD39" s="57">
        <f t="shared" si="41"/>
        <v>98.056448830308454</v>
      </c>
      <c r="AE39" s="57">
        <f t="shared" si="41"/>
        <v>98.056448830308454</v>
      </c>
      <c r="AF39" s="57">
        <f t="shared" si="41"/>
        <v>98.056448830308454</v>
      </c>
      <c r="AG39" s="57">
        <f t="shared" si="41"/>
        <v>98.056448830308454</v>
      </c>
      <c r="AH39" s="57">
        <f t="shared" si="41"/>
        <v>98.056448830308454</v>
      </c>
      <c r="AI39" s="57">
        <f t="shared" si="41"/>
        <v>98.056448830308454</v>
      </c>
      <c r="AJ39" s="57">
        <f t="shared" si="41"/>
        <v>98.056448830308454</v>
      </c>
    </row>
    <row r="40" spans="1:36" ht="12" x14ac:dyDescent="0.25">
      <c r="A40" s="141" t="str">
        <f t="shared" si="34"/>
        <v>Indianapolis Arts Center - HVAC</v>
      </c>
      <c r="B40" s="141" t="str">
        <f t="shared" si="35"/>
        <v>HVAC EE</v>
      </c>
      <c r="F40" s="23" t="s">
        <v>156</v>
      </c>
      <c r="G40" s="23" t="s">
        <v>130</v>
      </c>
      <c r="H40" s="23" t="s">
        <v>157</v>
      </c>
    </row>
    <row r="41" spans="1:36" ht="12" x14ac:dyDescent="0.25">
      <c r="A41" s="141" t="str">
        <f>A40</f>
        <v>Indianapolis Arts Center - HVAC</v>
      </c>
      <c r="B41" s="141" t="str">
        <f>B40</f>
        <v>HVAC EE</v>
      </c>
      <c r="C41" s="141" t="s">
        <v>140</v>
      </c>
      <c r="E41" s="1" t="s">
        <v>251</v>
      </c>
      <c r="F41" s="65">
        <f>AVERAGE(K41:AJ41)</f>
        <v>5.5461792324835208</v>
      </c>
      <c r="G41" s="121">
        <f>SUM(K41:P41)</f>
        <v>28.84013200891431</v>
      </c>
      <c r="H41" s="121">
        <f>SUM(K41:AJ41)</f>
        <v>144.20066004457155</v>
      </c>
      <c r="I41" s="29" t="s">
        <v>142</v>
      </c>
      <c r="J41" s="57"/>
      <c r="K41" s="57">
        <f t="shared" ref="K41:AJ41" si="42">K35-K39</f>
        <v>0</v>
      </c>
      <c r="L41" s="57">
        <f t="shared" si="42"/>
        <v>5.768026401782862</v>
      </c>
      <c r="M41" s="57">
        <f t="shared" si="42"/>
        <v>5.768026401782862</v>
      </c>
      <c r="N41" s="57">
        <f t="shared" si="42"/>
        <v>5.768026401782862</v>
      </c>
      <c r="O41" s="57">
        <f t="shared" si="42"/>
        <v>5.768026401782862</v>
      </c>
      <c r="P41" s="57">
        <f t="shared" si="42"/>
        <v>5.768026401782862</v>
      </c>
      <c r="Q41" s="57">
        <f t="shared" si="42"/>
        <v>5.768026401782862</v>
      </c>
      <c r="R41" s="57">
        <f t="shared" si="42"/>
        <v>5.768026401782862</v>
      </c>
      <c r="S41" s="57">
        <f t="shared" si="42"/>
        <v>5.768026401782862</v>
      </c>
      <c r="T41" s="57">
        <f t="shared" si="42"/>
        <v>5.768026401782862</v>
      </c>
      <c r="U41" s="57">
        <f t="shared" si="42"/>
        <v>5.768026401782862</v>
      </c>
      <c r="V41" s="57">
        <f t="shared" si="42"/>
        <v>5.768026401782862</v>
      </c>
      <c r="W41" s="57">
        <f t="shared" si="42"/>
        <v>5.768026401782862</v>
      </c>
      <c r="X41" s="57">
        <f t="shared" si="42"/>
        <v>5.768026401782862</v>
      </c>
      <c r="Y41" s="57">
        <f t="shared" si="42"/>
        <v>5.768026401782862</v>
      </c>
      <c r="Z41" s="57">
        <f t="shared" si="42"/>
        <v>5.768026401782862</v>
      </c>
      <c r="AA41" s="57">
        <f t="shared" si="42"/>
        <v>5.768026401782862</v>
      </c>
      <c r="AB41" s="57">
        <f t="shared" si="42"/>
        <v>5.768026401782862</v>
      </c>
      <c r="AC41" s="57">
        <f t="shared" si="42"/>
        <v>5.768026401782862</v>
      </c>
      <c r="AD41" s="57">
        <f t="shared" si="42"/>
        <v>5.768026401782862</v>
      </c>
      <c r="AE41" s="57">
        <f t="shared" si="42"/>
        <v>5.768026401782862</v>
      </c>
      <c r="AF41" s="57">
        <f t="shared" si="42"/>
        <v>5.768026401782862</v>
      </c>
      <c r="AG41" s="57">
        <f t="shared" si="42"/>
        <v>5.768026401782862</v>
      </c>
      <c r="AH41" s="57">
        <f t="shared" si="42"/>
        <v>5.768026401782862</v>
      </c>
      <c r="AI41" s="57">
        <f t="shared" si="42"/>
        <v>5.768026401782862</v>
      </c>
      <c r="AJ41" s="57">
        <f t="shared" si="42"/>
        <v>5.768026401782862</v>
      </c>
    </row>
    <row r="42" spans="1:36" ht="12" x14ac:dyDescent="0.2">
      <c r="A42" s="141"/>
      <c r="B42" s="141"/>
      <c r="C42" s="141"/>
    </row>
    <row r="43" spans="1:36" ht="12" x14ac:dyDescent="0.25">
      <c r="A43" s="141" t="str">
        <f>E43</f>
        <v>Crispus Attucks HS Upgrades: HVAC</v>
      </c>
      <c r="B43" s="133" t="s">
        <v>99</v>
      </c>
      <c r="C43" s="141"/>
      <c r="D43" s="33" t="s">
        <v>298</v>
      </c>
      <c r="E43" s="34" t="s">
        <v>101</v>
      </c>
      <c r="F43" s="33"/>
      <c r="G43" s="58" t="s">
        <v>299</v>
      </c>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row>
    <row r="44" spans="1:36" ht="12" x14ac:dyDescent="0.2">
      <c r="A44" s="141" t="str">
        <f t="shared" ref="A44:A55" si="43">A43</f>
        <v>Crispus Attucks HS Upgrades: HVAC</v>
      </c>
      <c r="B44" s="141" t="str">
        <f t="shared" ref="B44:B55" si="44">B43</f>
        <v>HVAC EE</v>
      </c>
      <c r="C44" s="141"/>
      <c r="E44" t="s">
        <v>293</v>
      </c>
      <c r="F44" s="31">
        <f>BaseBuildingConsmp!$C$52</f>
        <v>1911.7982143763923</v>
      </c>
      <c r="G44" t="s">
        <v>294</v>
      </c>
      <c r="H44" s="96" t="s">
        <v>295</v>
      </c>
    </row>
    <row r="45" spans="1:36" ht="12" x14ac:dyDescent="0.2">
      <c r="A45" s="141" t="str">
        <f t="shared" si="43"/>
        <v>Crispus Attucks HS Upgrades: HVAC</v>
      </c>
      <c r="B45" s="141" t="str">
        <f t="shared" si="44"/>
        <v>HVAC EE</v>
      </c>
      <c r="E45" t="s">
        <v>547</v>
      </c>
      <c r="F45" s="95">
        <f>L48-L52</f>
        <v>124.95413165858781</v>
      </c>
      <c r="G45" t="s">
        <v>342</v>
      </c>
      <c r="H45" s="96"/>
      <c r="K45" s="122"/>
    </row>
    <row r="46" spans="1:36" ht="12" x14ac:dyDescent="0.25">
      <c r="A46" s="141" t="str">
        <f t="shared" si="43"/>
        <v>Crispus Attucks HS Upgrades: HVAC</v>
      </c>
      <c r="B46" s="141" t="str">
        <f t="shared" si="44"/>
        <v>HVAC EE</v>
      </c>
      <c r="C46" s="141"/>
      <c r="E46" s="1" t="s">
        <v>286</v>
      </c>
    </row>
    <row r="47" spans="1:36" ht="12" x14ac:dyDescent="0.25">
      <c r="A47" s="141" t="str">
        <f t="shared" si="43"/>
        <v>Crispus Attucks HS Upgrades: HVAC</v>
      </c>
      <c r="B47" s="141" t="str">
        <f t="shared" si="44"/>
        <v>HVAC EE</v>
      </c>
      <c r="C47" s="141"/>
      <c r="E47" t="s">
        <v>296</v>
      </c>
      <c r="F47" s="63">
        <v>85</v>
      </c>
      <c r="G47" s="55">
        <f t="shared" ref="G47:AJ47" si="45">F47</f>
        <v>85</v>
      </c>
      <c r="H47" s="55">
        <f t="shared" si="45"/>
        <v>85</v>
      </c>
      <c r="I47" s="55">
        <f t="shared" si="45"/>
        <v>85</v>
      </c>
      <c r="J47" s="55">
        <f t="shared" si="45"/>
        <v>85</v>
      </c>
      <c r="K47" s="55">
        <f t="shared" si="45"/>
        <v>85</v>
      </c>
      <c r="L47" s="55">
        <f t="shared" si="45"/>
        <v>85</v>
      </c>
      <c r="M47" s="55">
        <f t="shared" si="45"/>
        <v>85</v>
      </c>
      <c r="N47" s="55">
        <f t="shared" si="45"/>
        <v>85</v>
      </c>
      <c r="O47" s="55">
        <f t="shared" si="45"/>
        <v>85</v>
      </c>
      <c r="P47" s="55">
        <f t="shared" si="45"/>
        <v>85</v>
      </c>
      <c r="Q47" s="55">
        <f t="shared" si="45"/>
        <v>85</v>
      </c>
      <c r="R47" s="55">
        <f t="shared" si="45"/>
        <v>85</v>
      </c>
      <c r="S47" s="55">
        <f t="shared" si="45"/>
        <v>85</v>
      </c>
      <c r="T47" s="55">
        <f t="shared" si="45"/>
        <v>85</v>
      </c>
      <c r="U47" s="55">
        <f t="shared" si="45"/>
        <v>85</v>
      </c>
      <c r="V47" s="55">
        <f t="shared" si="45"/>
        <v>85</v>
      </c>
      <c r="W47" s="55">
        <f t="shared" si="45"/>
        <v>85</v>
      </c>
      <c r="X47" s="55">
        <f t="shared" si="45"/>
        <v>85</v>
      </c>
      <c r="Y47" s="55">
        <f t="shared" si="45"/>
        <v>85</v>
      </c>
      <c r="Z47" s="55">
        <f t="shared" si="45"/>
        <v>85</v>
      </c>
      <c r="AA47" s="55">
        <f t="shared" si="45"/>
        <v>85</v>
      </c>
      <c r="AB47" s="55">
        <f t="shared" si="45"/>
        <v>85</v>
      </c>
      <c r="AC47" s="55">
        <f t="shared" si="45"/>
        <v>85</v>
      </c>
      <c r="AD47" s="55">
        <f t="shared" si="45"/>
        <v>85</v>
      </c>
      <c r="AE47" s="55">
        <f t="shared" si="45"/>
        <v>85</v>
      </c>
      <c r="AF47" s="55">
        <f t="shared" si="45"/>
        <v>85</v>
      </c>
      <c r="AG47" s="55">
        <f t="shared" si="45"/>
        <v>85</v>
      </c>
      <c r="AH47" s="55">
        <f t="shared" si="45"/>
        <v>85</v>
      </c>
      <c r="AI47" s="55">
        <f t="shared" si="45"/>
        <v>85</v>
      </c>
      <c r="AJ47" s="55">
        <f t="shared" si="45"/>
        <v>85</v>
      </c>
    </row>
    <row r="48" spans="1:36" ht="12" x14ac:dyDescent="0.2">
      <c r="A48" s="141" t="str">
        <f t="shared" si="43"/>
        <v>Crispus Attucks HS Upgrades: HVAC</v>
      </c>
      <c r="B48" s="141" t="str">
        <f t="shared" si="44"/>
        <v>HVAC EE</v>
      </c>
      <c r="C48" s="141"/>
      <c r="E48" t="s">
        <v>297</v>
      </c>
      <c r="F48" s="95">
        <f t="shared" ref="F48:AJ48" si="46">$F44/(F47/100)</f>
        <v>2249.1743698545793</v>
      </c>
      <c r="G48" s="95">
        <f>$F44/(G47/100)</f>
        <v>2249.1743698545793</v>
      </c>
      <c r="H48" s="95">
        <f t="shared" si="46"/>
        <v>2249.1743698545793</v>
      </c>
      <c r="I48" s="95">
        <f t="shared" si="46"/>
        <v>2249.1743698545793</v>
      </c>
      <c r="J48" s="95">
        <f t="shared" si="46"/>
        <v>2249.1743698545793</v>
      </c>
      <c r="K48" s="95">
        <f t="shared" si="46"/>
        <v>2249.1743698545793</v>
      </c>
      <c r="L48" s="95">
        <f t="shared" si="46"/>
        <v>2249.1743698545793</v>
      </c>
      <c r="M48" s="95">
        <f t="shared" si="46"/>
        <v>2249.1743698545793</v>
      </c>
      <c r="N48" s="95">
        <f t="shared" si="46"/>
        <v>2249.1743698545793</v>
      </c>
      <c r="O48" s="95">
        <f t="shared" si="46"/>
        <v>2249.1743698545793</v>
      </c>
      <c r="P48" s="95">
        <f t="shared" si="46"/>
        <v>2249.1743698545793</v>
      </c>
      <c r="Q48" s="95">
        <f t="shared" si="46"/>
        <v>2249.1743698545793</v>
      </c>
      <c r="R48" s="95">
        <f t="shared" si="46"/>
        <v>2249.1743698545793</v>
      </c>
      <c r="S48" s="95">
        <f t="shared" si="46"/>
        <v>2249.1743698545793</v>
      </c>
      <c r="T48" s="95">
        <f t="shared" si="46"/>
        <v>2249.1743698545793</v>
      </c>
      <c r="U48" s="95">
        <f t="shared" si="46"/>
        <v>2249.1743698545793</v>
      </c>
      <c r="V48" s="95">
        <f t="shared" si="46"/>
        <v>2249.1743698545793</v>
      </c>
      <c r="W48" s="95">
        <f t="shared" si="46"/>
        <v>2249.1743698545793</v>
      </c>
      <c r="X48" s="95">
        <f t="shared" si="46"/>
        <v>2249.1743698545793</v>
      </c>
      <c r="Y48" s="95">
        <f t="shared" si="46"/>
        <v>2249.1743698545793</v>
      </c>
      <c r="Z48" s="95">
        <f t="shared" si="46"/>
        <v>2249.1743698545793</v>
      </c>
      <c r="AA48" s="95">
        <f t="shared" si="46"/>
        <v>2249.1743698545793</v>
      </c>
      <c r="AB48" s="95">
        <f t="shared" si="46"/>
        <v>2249.1743698545793</v>
      </c>
      <c r="AC48" s="95">
        <f t="shared" si="46"/>
        <v>2249.1743698545793</v>
      </c>
      <c r="AD48" s="95">
        <f t="shared" si="46"/>
        <v>2249.1743698545793</v>
      </c>
      <c r="AE48" s="95">
        <f t="shared" si="46"/>
        <v>2249.1743698545793</v>
      </c>
      <c r="AF48" s="95">
        <f t="shared" si="46"/>
        <v>2249.1743698545793</v>
      </c>
      <c r="AG48" s="95">
        <f t="shared" si="46"/>
        <v>2249.1743698545793</v>
      </c>
      <c r="AH48" s="95">
        <f t="shared" si="46"/>
        <v>2249.1743698545793</v>
      </c>
      <c r="AI48" s="95">
        <f t="shared" si="46"/>
        <v>2249.1743698545793</v>
      </c>
      <c r="AJ48" s="95">
        <f t="shared" si="46"/>
        <v>2249.1743698545793</v>
      </c>
    </row>
    <row r="49" spans="1:36" ht="12" x14ac:dyDescent="0.2">
      <c r="A49" s="141" t="str">
        <f t="shared" si="43"/>
        <v>Crispus Attucks HS Upgrades: HVAC</v>
      </c>
      <c r="B49" s="141" t="str">
        <f t="shared" si="44"/>
        <v>HVAC EE</v>
      </c>
      <c r="C49" s="141"/>
      <c r="E49" t="s">
        <v>288</v>
      </c>
      <c r="F49" s="57">
        <f t="shared" ref="F49:AJ49" si="47">F48*$F$10</f>
        <v>119.25122508968978</v>
      </c>
      <c r="G49" s="57">
        <f t="shared" si="47"/>
        <v>119.25122508968978</v>
      </c>
      <c r="H49" s="57">
        <f t="shared" si="47"/>
        <v>119.25122508968978</v>
      </c>
      <c r="I49" s="57">
        <f t="shared" si="47"/>
        <v>119.25122508968978</v>
      </c>
      <c r="J49" s="57">
        <f t="shared" si="47"/>
        <v>119.25122508968978</v>
      </c>
      <c r="K49" s="57">
        <f t="shared" si="47"/>
        <v>119.25122508968978</v>
      </c>
      <c r="L49" s="57">
        <f t="shared" si="47"/>
        <v>119.25122508968978</v>
      </c>
      <c r="M49" s="57">
        <f t="shared" si="47"/>
        <v>119.25122508968978</v>
      </c>
      <c r="N49" s="57">
        <f t="shared" si="47"/>
        <v>119.25122508968978</v>
      </c>
      <c r="O49" s="57">
        <f t="shared" si="47"/>
        <v>119.25122508968978</v>
      </c>
      <c r="P49" s="57">
        <f t="shared" si="47"/>
        <v>119.25122508968978</v>
      </c>
      <c r="Q49" s="57">
        <f t="shared" si="47"/>
        <v>119.25122508968978</v>
      </c>
      <c r="R49" s="57">
        <f t="shared" si="47"/>
        <v>119.25122508968978</v>
      </c>
      <c r="S49" s="57">
        <f t="shared" si="47"/>
        <v>119.25122508968978</v>
      </c>
      <c r="T49" s="57">
        <f t="shared" si="47"/>
        <v>119.25122508968978</v>
      </c>
      <c r="U49" s="57">
        <f t="shared" si="47"/>
        <v>119.25122508968978</v>
      </c>
      <c r="V49" s="57">
        <f t="shared" si="47"/>
        <v>119.25122508968978</v>
      </c>
      <c r="W49" s="57">
        <f t="shared" si="47"/>
        <v>119.25122508968978</v>
      </c>
      <c r="X49" s="57">
        <f t="shared" si="47"/>
        <v>119.25122508968978</v>
      </c>
      <c r="Y49" s="57">
        <f t="shared" si="47"/>
        <v>119.25122508968978</v>
      </c>
      <c r="Z49" s="57">
        <f t="shared" si="47"/>
        <v>119.25122508968978</v>
      </c>
      <c r="AA49" s="57">
        <f t="shared" si="47"/>
        <v>119.25122508968978</v>
      </c>
      <c r="AB49" s="57">
        <f t="shared" si="47"/>
        <v>119.25122508968978</v>
      </c>
      <c r="AC49" s="57">
        <f t="shared" si="47"/>
        <v>119.25122508968978</v>
      </c>
      <c r="AD49" s="57">
        <f t="shared" si="47"/>
        <v>119.25122508968978</v>
      </c>
      <c r="AE49" s="57">
        <f t="shared" si="47"/>
        <v>119.25122508968978</v>
      </c>
      <c r="AF49" s="57">
        <f t="shared" si="47"/>
        <v>119.25122508968978</v>
      </c>
      <c r="AG49" s="57">
        <f t="shared" si="47"/>
        <v>119.25122508968978</v>
      </c>
      <c r="AH49" s="57">
        <f t="shared" si="47"/>
        <v>119.25122508968978</v>
      </c>
      <c r="AI49" s="57">
        <f t="shared" si="47"/>
        <v>119.25122508968978</v>
      </c>
      <c r="AJ49" s="57">
        <f t="shared" si="47"/>
        <v>119.25122508968978</v>
      </c>
    </row>
    <row r="50" spans="1:36" ht="12" x14ac:dyDescent="0.25">
      <c r="A50" s="141" t="str">
        <f t="shared" si="43"/>
        <v>Crispus Attucks HS Upgrades: HVAC</v>
      </c>
      <c r="B50" s="141" t="str">
        <f t="shared" si="44"/>
        <v>HVAC EE</v>
      </c>
      <c r="C50" s="141"/>
      <c r="E50" s="1" t="s">
        <v>289</v>
      </c>
    </row>
    <row r="51" spans="1:36" ht="12" x14ac:dyDescent="0.2">
      <c r="A51" s="141" t="str">
        <f t="shared" si="43"/>
        <v>Crispus Attucks HS Upgrades: HVAC</v>
      </c>
      <c r="B51" s="141" t="str">
        <f t="shared" si="44"/>
        <v>HVAC EE</v>
      </c>
      <c r="C51" s="141"/>
      <c r="E51" t="s">
        <v>296</v>
      </c>
      <c r="F51" s="55">
        <f>F47</f>
        <v>85</v>
      </c>
      <c r="G51" s="55">
        <f>F51</f>
        <v>85</v>
      </c>
      <c r="H51" s="55">
        <f>G51</f>
        <v>85</v>
      </c>
      <c r="I51" s="55">
        <f>H51</f>
        <v>85</v>
      </c>
      <c r="J51" s="55">
        <f>I51</f>
        <v>85</v>
      </c>
      <c r="K51" s="55">
        <f>J51</f>
        <v>85</v>
      </c>
      <c r="L51" s="54">
        <v>90</v>
      </c>
      <c r="M51" s="55">
        <f t="shared" ref="M51:AJ51" si="48">L51</f>
        <v>90</v>
      </c>
      <c r="N51" s="55">
        <f t="shared" si="48"/>
        <v>90</v>
      </c>
      <c r="O51" s="55">
        <f t="shared" si="48"/>
        <v>90</v>
      </c>
      <c r="P51" s="55">
        <f t="shared" si="48"/>
        <v>90</v>
      </c>
      <c r="Q51" s="55">
        <f t="shared" si="48"/>
        <v>90</v>
      </c>
      <c r="R51" s="55">
        <f t="shared" si="48"/>
        <v>90</v>
      </c>
      <c r="S51" s="55">
        <f t="shared" si="48"/>
        <v>90</v>
      </c>
      <c r="T51" s="55">
        <f t="shared" si="48"/>
        <v>90</v>
      </c>
      <c r="U51" s="55">
        <f t="shared" si="48"/>
        <v>90</v>
      </c>
      <c r="V51" s="55">
        <f t="shared" si="48"/>
        <v>90</v>
      </c>
      <c r="W51" s="55">
        <f t="shared" si="48"/>
        <v>90</v>
      </c>
      <c r="X51" s="55">
        <f t="shared" si="48"/>
        <v>90</v>
      </c>
      <c r="Y51" s="55">
        <f t="shared" si="48"/>
        <v>90</v>
      </c>
      <c r="Z51" s="55">
        <f t="shared" si="48"/>
        <v>90</v>
      </c>
      <c r="AA51" s="55">
        <f t="shared" si="48"/>
        <v>90</v>
      </c>
      <c r="AB51" s="55">
        <f t="shared" si="48"/>
        <v>90</v>
      </c>
      <c r="AC51" s="55">
        <f t="shared" si="48"/>
        <v>90</v>
      </c>
      <c r="AD51" s="55">
        <f t="shared" si="48"/>
        <v>90</v>
      </c>
      <c r="AE51" s="55">
        <f t="shared" si="48"/>
        <v>90</v>
      </c>
      <c r="AF51" s="55">
        <f t="shared" si="48"/>
        <v>90</v>
      </c>
      <c r="AG51" s="55">
        <f t="shared" si="48"/>
        <v>90</v>
      </c>
      <c r="AH51" s="55">
        <f t="shared" si="48"/>
        <v>90</v>
      </c>
      <c r="AI51" s="55">
        <f t="shared" si="48"/>
        <v>90</v>
      </c>
      <c r="AJ51" s="55">
        <f t="shared" si="48"/>
        <v>90</v>
      </c>
    </row>
    <row r="52" spans="1:36" ht="12" x14ac:dyDescent="0.2">
      <c r="A52" s="141" t="str">
        <f t="shared" si="43"/>
        <v>Crispus Attucks HS Upgrades: HVAC</v>
      </c>
      <c r="B52" s="141" t="str">
        <f t="shared" si="44"/>
        <v>HVAC EE</v>
      </c>
      <c r="E52" t="s">
        <v>297</v>
      </c>
      <c r="F52" s="95">
        <f t="shared" ref="F52:AJ52" si="49">$F44/(F51/100)</f>
        <v>2249.1743698545793</v>
      </c>
      <c r="G52" s="95">
        <f t="shared" si="49"/>
        <v>2249.1743698545793</v>
      </c>
      <c r="H52" s="95">
        <f t="shared" si="49"/>
        <v>2249.1743698545793</v>
      </c>
      <c r="I52" s="95">
        <f t="shared" si="49"/>
        <v>2249.1743698545793</v>
      </c>
      <c r="J52" s="95">
        <f t="shared" si="49"/>
        <v>2249.1743698545793</v>
      </c>
      <c r="K52" s="95">
        <f t="shared" si="49"/>
        <v>2249.1743698545793</v>
      </c>
      <c r="L52" s="95">
        <f t="shared" si="49"/>
        <v>2124.2202381959914</v>
      </c>
      <c r="M52" s="95">
        <f t="shared" si="49"/>
        <v>2124.2202381959914</v>
      </c>
      <c r="N52" s="95">
        <f t="shared" si="49"/>
        <v>2124.2202381959914</v>
      </c>
      <c r="O52" s="95">
        <f t="shared" si="49"/>
        <v>2124.2202381959914</v>
      </c>
      <c r="P52" s="95">
        <f t="shared" si="49"/>
        <v>2124.2202381959914</v>
      </c>
      <c r="Q52" s="95">
        <f t="shared" si="49"/>
        <v>2124.2202381959914</v>
      </c>
      <c r="R52" s="95">
        <f t="shared" si="49"/>
        <v>2124.2202381959914</v>
      </c>
      <c r="S52" s="95">
        <f t="shared" si="49"/>
        <v>2124.2202381959914</v>
      </c>
      <c r="T52" s="95">
        <f t="shared" si="49"/>
        <v>2124.2202381959914</v>
      </c>
      <c r="U52" s="95">
        <f t="shared" si="49"/>
        <v>2124.2202381959914</v>
      </c>
      <c r="V52" s="95">
        <f t="shared" si="49"/>
        <v>2124.2202381959914</v>
      </c>
      <c r="W52" s="95">
        <f t="shared" si="49"/>
        <v>2124.2202381959914</v>
      </c>
      <c r="X52" s="95">
        <f t="shared" si="49"/>
        <v>2124.2202381959914</v>
      </c>
      <c r="Y52" s="95">
        <f t="shared" si="49"/>
        <v>2124.2202381959914</v>
      </c>
      <c r="Z52" s="95">
        <f t="shared" si="49"/>
        <v>2124.2202381959914</v>
      </c>
      <c r="AA52" s="95">
        <f t="shared" si="49"/>
        <v>2124.2202381959914</v>
      </c>
      <c r="AB52" s="95">
        <f t="shared" si="49"/>
        <v>2124.2202381959914</v>
      </c>
      <c r="AC52" s="95">
        <f t="shared" si="49"/>
        <v>2124.2202381959914</v>
      </c>
      <c r="AD52" s="95">
        <f t="shared" si="49"/>
        <v>2124.2202381959914</v>
      </c>
      <c r="AE52" s="95">
        <f t="shared" si="49"/>
        <v>2124.2202381959914</v>
      </c>
      <c r="AF52" s="95">
        <f t="shared" si="49"/>
        <v>2124.2202381959914</v>
      </c>
      <c r="AG52" s="95">
        <f t="shared" si="49"/>
        <v>2124.2202381959914</v>
      </c>
      <c r="AH52" s="95">
        <f t="shared" si="49"/>
        <v>2124.2202381959914</v>
      </c>
      <c r="AI52" s="95">
        <f t="shared" si="49"/>
        <v>2124.2202381959914</v>
      </c>
      <c r="AJ52" s="95">
        <f t="shared" si="49"/>
        <v>2124.2202381959914</v>
      </c>
    </row>
    <row r="53" spans="1:36" ht="12" x14ac:dyDescent="0.2">
      <c r="A53" s="141" t="str">
        <f t="shared" si="43"/>
        <v>Crispus Attucks HS Upgrades: HVAC</v>
      </c>
      <c r="B53" s="141" t="str">
        <f t="shared" si="44"/>
        <v>HVAC EE</v>
      </c>
      <c r="E53" t="s">
        <v>288</v>
      </c>
      <c r="F53" s="57">
        <f t="shared" ref="F53:AJ53" si="50">F52*$F$10</f>
        <v>119.25122508968978</v>
      </c>
      <c r="G53" s="57">
        <f t="shared" si="50"/>
        <v>119.25122508968978</v>
      </c>
      <c r="H53" s="57">
        <f t="shared" si="50"/>
        <v>119.25122508968978</v>
      </c>
      <c r="I53" s="57">
        <f t="shared" si="50"/>
        <v>119.25122508968978</v>
      </c>
      <c r="J53" s="57">
        <f t="shared" si="50"/>
        <v>119.25122508968978</v>
      </c>
      <c r="K53" s="57">
        <f t="shared" si="50"/>
        <v>119.25122508968978</v>
      </c>
      <c r="L53" s="57">
        <f t="shared" si="50"/>
        <v>112.62615702915146</v>
      </c>
      <c r="M53" s="57">
        <f t="shared" si="50"/>
        <v>112.62615702915146</v>
      </c>
      <c r="N53" s="57">
        <f t="shared" si="50"/>
        <v>112.62615702915146</v>
      </c>
      <c r="O53" s="57">
        <f t="shared" si="50"/>
        <v>112.62615702915146</v>
      </c>
      <c r="P53" s="57">
        <f t="shared" si="50"/>
        <v>112.62615702915146</v>
      </c>
      <c r="Q53" s="57">
        <f t="shared" si="50"/>
        <v>112.62615702915146</v>
      </c>
      <c r="R53" s="57">
        <f t="shared" si="50"/>
        <v>112.62615702915146</v>
      </c>
      <c r="S53" s="57">
        <f t="shared" si="50"/>
        <v>112.62615702915146</v>
      </c>
      <c r="T53" s="57">
        <f t="shared" si="50"/>
        <v>112.62615702915146</v>
      </c>
      <c r="U53" s="57">
        <f t="shared" si="50"/>
        <v>112.62615702915146</v>
      </c>
      <c r="V53" s="57">
        <f t="shared" si="50"/>
        <v>112.62615702915146</v>
      </c>
      <c r="W53" s="57">
        <f t="shared" si="50"/>
        <v>112.62615702915146</v>
      </c>
      <c r="X53" s="57">
        <f t="shared" si="50"/>
        <v>112.62615702915146</v>
      </c>
      <c r="Y53" s="57">
        <f t="shared" si="50"/>
        <v>112.62615702915146</v>
      </c>
      <c r="Z53" s="57">
        <f t="shared" si="50"/>
        <v>112.62615702915146</v>
      </c>
      <c r="AA53" s="57">
        <f t="shared" si="50"/>
        <v>112.62615702915146</v>
      </c>
      <c r="AB53" s="57">
        <f t="shared" si="50"/>
        <v>112.62615702915146</v>
      </c>
      <c r="AC53" s="57">
        <f t="shared" si="50"/>
        <v>112.62615702915146</v>
      </c>
      <c r="AD53" s="57">
        <f t="shared" si="50"/>
        <v>112.62615702915146</v>
      </c>
      <c r="AE53" s="57">
        <f t="shared" si="50"/>
        <v>112.62615702915146</v>
      </c>
      <c r="AF53" s="57">
        <f t="shared" si="50"/>
        <v>112.62615702915146</v>
      </c>
      <c r="AG53" s="57">
        <f t="shared" si="50"/>
        <v>112.62615702915146</v>
      </c>
      <c r="AH53" s="57">
        <f t="shared" si="50"/>
        <v>112.62615702915146</v>
      </c>
      <c r="AI53" s="57">
        <f t="shared" si="50"/>
        <v>112.62615702915146</v>
      </c>
      <c r="AJ53" s="57">
        <f t="shared" si="50"/>
        <v>112.62615702915146</v>
      </c>
    </row>
    <row r="54" spans="1:36" ht="12" x14ac:dyDescent="0.25">
      <c r="A54" s="141" t="str">
        <f t="shared" si="43"/>
        <v>Crispus Attucks HS Upgrades: HVAC</v>
      </c>
      <c r="B54" s="141" t="str">
        <f t="shared" si="44"/>
        <v>HVAC EE</v>
      </c>
      <c r="F54" s="23" t="s">
        <v>156</v>
      </c>
      <c r="G54" s="23" t="s">
        <v>130</v>
      </c>
      <c r="H54" s="23" t="s">
        <v>157</v>
      </c>
    </row>
    <row r="55" spans="1:36" ht="12" x14ac:dyDescent="0.25">
      <c r="A55" s="141" t="str">
        <f t="shared" si="43"/>
        <v>Crispus Attucks HS Upgrades: HVAC</v>
      </c>
      <c r="B55" s="141" t="str">
        <f t="shared" si="44"/>
        <v>HVAC EE</v>
      </c>
      <c r="C55" s="141" t="s">
        <v>140</v>
      </c>
      <c r="E55" s="1" t="s">
        <v>251</v>
      </c>
      <c r="F55" s="65">
        <f>AVERAGE(K55:AJ55)</f>
        <v>6.3702577505176201</v>
      </c>
      <c r="G55" s="121">
        <f>SUM(K55:P55)</f>
        <v>33.125340302691626</v>
      </c>
      <c r="H55" s="121">
        <f>SUM(K55:AJ55)</f>
        <v>165.62670151345813</v>
      </c>
      <c r="I55" s="29" t="s">
        <v>142</v>
      </c>
      <c r="J55" s="57"/>
      <c r="K55" s="57">
        <f t="shared" ref="K55:AJ55" si="51">K49-K53</f>
        <v>0</v>
      </c>
      <c r="L55" s="57">
        <f t="shared" si="51"/>
        <v>6.6250680605383252</v>
      </c>
      <c r="M55" s="57">
        <f t="shared" si="51"/>
        <v>6.6250680605383252</v>
      </c>
      <c r="N55" s="57">
        <f t="shared" si="51"/>
        <v>6.6250680605383252</v>
      </c>
      <c r="O55" s="57">
        <f t="shared" si="51"/>
        <v>6.6250680605383252</v>
      </c>
      <c r="P55" s="57">
        <f t="shared" si="51"/>
        <v>6.6250680605383252</v>
      </c>
      <c r="Q55" s="57">
        <f t="shared" si="51"/>
        <v>6.6250680605383252</v>
      </c>
      <c r="R55" s="57">
        <f t="shared" si="51"/>
        <v>6.6250680605383252</v>
      </c>
      <c r="S55" s="57">
        <f t="shared" si="51"/>
        <v>6.6250680605383252</v>
      </c>
      <c r="T55" s="57">
        <f t="shared" si="51"/>
        <v>6.6250680605383252</v>
      </c>
      <c r="U55" s="57">
        <f t="shared" si="51"/>
        <v>6.6250680605383252</v>
      </c>
      <c r="V55" s="57">
        <f t="shared" si="51"/>
        <v>6.6250680605383252</v>
      </c>
      <c r="W55" s="57">
        <f t="shared" si="51"/>
        <v>6.6250680605383252</v>
      </c>
      <c r="X55" s="57">
        <f t="shared" si="51"/>
        <v>6.6250680605383252</v>
      </c>
      <c r="Y55" s="57">
        <f t="shared" si="51"/>
        <v>6.6250680605383252</v>
      </c>
      <c r="Z55" s="57">
        <f t="shared" si="51"/>
        <v>6.6250680605383252</v>
      </c>
      <c r="AA55" s="57">
        <f t="shared" si="51"/>
        <v>6.6250680605383252</v>
      </c>
      <c r="AB55" s="57">
        <f t="shared" si="51"/>
        <v>6.6250680605383252</v>
      </c>
      <c r="AC55" s="57">
        <f t="shared" si="51"/>
        <v>6.6250680605383252</v>
      </c>
      <c r="AD55" s="57">
        <f t="shared" si="51"/>
        <v>6.6250680605383252</v>
      </c>
      <c r="AE55" s="57">
        <f t="shared" si="51"/>
        <v>6.6250680605383252</v>
      </c>
      <c r="AF55" s="57">
        <f t="shared" si="51"/>
        <v>6.6250680605383252</v>
      </c>
      <c r="AG55" s="57">
        <f t="shared" si="51"/>
        <v>6.6250680605383252</v>
      </c>
      <c r="AH55" s="57">
        <f t="shared" si="51"/>
        <v>6.6250680605383252</v>
      </c>
      <c r="AI55" s="57">
        <f t="shared" si="51"/>
        <v>6.6250680605383252</v>
      </c>
      <c r="AJ55" s="57">
        <f t="shared" si="51"/>
        <v>6.6250680605383252</v>
      </c>
    </row>
    <row r="56" spans="1:36" ht="12" x14ac:dyDescent="0.25">
      <c r="A56" s="142"/>
      <c r="B56" s="142"/>
      <c r="C56" s="142"/>
      <c r="E56" s="1"/>
      <c r="F56" s="57"/>
      <c r="G56" s="61"/>
      <c r="H56" s="61"/>
      <c r="I56" s="29"/>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row>
    <row r="57" spans="1:36" ht="12" x14ac:dyDescent="0.25">
      <c r="A57" s="141"/>
      <c r="B57" s="141"/>
      <c r="C57" s="141"/>
      <c r="E57" s="1"/>
      <c r="F57" s="65"/>
      <c r="G57" s="121"/>
      <c r="H57" s="121"/>
      <c r="I57" s="29"/>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row>
    <row r="58" spans="1:36" ht="12" x14ac:dyDescent="0.25">
      <c r="A58" s="142"/>
      <c r="B58" s="142"/>
      <c r="C58" s="142"/>
      <c r="E58" s="1"/>
      <c r="F58" s="57"/>
      <c r="G58" s="61"/>
      <c r="H58" s="61"/>
      <c r="I58" s="29"/>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row>
    <row r="59" spans="1:36" ht="12" x14ac:dyDescent="0.25">
      <c r="A59" s="142"/>
      <c r="B59" s="142"/>
      <c r="C59" s="142"/>
      <c r="D59" s="107"/>
      <c r="E59" s="114" t="s">
        <v>300</v>
      </c>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row>
    <row r="60" spans="1:36" ht="12" x14ac:dyDescent="0.25">
      <c r="A60" s="141" t="str">
        <f>E60</f>
        <v>Crispus Attucks HS Upgrades: Windows</v>
      </c>
      <c r="B60" s="133" t="s">
        <v>105</v>
      </c>
      <c r="C60" s="142"/>
      <c r="D60" s="33" t="s">
        <v>301</v>
      </c>
      <c r="E60" s="34" t="s">
        <v>104</v>
      </c>
      <c r="F60" s="33"/>
      <c r="G60" s="58" t="s">
        <v>302</v>
      </c>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row>
    <row r="61" spans="1:36" ht="12" x14ac:dyDescent="0.2">
      <c r="A61" s="141" t="str">
        <f t="shared" ref="A61:A70" si="52">A60</f>
        <v>Crispus Attucks HS Upgrades: Windows</v>
      </c>
      <c r="B61" s="141" t="str">
        <f t="shared" ref="B61:B70" si="53">B60</f>
        <v>Windows EE</v>
      </c>
      <c r="C61" s="142"/>
      <c r="E61" t="s">
        <v>303</v>
      </c>
      <c r="F61" s="111">
        <v>0.25</v>
      </c>
      <c r="G61" t="s">
        <v>304</v>
      </c>
      <c r="H61" s="96"/>
    </row>
    <row r="62" spans="1:36" ht="12" x14ac:dyDescent="0.2">
      <c r="A62" s="141" t="str">
        <f t="shared" si="52"/>
        <v>Crispus Attucks HS Upgrades: Windows</v>
      </c>
      <c r="B62" s="141" t="str">
        <f t="shared" si="53"/>
        <v>Windows EE</v>
      </c>
      <c r="C62" s="142"/>
      <c r="E62" t="s">
        <v>305</v>
      </c>
      <c r="F62" s="112">
        <v>0.13</v>
      </c>
      <c r="G62" t="s">
        <v>306</v>
      </c>
      <c r="H62" s="96"/>
    </row>
    <row r="63" spans="1:36" ht="12" x14ac:dyDescent="0.25">
      <c r="A63" s="141" t="str">
        <f t="shared" si="52"/>
        <v>Crispus Attucks HS Upgrades: Windows</v>
      </c>
      <c r="B63" s="141" t="str">
        <f t="shared" si="53"/>
        <v>Windows EE</v>
      </c>
      <c r="C63" s="142"/>
      <c r="E63" s="1" t="s">
        <v>307</v>
      </c>
    </row>
    <row r="64" spans="1:36" ht="12" x14ac:dyDescent="0.2">
      <c r="A64" s="141" t="str">
        <f t="shared" si="52"/>
        <v>Crispus Attucks HS Upgrades: Windows</v>
      </c>
      <c r="B64" s="141" t="str">
        <f t="shared" si="53"/>
        <v>Windows EE</v>
      </c>
      <c r="C64" s="142"/>
      <c r="E64" t="s">
        <v>297</v>
      </c>
      <c r="F64" s="95"/>
      <c r="G64" s="95"/>
      <c r="H64" s="95"/>
      <c r="I64" s="95"/>
      <c r="J64" s="95"/>
      <c r="K64" s="95">
        <f t="shared" ref="K64:AJ64" si="54">K52*$F61</f>
        <v>562.29359246364481</v>
      </c>
      <c r="L64" s="95">
        <f t="shared" si="54"/>
        <v>531.05505954899786</v>
      </c>
      <c r="M64" s="95">
        <f t="shared" si="54"/>
        <v>531.05505954899786</v>
      </c>
      <c r="N64" s="95">
        <f t="shared" si="54"/>
        <v>531.05505954899786</v>
      </c>
      <c r="O64" s="95">
        <f t="shared" si="54"/>
        <v>531.05505954899786</v>
      </c>
      <c r="P64" s="95">
        <f t="shared" si="54"/>
        <v>531.05505954899786</v>
      </c>
      <c r="Q64" s="95">
        <f t="shared" si="54"/>
        <v>531.05505954899786</v>
      </c>
      <c r="R64" s="95">
        <f t="shared" si="54"/>
        <v>531.05505954899786</v>
      </c>
      <c r="S64" s="95">
        <f t="shared" si="54"/>
        <v>531.05505954899786</v>
      </c>
      <c r="T64" s="95">
        <f t="shared" si="54"/>
        <v>531.05505954899786</v>
      </c>
      <c r="U64" s="95">
        <f t="shared" si="54"/>
        <v>531.05505954899786</v>
      </c>
      <c r="V64" s="95">
        <f t="shared" si="54"/>
        <v>531.05505954899786</v>
      </c>
      <c r="W64" s="95">
        <f t="shared" si="54"/>
        <v>531.05505954899786</v>
      </c>
      <c r="X64" s="95">
        <f t="shared" si="54"/>
        <v>531.05505954899786</v>
      </c>
      <c r="Y64" s="95">
        <f t="shared" si="54"/>
        <v>531.05505954899786</v>
      </c>
      <c r="Z64" s="95">
        <f t="shared" si="54"/>
        <v>531.05505954899786</v>
      </c>
      <c r="AA64" s="95">
        <f t="shared" si="54"/>
        <v>531.05505954899786</v>
      </c>
      <c r="AB64" s="95">
        <f t="shared" si="54"/>
        <v>531.05505954899786</v>
      </c>
      <c r="AC64" s="95">
        <f t="shared" si="54"/>
        <v>531.05505954899786</v>
      </c>
      <c r="AD64" s="95">
        <f t="shared" si="54"/>
        <v>531.05505954899786</v>
      </c>
      <c r="AE64" s="95">
        <f t="shared" si="54"/>
        <v>531.05505954899786</v>
      </c>
      <c r="AF64" s="95">
        <f t="shared" si="54"/>
        <v>531.05505954899786</v>
      </c>
      <c r="AG64" s="95">
        <f t="shared" si="54"/>
        <v>531.05505954899786</v>
      </c>
      <c r="AH64" s="95">
        <f t="shared" si="54"/>
        <v>531.05505954899786</v>
      </c>
      <c r="AI64" s="95">
        <f t="shared" si="54"/>
        <v>531.05505954899786</v>
      </c>
      <c r="AJ64" s="95">
        <f t="shared" si="54"/>
        <v>531.05505954899786</v>
      </c>
    </row>
    <row r="65" spans="1:36" ht="12" x14ac:dyDescent="0.2">
      <c r="A65" s="141" t="str">
        <f t="shared" si="52"/>
        <v>Crispus Attucks HS Upgrades: Windows</v>
      </c>
      <c r="B65" s="141" t="str">
        <f t="shared" si="53"/>
        <v>Windows EE</v>
      </c>
      <c r="C65" s="142"/>
      <c r="E65" t="s">
        <v>288</v>
      </c>
      <c r="F65" s="57"/>
      <c r="G65" s="57"/>
      <c r="H65" s="57"/>
      <c r="I65" s="57"/>
      <c r="J65" s="57"/>
      <c r="K65" s="57">
        <f>K64*$F$10</f>
        <v>29.812806272422446</v>
      </c>
      <c r="L65" s="57">
        <f t="shared" ref="L65:AJ65" si="55">L64*$F$10</f>
        <v>28.156539257287864</v>
      </c>
      <c r="M65" s="57">
        <f t="shared" si="55"/>
        <v>28.156539257287864</v>
      </c>
      <c r="N65" s="57">
        <f t="shared" si="55"/>
        <v>28.156539257287864</v>
      </c>
      <c r="O65" s="57">
        <f t="shared" si="55"/>
        <v>28.156539257287864</v>
      </c>
      <c r="P65" s="57">
        <f t="shared" si="55"/>
        <v>28.156539257287864</v>
      </c>
      <c r="Q65" s="57">
        <f t="shared" si="55"/>
        <v>28.156539257287864</v>
      </c>
      <c r="R65" s="57">
        <f t="shared" si="55"/>
        <v>28.156539257287864</v>
      </c>
      <c r="S65" s="57">
        <f t="shared" si="55"/>
        <v>28.156539257287864</v>
      </c>
      <c r="T65" s="57">
        <f t="shared" si="55"/>
        <v>28.156539257287864</v>
      </c>
      <c r="U65" s="57">
        <f t="shared" si="55"/>
        <v>28.156539257287864</v>
      </c>
      <c r="V65" s="57">
        <f t="shared" si="55"/>
        <v>28.156539257287864</v>
      </c>
      <c r="W65" s="57">
        <f t="shared" si="55"/>
        <v>28.156539257287864</v>
      </c>
      <c r="X65" s="57">
        <f t="shared" si="55"/>
        <v>28.156539257287864</v>
      </c>
      <c r="Y65" s="57">
        <f t="shared" si="55"/>
        <v>28.156539257287864</v>
      </c>
      <c r="Z65" s="57">
        <f t="shared" si="55"/>
        <v>28.156539257287864</v>
      </c>
      <c r="AA65" s="57">
        <f t="shared" si="55"/>
        <v>28.156539257287864</v>
      </c>
      <c r="AB65" s="57">
        <f t="shared" si="55"/>
        <v>28.156539257287864</v>
      </c>
      <c r="AC65" s="57">
        <f t="shared" si="55"/>
        <v>28.156539257287864</v>
      </c>
      <c r="AD65" s="57">
        <f t="shared" si="55"/>
        <v>28.156539257287864</v>
      </c>
      <c r="AE65" s="57">
        <f t="shared" si="55"/>
        <v>28.156539257287864</v>
      </c>
      <c r="AF65" s="57">
        <f t="shared" si="55"/>
        <v>28.156539257287864</v>
      </c>
      <c r="AG65" s="57">
        <f t="shared" si="55"/>
        <v>28.156539257287864</v>
      </c>
      <c r="AH65" s="57">
        <f t="shared" si="55"/>
        <v>28.156539257287864</v>
      </c>
      <c r="AI65" s="57">
        <f t="shared" si="55"/>
        <v>28.156539257287864</v>
      </c>
      <c r="AJ65" s="57">
        <f t="shared" si="55"/>
        <v>28.156539257287864</v>
      </c>
    </row>
    <row r="66" spans="1:36" ht="12" x14ac:dyDescent="0.25">
      <c r="A66" s="141" t="str">
        <f t="shared" si="52"/>
        <v>Crispus Attucks HS Upgrades: Windows</v>
      </c>
      <c r="B66" s="141" t="str">
        <f t="shared" si="53"/>
        <v>Windows EE</v>
      </c>
      <c r="C66" s="142"/>
      <c r="E66" s="1" t="s">
        <v>308</v>
      </c>
      <c r="L66" s="24" t="s">
        <v>309</v>
      </c>
    </row>
    <row r="67" spans="1:36" ht="12" x14ac:dyDescent="0.2">
      <c r="A67" s="141" t="str">
        <f t="shared" si="52"/>
        <v>Crispus Attucks HS Upgrades: Windows</v>
      </c>
      <c r="B67" s="141" t="str">
        <f t="shared" si="53"/>
        <v>Windows EE</v>
      </c>
      <c r="C67" s="142"/>
      <c r="E67" t="s">
        <v>297</v>
      </c>
      <c r="F67" s="95"/>
      <c r="G67" s="95"/>
      <c r="H67" s="95"/>
      <c r="I67" s="95"/>
      <c r="J67" s="95"/>
      <c r="K67" s="95">
        <f>K52*$F61</f>
        <v>562.29359246364481</v>
      </c>
      <c r="L67" s="31">
        <f t="shared" ref="L67:AJ67" si="56">L52*$F61*(100%-$F62)</f>
        <v>462.01790180762816</v>
      </c>
      <c r="M67" s="95">
        <f t="shared" si="56"/>
        <v>462.01790180762816</v>
      </c>
      <c r="N67" s="95">
        <f t="shared" si="56"/>
        <v>462.01790180762816</v>
      </c>
      <c r="O67" s="95">
        <f t="shared" si="56"/>
        <v>462.01790180762816</v>
      </c>
      <c r="P67" s="95">
        <f t="shared" si="56"/>
        <v>462.01790180762816</v>
      </c>
      <c r="Q67" s="95">
        <f t="shared" si="56"/>
        <v>462.01790180762816</v>
      </c>
      <c r="R67" s="95">
        <f t="shared" si="56"/>
        <v>462.01790180762816</v>
      </c>
      <c r="S67" s="95">
        <f t="shared" si="56"/>
        <v>462.01790180762816</v>
      </c>
      <c r="T67" s="95">
        <f t="shared" si="56"/>
        <v>462.01790180762816</v>
      </c>
      <c r="U67" s="95">
        <f t="shared" si="56"/>
        <v>462.01790180762816</v>
      </c>
      <c r="V67" s="95">
        <f t="shared" si="56"/>
        <v>462.01790180762816</v>
      </c>
      <c r="W67" s="95">
        <f t="shared" si="56"/>
        <v>462.01790180762816</v>
      </c>
      <c r="X67" s="95">
        <f t="shared" si="56"/>
        <v>462.01790180762816</v>
      </c>
      <c r="Y67" s="95">
        <f t="shared" si="56"/>
        <v>462.01790180762816</v>
      </c>
      <c r="Z67" s="95">
        <f t="shared" si="56"/>
        <v>462.01790180762816</v>
      </c>
      <c r="AA67" s="95">
        <f t="shared" si="56"/>
        <v>462.01790180762816</v>
      </c>
      <c r="AB67" s="95">
        <f t="shared" si="56"/>
        <v>462.01790180762816</v>
      </c>
      <c r="AC67" s="95">
        <f t="shared" si="56"/>
        <v>462.01790180762816</v>
      </c>
      <c r="AD67" s="95">
        <f t="shared" si="56"/>
        <v>462.01790180762816</v>
      </c>
      <c r="AE67" s="95">
        <f t="shared" si="56"/>
        <v>462.01790180762816</v>
      </c>
      <c r="AF67" s="95">
        <f t="shared" si="56"/>
        <v>462.01790180762816</v>
      </c>
      <c r="AG67" s="95">
        <f t="shared" si="56"/>
        <v>462.01790180762816</v>
      </c>
      <c r="AH67" s="95">
        <f t="shared" si="56"/>
        <v>462.01790180762816</v>
      </c>
      <c r="AI67" s="95">
        <f t="shared" si="56"/>
        <v>462.01790180762816</v>
      </c>
      <c r="AJ67" s="95">
        <f t="shared" si="56"/>
        <v>462.01790180762816</v>
      </c>
    </row>
    <row r="68" spans="1:36" ht="12" x14ac:dyDescent="0.2">
      <c r="A68" s="141" t="str">
        <f t="shared" si="52"/>
        <v>Crispus Attucks HS Upgrades: Windows</v>
      </c>
      <c r="B68" s="141" t="str">
        <f t="shared" si="53"/>
        <v>Windows EE</v>
      </c>
      <c r="C68" s="142"/>
      <c r="E68" t="s">
        <v>288</v>
      </c>
      <c r="F68" s="57"/>
      <c r="G68" s="57"/>
      <c r="H68" s="57"/>
      <c r="I68" s="57"/>
      <c r="J68" s="57"/>
      <c r="K68" s="57">
        <f>K67*$F$10</f>
        <v>29.812806272422446</v>
      </c>
      <c r="L68" s="57">
        <f>L67*$F$10</f>
        <v>24.496189153840444</v>
      </c>
      <c r="M68" s="57">
        <f t="shared" ref="M68" si="57">M67*$F$10</f>
        <v>24.496189153840444</v>
      </c>
      <c r="N68" s="57">
        <f t="shared" ref="N68" si="58">N67*$F$10</f>
        <v>24.496189153840444</v>
      </c>
      <c r="O68" s="57">
        <f t="shared" ref="O68" si="59">O67*$F$10</f>
        <v>24.496189153840444</v>
      </c>
      <c r="P68" s="57">
        <f t="shared" ref="P68" si="60">P67*$F$10</f>
        <v>24.496189153840444</v>
      </c>
      <c r="Q68" s="57">
        <f t="shared" ref="Q68" si="61">Q67*$F$10</f>
        <v>24.496189153840444</v>
      </c>
      <c r="R68" s="57">
        <f t="shared" ref="R68" si="62">R67*$F$10</f>
        <v>24.496189153840444</v>
      </c>
      <c r="S68" s="57">
        <f t="shared" ref="S68" si="63">S67*$F$10</f>
        <v>24.496189153840444</v>
      </c>
      <c r="T68" s="57">
        <f t="shared" ref="T68" si="64">T67*$F$10</f>
        <v>24.496189153840444</v>
      </c>
      <c r="U68" s="57">
        <f t="shared" ref="U68" si="65">U67*$F$10</f>
        <v>24.496189153840444</v>
      </c>
      <c r="V68" s="57">
        <f t="shared" ref="V68" si="66">V67*$F$10</f>
        <v>24.496189153840444</v>
      </c>
      <c r="W68" s="57">
        <f t="shared" ref="W68" si="67">W67*$F$10</f>
        <v>24.496189153840444</v>
      </c>
      <c r="X68" s="57">
        <f t="shared" ref="X68" si="68">X67*$F$10</f>
        <v>24.496189153840444</v>
      </c>
      <c r="Y68" s="57">
        <f t="shared" ref="Y68" si="69">Y67*$F$10</f>
        <v>24.496189153840444</v>
      </c>
      <c r="Z68" s="57">
        <f t="shared" ref="Z68" si="70">Z67*$F$10</f>
        <v>24.496189153840444</v>
      </c>
      <c r="AA68" s="57">
        <f t="shared" ref="AA68" si="71">AA67*$F$10</f>
        <v>24.496189153840444</v>
      </c>
      <c r="AB68" s="57">
        <f t="shared" ref="AB68" si="72">AB67*$F$10</f>
        <v>24.496189153840444</v>
      </c>
      <c r="AC68" s="57">
        <f t="shared" ref="AC68" si="73">AC67*$F$10</f>
        <v>24.496189153840444</v>
      </c>
      <c r="AD68" s="57">
        <f t="shared" ref="AD68" si="74">AD67*$F$10</f>
        <v>24.496189153840444</v>
      </c>
      <c r="AE68" s="57">
        <f t="shared" ref="AE68" si="75">AE67*$F$10</f>
        <v>24.496189153840444</v>
      </c>
      <c r="AF68" s="57">
        <f t="shared" ref="AF68" si="76">AF67*$F$10</f>
        <v>24.496189153840444</v>
      </c>
      <c r="AG68" s="57">
        <f t="shared" ref="AG68" si="77">AG67*$F$10</f>
        <v>24.496189153840444</v>
      </c>
      <c r="AH68" s="57">
        <f t="shared" ref="AH68" si="78">AH67*$F$10</f>
        <v>24.496189153840444</v>
      </c>
      <c r="AI68" s="57">
        <f t="shared" ref="AI68" si="79">AI67*$F$10</f>
        <v>24.496189153840444</v>
      </c>
      <c r="AJ68" s="57">
        <f t="shared" ref="AJ68" si="80">AJ67*$F$10</f>
        <v>24.496189153840444</v>
      </c>
    </row>
    <row r="69" spans="1:36" ht="12" x14ac:dyDescent="0.25">
      <c r="A69" s="141" t="str">
        <f t="shared" si="52"/>
        <v>Crispus Attucks HS Upgrades: Windows</v>
      </c>
      <c r="B69" s="141" t="str">
        <f t="shared" si="53"/>
        <v>Windows EE</v>
      </c>
      <c r="C69" s="142"/>
      <c r="F69" s="23" t="s">
        <v>156</v>
      </c>
      <c r="G69" s="23" t="s">
        <v>130</v>
      </c>
      <c r="H69" s="23" t="s">
        <v>157</v>
      </c>
    </row>
    <row r="70" spans="1:36" ht="12" x14ac:dyDescent="0.25">
      <c r="A70" s="141" t="str">
        <f t="shared" si="52"/>
        <v>Crispus Attucks HS Upgrades: Windows</v>
      </c>
      <c r="B70" s="141" t="str">
        <f t="shared" si="53"/>
        <v>Windows EE</v>
      </c>
      <c r="C70" s="141" t="s">
        <v>140</v>
      </c>
      <c r="E70" s="1" t="s">
        <v>251</v>
      </c>
      <c r="F70" s="65">
        <f>AVERAGE(K70:AJ70)</f>
        <v>3.5195674071609826</v>
      </c>
      <c r="G70" s="119">
        <f>SUM(K70:P70)</f>
        <v>18.301750517237103</v>
      </c>
      <c r="H70" s="119">
        <f>SUM(K70:AJ70)</f>
        <v>91.508752586185551</v>
      </c>
      <c r="I70" s="29" t="s">
        <v>142</v>
      </c>
      <c r="J70" s="57"/>
      <c r="K70" s="57">
        <f t="shared" ref="K70:AJ70" si="81">K65-K68</f>
        <v>0</v>
      </c>
      <c r="L70" s="57">
        <f t="shared" si="81"/>
        <v>3.6603501034474206</v>
      </c>
      <c r="M70" s="57">
        <f t="shared" si="81"/>
        <v>3.6603501034474206</v>
      </c>
      <c r="N70" s="57">
        <f t="shared" si="81"/>
        <v>3.6603501034474206</v>
      </c>
      <c r="O70" s="57">
        <f t="shared" si="81"/>
        <v>3.6603501034474206</v>
      </c>
      <c r="P70" s="57">
        <f t="shared" si="81"/>
        <v>3.6603501034474206</v>
      </c>
      <c r="Q70" s="57">
        <f t="shared" si="81"/>
        <v>3.6603501034474206</v>
      </c>
      <c r="R70" s="57">
        <f t="shared" si="81"/>
        <v>3.6603501034474206</v>
      </c>
      <c r="S70" s="57">
        <f t="shared" si="81"/>
        <v>3.6603501034474206</v>
      </c>
      <c r="T70" s="57">
        <f t="shared" si="81"/>
        <v>3.6603501034474206</v>
      </c>
      <c r="U70" s="57">
        <f t="shared" si="81"/>
        <v>3.6603501034474206</v>
      </c>
      <c r="V70" s="57">
        <f t="shared" si="81"/>
        <v>3.6603501034474206</v>
      </c>
      <c r="W70" s="57">
        <f t="shared" si="81"/>
        <v>3.6603501034474206</v>
      </c>
      <c r="X70" s="57">
        <f t="shared" si="81"/>
        <v>3.6603501034474206</v>
      </c>
      <c r="Y70" s="57">
        <f t="shared" si="81"/>
        <v>3.6603501034474206</v>
      </c>
      <c r="Z70" s="57">
        <f t="shared" si="81"/>
        <v>3.6603501034474206</v>
      </c>
      <c r="AA70" s="57">
        <f t="shared" si="81"/>
        <v>3.6603501034474206</v>
      </c>
      <c r="AB70" s="57">
        <f t="shared" si="81"/>
        <v>3.6603501034474206</v>
      </c>
      <c r="AC70" s="57">
        <f t="shared" si="81"/>
        <v>3.6603501034474206</v>
      </c>
      <c r="AD70" s="57">
        <f t="shared" si="81"/>
        <v>3.6603501034474206</v>
      </c>
      <c r="AE70" s="57">
        <f t="shared" si="81"/>
        <v>3.6603501034474206</v>
      </c>
      <c r="AF70" s="57">
        <f t="shared" si="81"/>
        <v>3.6603501034474206</v>
      </c>
      <c r="AG70" s="57">
        <f t="shared" si="81"/>
        <v>3.6603501034474206</v>
      </c>
      <c r="AH70" s="57">
        <f t="shared" si="81"/>
        <v>3.6603501034474206</v>
      </c>
      <c r="AI70" s="57">
        <f t="shared" si="81"/>
        <v>3.6603501034474206</v>
      </c>
      <c r="AJ70" s="57">
        <f t="shared" si="81"/>
        <v>3.6603501034474206</v>
      </c>
    </row>
    <row r="71" spans="1:36" ht="12" x14ac:dyDescent="0.25">
      <c r="E71" s="22"/>
    </row>
    <row r="72" spans="1:36" ht="12" x14ac:dyDescent="0.25">
      <c r="E72" s="22"/>
    </row>
    <row r="73" spans="1:36" ht="12" x14ac:dyDescent="0.25">
      <c r="D73" s="107"/>
      <c r="E73" s="114" t="s">
        <v>310</v>
      </c>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row>
    <row r="74" spans="1:36" ht="12" x14ac:dyDescent="0.25">
      <c r="A74" s="141" t="str">
        <f>E74</f>
        <v>Crispus Attucks HS Upgrades: LED</v>
      </c>
      <c r="B74" s="133" t="s">
        <v>103</v>
      </c>
      <c r="D74" s="33" t="s">
        <v>311</v>
      </c>
      <c r="E74" s="34" t="s">
        <v>102</v>
      </c>
      <c r="F74" s="33"/>
      <c r="G74" s="58" t="s">
        <v>312</v>
      </c>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row>
    <row r="75" spans="1:36" x14ac:dyDescent="0.2">
      <c r="A75" s="141" t="str">
        <f t="shared" ref="A75:A86" si="82">A74</f>
        <v>Crispus Attucks HS Upgrades: LED</v>
      </c>
      <c r="B75" s="141" t="str">
        <f t="shared" ref="B75:B86" si="83">B74</f>
        <v>LED EE</v>
      </c>
      <c r="E75" t="s">
        <v>313</v>
      </c>
      <c r="F75" s="31">
        <f>(BaseBuildingConsmp!$C$54)</f>
        <v>3746.9954620529252</v>
      </c>
      <c r="G75" t="s">
        <v>294</v>
      </c>
      <c r="H75" s="96" t="s">
        <v>295</v>
      </c>
    </row>
    <row r="76" spans="1:36" x14ac:dyDescent="0.2">
      <c r="A76" s="141" t="str">
        <f t="shared" si="82"/>
        <v>Crispus Attucks HS Upgrades: LED</v>
      </c>
      <c r="B76" s="141" t="str">
        <f t="shared" si="83"/>
        <v>LED EE</v>
      </c>
      <c r="E76" t="s">
        <v>314</v>
      </c>
      <c r="F76" s="31">
        <f>(F75*0.09)</f>
        <v>337.22959158476323</v>
      </c>
      <c r="G76" t="s">
        <v>294</v>
      </c>
      <c r="H76" s="96"/>
    </row>
    <row r="77" spans="1:36" ht="12" x14ac:dyDescent="0.25">
      <c r="A77" s="141" t="str">
        <f t="shared" si="82"/>
        <v>Crispus Attucks HS Upgrades: LED</v>
      </c>
      <c r="B77" s="141" t="str">
        <f t="shared" si="83"/>
        <v>LED EE</v>
      </c>
      <c r="E77" s="1" t="s">
        <v>286</v>
      </c>
    </row>
    <row r="78" spans="1:36" x14ac:dyDescent="0.2">
      <c r="A78" s="141" t="str">
        <f t="shared" si="82"/>
        <v>Crispus Attucks HS Upgrades: LED</v>
      </c>
      <c r="B78" s="141" t="str">
        <f t="shared" si="83"/>
        <v>LED EE</v>
      </c>
      <c r="E78" t="s">
        <v>315</v>
      </c>
      <c r="F78" s="95">
        <f>($F76)</f>
        <v>337.22959158476323</v>
      </c>
      <c r="G78" s="95">
        <f t="shared" ref="G78:AJ78" si="84">($F76)</f>
        <v>337.22959158476323</v>
      </c>
      <c r="H78" s="95">
        <f t="shared" si="84"/>
        <v>337.22959158476323</v>
      </c>
      <c r="I78" s="95">
        <f t="shared" si="84"/>
        <v>337.22959158476323</v>
      </c>
      <c r="J78" s="95">
        <f t="shared" si="84"/>
        <v>337.22959158476323</v>
      </c>
      <c r="K78" s="95">
        <f t="shared" si="84"/>
        <v>337.22959158476323</v>
      </c>
      <c r="L78" s="95">
        <f t="shared" si="84"/>
        <v>337.22959158476323</v>
      </c>
      <c r="M78" s="95">
        <f t="shared" si="84"/>
        <v>337.22959158476323</v>
      </c>
      <c r="N78" s="95">
        <f t="shared" si="84"/>
        <v>337.22959158476323</v>
      </c>
      <c r="O78" s="95">
        <f t="shared" si="84"/>
        <v>337.22959158476323</v>
      </c>
      <c r="P78" s="95">
        <f t="shared" si="84"/>
        <v>337.22959158476323</v>
      </c>
      <c r="Q78" s="95">
        <f t="shared" si="84"/>
        <v>337.22959158476323</v>
      </c>
      <c r="R78" s="95">
        <f t="shared" si="84"/>
        <v>337.22959158476323</v>
      </c>
      <c r="S78" s="95">
        <f t="shared" si="84"/>
        <v>337.22959158476323</v>
      </c>
      <c r="T78" s="95">
        <f t="shared" si="84"/>
        <v>337.22959158476323</v>
      </c>
      <c r="U78" s="95">
        <f t="shared" si="84"/>
        <v>337.22959158476323</v>
      </c>
      <c r="V78" s="95">
        <f t="shared" si="84"/>
        <v>337.22959158476323</v>
      </c>
      <c r="W78" s="95">
        <f t="shared" si="84"/>
        <v>337.22959158476323</v>
      </c>
      <c r="X78" s="95">
        <f t="shared" si="84"/>
        <v>337.22959158476323</v>
      </c>
      <c r="Y78" s="95">
        <f t="shared" si="84"/>
        <v>337.22959158476323</v>
      </c>
      <c r="Z78" s="95">
        <f t="shared" si="84"/>
        <v>337.22959158476323</v>
      </c>
      <c r="AA78" s="95">
        <f t="shared" si="84"/>
        <v>337.22959158476323</v>
      </c>
      <c r="AB78" s="95">
        <f t="shared" si="84"/>
        <v>337.22959158476323</v>
      </c>
      <c r="AC78" s="95">
        <f t="shared" si="84"/>
        <v>337.22959158476323</v>
      </c>
      <c r="AD78" s="95">
        <f t="shared" si="84"/>
        <v>337.22959158476323</v>
      </c>
      <c r="AE78" s="95">
        <f t="shared" si="84"/>
        <v>337.22959158476323</v>
      </c>
      <c r="AF78" s="95">
        <f t="shared" si="84"/>
        <v>337.22959158476323</v>
      </c>
      <c r="AG78" s="95">
        <f t="shared" si="84"/>
        <v>337.22959158476323</v>
      </c>
      <c r="AH78" s="95">
        <f t="shared" si="84"/>
        <v>337.22959158476323</v>
      </c>
      <c r="AI78" s="95">
        <f t="shared" si="84"/>
        <v>337.22959158476323</v>
      </c>
      <c r="AJ78" s="95">
        <f t="shared" si="84"/>
        <v>337.22959158476323</v>
      </c>
    </row>
    <row r="79" spans="1:36" x14ac:dyDescent="0.2">
      <c r="A79" s="141" t="str">
        <f t="shared" si="82"/>
        <v>Crispus Attucks HS Upgrades: LED</v>
      </c>
      <c r="B79" s="141" t="str">
        <f t="shared" si="83"/>
        <v>LED EE</v>
      </c>
      <c r="E79" t="s">
        <v>316</v>
      </c>
      <c r="F79" s="56">
        <f>(F78)/$F$11/1000</f>
        <v>98.836339854854401</v>
      </c>
      <c r="G79" s="56">
        <f t="shared" ref="G79:AJ79" si="85">(G78)/$F$11/1000</f>
        <v>98.836339854854401</v>
      </c>
      <c r="H79" s="56">
        <f t="shared" si="85"/>
        <v>98.836339854854401</v>
      </c>
      <c r="I79" s="56">
        <f>(I78)/$F$11/1000</f>
        <v>98.836339854854401</v>
      </c>
      <c r="J79" s="56">
        <f>(J78)/$F$11/1000</f>
        <v>98.836339854854401</v>
      </c>
      <c r="K79" s="56">
        <f t="shared" si="85"/>
        <v>98.836339854854401</v>
      </c>
      <c r="L79" s="56">
        <f t="shared" si="85"/>
        <v>98.836339854854401</v>
      </c>
      <c r="M79" s="56">
        <f t="shared" si="85"/>
        <v>98.836339854854401</v>
      </c>
      <c r="N79" s="56">
        <f t="shared" si="85"/>
        <v>98.836339854854401</v>
      </c>
      <c r="O79" s="56">
        <f t="shared" si="85"/>
        <v>98.836339854854401</v>
      </c>
      <c r="P79" s="56">
        <f t="shared" si="85"/>
        <v>98.836339854854401</v>
      </c>
      <c r="Q79" s="56">
        <f t="shared" si="85"/>
        <v>98.836339854854401</v>
      </c>
      <c r="R79" s="56">
        <f t="shared" si="85"/>
        <v>98.836339854854401</v>
      </c>
      <c r="S79" s="56">
        <f t="shared" si="85"/>
        <v>98.836339854854401</v>
      </c>
      <c r="T79" s="56">
        <f t="shared" si="85"/>
        <v>98.836339854854401</v>
      </c>
      <c r="U79" s="56">
        <f t="shared" si="85"/>
        <v>98.836339854854401</v>
      </c>
      <c r="V79" s="56">
        <f t="shared" si="85"/>
        <v>98.836339854854401</v>
      </c>
      <c r="W79" s="56">
        <f t="shared" si="85"/>
        <v>98.836339854854401</v>
      </c>
      <c r="X79" s="56">
        <f t="shared" si="85"/>
        <v>98.836339854854401</v>
      </c>
      <c r="Y79" s="56">
        <f t="shared" si="85"/>
        <v>98.836339854854401</v>
      </c>
      <c r="Z79" s="56">
        <f t="shared" si="85"/>
        <v>98.836339854854401</v>
      </c>
      <c r="AA79" s="56">
        <f t="shared" si="85"/>
        <v>98.836339854854401</v>
      </c>
      <c r="AB79" s="56">
        <f t="shared" si="85"/>
        <v>98.836339854854401</v>
      </c>
      <c r="AC79" s="56">
        <f t="shared" si="85"/>
        <v>98.836339854854401</v>
      </c>
      <c r="AD79" s="56">
        <f t="shared" si="85"/>
        <v>98.836339854854401</v>
      </c>
      <c r="AE79" s="56">
        <f t="shared" si="85"/>
        <v>98.836339854854401</v>
      </c>
      <c r="AF79" s="56">
        <f t="shared" si="85"/>
        <v>98.836339854854401</v>
      </c>
      <c r="AG79" s="56">
        <f t="shared" si="85"/>
        <v>98.836339854854401</v>
      </c>
      <c r="AH79" s="56">
        <f t="shared" si="85"/>
        <v>98.836339854854401</v>
      </c>
      <c r="AI79" s="56">
        <f t="shared" si="85"/>
        <v>98.836339854854401</v>
      </c>
      <c r="AJ79" s="56">
        <f t="shared" si="85"/>
        <v>98.836339854854401</v>
      </c>
    </row>
    <row r="80" spans="1:36" x14ac:dyDescent="0.2">
      <c r="A80" s="141" t="str">
        <f t="shared" si="82"/>
        <v>Crispus Attucks HS Upgrades: LED</v>
      </c>
      <c r="B80" s="141" t="str">
        <f t="shared" si="83"/>
        <v>LED EE</v>
      </c>
      <c r="E80" t="s">
        <v>288</v>
      </c>
      <c r="F80" s="57"/>
      <c r="G80" s="57"/>
      <c r="H80" s="57"/>
      <c r="I80" s="57">
        <f>((I79*1000)*GridEF!I$23/1000000)</f>
        <v>70.864408508702766</v>
      </c>
      <c r="J80" s="57">
        <f>((J79*1000)*GridEF!J$23/1000000)</f>
        <v>67.910041319650915</v>
      </c>
      <c r="K80" s="57">
        <f>((K79*1000)*GridEF!K$23/1000000)</f>
        <v>66.658943504696097</v>
      </c>
      <c r="L80" s="57">
        <f>((L79*1000)*GridEF!L$23/1000000)</f>
        <v>57.52849947253106</v>
      </c>
      <c r="M80" s="57">
        <f>((M79*1000)*GridEF!M$23/1000000)</f>
        <v>46.694374430631427</v>
      </c>
      <c r="N80" s="57">
        <f>((N79*1000)*GridEF!N$23/1000000)</f>
        <v>42.611984883408546</v>
      </c>
      <c r="O80" s="57">
        <f>((O79*1000)*GridEF!O$23/1000000)</f>
        <v>37.046529374576714</v>
      </c>
      <c r="P80" s="57">
        <f>((P79*1000)*GridEF!P$23/1000000)</f>
        <v>30.967638146571193</v>
      </c>
      <c r="Q80" s="57">
        <f>((Q79*1000)*GridEF!Q$23/1000000)</f>
        <v>29.756387256706208</v>
      </c>
      <c r="R80" s="57">
        <f>((R79*1000)*GridEF!R$23/1000000)</f>
        <v>27.898204059034011</v>
      </c>
      <c r="S80" s="57">
        <f>((S79*1000)*GridEF!S$23/1000000)</f>
        <v>27.294384298911478</v>
      </c>
      <c r="T80" s="57">
        <f>((T79*1000)*GridEF!T$23/1000000)</f>
        <v>25.773499038518967</v>
      </c>
      <c r="U80" s="57">
        <f>((U79*1000)*GridEF!U$23/1000000)</f>
        <v>25.501166207859068</v>
      </c>
      <c r="V80" s="57">
        <f>((V79*1000)*GridEF!V$23/1000000)</f>
        <v>26.859259123316786</v>
      </c>
      <c r="W80" s="57">
        <f>((W79*1000)*GridEF!W$23/1000000)</f>
        <v>27.563455141300452</v>
      </c>
      <c r="X80" s="57">
        <f>((X79*1000)*GridEF!X$23/1000000)</f>
        <v>28.023236438920719</v>
      </c>
      <c r="Y80" s="57">
        <f>((Y79*1000)*GridEF!Y$23/1000000)</f>
        <v>27.214146970639742</v>
      </c>
      <c r="Z80" s="57">
        <f>((Z79*1000)*GridEF!Z$23/1000000)</f>
        <v>26.881067445458015</v>
      </c>
      <c r="AA80" s="57">
        <f>((AA79*1000)*GridEF!AA$23/1000000)</f>
        <v>27.233054795972802</v>
      </c>
      <c r="AB80" s="57">
        <f>((AB79*1000)*GridEF!AB$23/1000000)</f>
        <v>27.313273060539615</v>
      </c>
      <c r="AC80" s="57">
        <f>((AC79*1000)*GridEF!AC$23/1000000)</f>
        <v>27.090960432828748</v>
      </c>
      <c r="AD80" s="57">
        <f>((AD79*1000)*GridEF!AD$23/1000000)</f>
        <v>27.152316970541882</v>
      </c>
      <c r="AE80" s="57">
        <f>((AE79*1000)*GridEF!AE$23/1000000)</f>
        <v>25.839352280430695</v>
      </c>
      <c r="AF80" s="57">
        <f>((AF79*1000)*GridEF!AF$23/1000000)</f>
        <v>24.910205700649389</v>
      </c>
      <c r="AG80" s="57">
        <f>((AG79*1000)*GridEF!AG$23/1000000)</f>
        <v>25.038473073412412</v>
      </c>
      <c r="AH80" s="57">
        <f>((AH79*1000)*GridEF!AH$23/1000000)</f>
        <v>24.733104276523214</v>
      </c>
      <c r="AI80" s="57">
        <f>((AI79*1000)*GridEF!AI$23/1000000)</f>
        <v>24.407305872372032</v>
      </c>
      <c r="AJ80" s="57">
        <f>((AJ79*1000)*GridEF!AJ$23/1000000)</f>
        <v>23.1816606553611</v>
      </c>
    </row>
    <row r="81" spans="1:36" ht="12" x14ac:dyDescent="0.25">
      <c r="A81" s="141" t="str">
        <f t="shared" si="82"/>
        <v>Crispus Attucks HS Upgrades: LED</v>
      </c>
      <c r="B81" s="141" t="str">
        <f t="shared" si="83"/>
        <v>LED EE</v>
      </c>
      <c r="E81" s="1" t="s">
        <v>289</v>
      </c>
    </row>
    <row r="82" spans="1:36" x14ac:dyDescent="0.2">
      <c r="A82" s="141" t="str">
        <f t="shared" si="82"/>
        <v>Crispus Attucks HS Upgrades: LED</v>
      </c>
      <c r="B82" s="141" t="str">
        <f t="shared" si="83"/>
        <v>LED EE</v>
      </c>
      <c r="E82" t="s">
        <v>317</v>
      </c>
      <c r="F82" s="105"/>
      <c r="G82" s="105"/>
      <c r="H82" s="105"/>
      <c r="I82" s="105"/>
      <c r="J82" s="105">
        <v>1</v>
      </c>
      <c r="K82" s="105">
        <f t="shared" ref="K82:AJ82" si="86">J82</f>
        <v>1</v>
      </c>
      <c r="L82" s="104">
        <v>0.4</v>
      </c>
      <c r="M82" s="105">
        <f t="shared" si="86"/>
        <v>0.4</v>
      </c>
      <c r="N82" s="105">
        <f t="shared" si="86"/>
        <v>0.4</v>
      </c>
      <c r="O82" s="105">
        <f t="shared" si="86"/>
        <v>0.4</v>
      </c>
      <c r="P82" s="105">
        <f t="shared" si="86"/>
        <v>0.4</v>
      </c>
      <c r="Q82" s="105">
        <f t="shared" si="86"/>
        <v>0.4</v>
      </c>
      <c r="R82" s="105">
        <f t="shared" si="86"/>
        <v>0.4</v>
      </c>
      <c r="S82" s="105">
        <f t="shared" si="86"/>
        <v>0.4</v>
      </c>
      <c r="T82" s="105">
        <f t="shared" si="86"/>
        <v>0.4</v>
      </c>
      <c r="U82" s="105">
        <f t="shared" si="86"/>
        <v>0.4</v>
      </c>
      <c r="V82" s="105">
        <f t="shared" si="86"/>
        <v>0.4</v>
      </c>
      <c r="W82" s="105">
        <f t="shared" si="86"/>
        <v>0.4</v>
      </c>
      <c r="X82" s="105">
        <f t="shared" si="86"/>
        <v>0.4</v>
      </c>
      <c r="Y82" s="105">
        <f t="shared" si="86"/>
        <v>0.4</v>
      </c>
      <c r="Z82" s="105">
        <f t="shared" si="86"/>
        <v>0.4</v>
      </c>
      <c r="AA82" s="105">
        <f t="shared" si="86"/>
        <v>0.4</v>
      </c>
      <c r="AB82" s="105">
        <f t="shared" si="86"/>
        <v>0.4</v>
      </c>
      <c r="AC82" s="105">
        <f t="shared" si="86"/>
        <v>0.4</v>
      </c>
      <c r="AD82" s="105">
        <f t="shared" si="86"/>
        <v>0.4</v>
      </c>
      <c r="AE82" s="105">
        <f t="shared" si="86"/>
        <v>0.4</v>
      </c>
      <c r="AF82" s="105">
        <f t="shared" si="86"/>
        <v>0.4</v>
      </c>
      <c r="AG82" s="105">
        <f t="shared" si="86"/>
        <v>0.4</v>
      </c>
      <c r="AH82" s="105">
        <f t="shared" si="86"/>
        <v>0.4</v>
      </c>
      <c r="AI82" s="105">
        <f t="shared" si="86"/>
        <v>0.4</v>
      </c>
      <c r="AJ82" s="105">
        <f t="shared" si="86"/>
        <v>0.4</v>
      </c>
    </row>
    <row r="83" spans="1:36" x14ac:dyDescent="0.2">
      <c r="A83" s="141" t="str">
        <f t="shared" si="82"/>
        <v>Crispus Attucks HS Upgrades: LED</v>
      </c>
      <c r="B83" s="141" t="str">
        <f t="shared" si="83"/>
        <v>LED EE</v>
      </c>
      <c r="E83" t="s">
        <v>318</v>
      </c>
      <c r="F83" s="56"/>
      <c r="G83" s="56"/>
      <c r="H83" s="56"/>
      <c r="I83" s="56"/>
      <c r="J83" s="56">
        <f t="shared" ref="J83:K83" si="87">(J79*J82)</f>
        <v>98.836339854854401</v>
      </c>
      <c r="K83" s="56">
        <f t="shared" si="87"/>
        <v>98.836339854854401</v>
      </c>
      <c r="L83" s="56">
        <f>(L79*L82)</f>
        <v>39.534535941941762</v>
      </c>
      <c r="M83" s="56">
        <f t="shared" ref="M83:AJ83" si="88">(M79*M82)</f>
        <v>39.534535941941762</v>
      </c>
      <c r="N83" s="56">
        <f t="shared" si="88"/>
        <v>39.534535941941762</v>
      </c>
      <c r="O83" s="56">
        <f t="shared" si="88"/>
        <v>39.534535941941762</v>
      </c>
      <c r="P83" s="56">
        <f t="shared" si="88"/>
        <v>39.534535941941762</v>
      </c>
      <c r="Q83" s="56">
        <f t="shared" si="88"/>
        <v>39.534535941941762</v>
      </c>
      <c r="R83" s="56">
        <f t="shared" si="88"/>
        <v>39.534535941941762</v>
      </c>
      <c r="S83" s="56">
        <f t="shared" si="88"/>
        <v>39.534535941941762</v>
      </c>
      <c r="T83" s="56">
        <f t="shared" si="88"/>
        <v>39.534535941941762</v>
      </c>
      <c r="U83" s="56">
        <f t="shared" si="88"/>
        <v>39.534535941941762</v>
      </c>
      <c r="V83" s="56">
        <f t="shared" si="88"/>
        <v>39.534535941941762</v>
      </c>
      <c r="W83" s="56">
        <f t="shared" si="88"/>
        <v>39.534535941941762</v>
      </c>
      <c r="X83" s="56">
        <f t="shared" si="88"/>
        <v>39.534535941941762</v>
      </c>
      <c r="Y83" s="56">
        <f t="shared" si="88"/>
        <v>39.534535941941762</v>
      </c>
      <c r="Z83" s="56">
        <f t="shared" si="88"/>
        <v>39.534535941941762</v>
      </c>
      <c r="AA83" s="56">
        <f t="shared" si="88"/>
        <v>39.534535941941762</v>
      </c>
      <c r="AB83" s="56">
        <f t="shared" si="88"/>
        <v>39.534535941941762</v>
      </c>
      <c r="AC83" s="56">
        <f t="shared" si="88"/>
        <v>39.534535941941762</v>
      </c>
      <c r="AD83" s="56">
        <f t="shared" si="88"/>
        <v>39.534535941941762</v>
      </c>
      <c r="AE83" s="56">
        <f t="shared" si="88"/>
        <v>39.534535941941762</v>
      </c>
      <c r="AF83" s="56">
        <f t="shared" si="88"/>
        <v>39.534535941941762</v>
      </c>
      <c r="AG83" s="56">
        <f t="shared" si="88"/>
        <v>39.534535941941762</v>
      </c>
      <c r="AH83" s="56">
        <f t="shared" si="88"/>
        <v>39.534535941941762</v>
      </c>
      <c r="AI83" s="56">
        <f t="shared" si="88"/>
        <v>39.534535941941762</v>
      </c>
      <c r="AJ83" s="56">
        <f t="shared" si="88"/>
        <v>39.534535941941762</v>
      </c>
    </row>
    <row r="84" spans="1:36" x14ac:dyDescent="0.2">
      <c r="A84" s="141" t="str">
        <f t="shared" si="82"/>
        <v>Crispus Attucks HS Upgrades: LED</v>
      </c>
      <c r="B84" s="141" t="str">
        <f t="shared" si="83"/>
        <v>LED EE</v>
      </c>
      <c r="E84" t="s">
        <v>288</v>
      </c>
      <c r="F84" s="57"/>
      <c r="G84" s="57"/>
      <c r="H84" s="57"/>
      <c r="I84" s="57"/>
      <c r="J84" s="57">
        <f>(J83*1000)*GridEF!J$23/1000000</f>
        <v>67.910041319650915</v>
      </c>
      <c r="K84" s="57">
        <f>(K83*1000)*GridEF!K$23/1000000</f>
        <v>66.658943504696097</v>
      </c>
      <c r="L84" s="57">
        <f>(L83*1000)*GridEF!L$23/1000000</f>
        <v>23.011399789012426</v>
      </c>
      <c r="M84" s="57">
        <f>(M83*1000)*GridEF!M$23/1000000</f>
        <v>18.677749772252575</v>
      </c>
      <c r="N84" s="57">
        <f>(N83*1000)*GridEF!N$23/1000000</f>
        <v>17.044793953363424</v>
      </c>
      <c r="O84" s="57">
        <f>(O83*1000)*GridEF!O$23/1000000</f>
        <v>14.818611749830689</v>
      </c>
      <c r="P84" s="57">
        <f>(P83*1000)*GridEF!P$23/1000000</f>
        <v>12.387055258628479</v>
      </c>
      <c r="Q84" s="57">
        <f>(Q83*1000)*GridEF!Q$23/1000000</f>
        <v>11.902554902682484</v>
      </c>
      <c r="R84" s="57">
        <f>(R83*1000)*GridEF!R$23/1000000</f>
        <v>11.159281623613605</v>
      </c>
      <c r="S84" s="57">
        <f>(S83*1000)*GridEF!S$23/1000000</f>
        <v>10.917753719564592</v>
      </c>
      <c r="T84" s="57">
        <f>(T83*1000)*GridEF!T$23/1000000</f>
        <v>10.309399615407587</v>
      </c>
      <c r="U84" s="57">
        <f>(U83*1000)*GridEF!U$23/1000000</f>
        <v>10.200466483143629</v>
      </c>
      <c r="V84" s="57">
        <f>(V83*1000)*GridEF!V$23/1000000</f>
        <v>10.743703649326715</v>
      </c>
      <c r="W84" s="57">
        <f>(W83*1000)*GridEF!W$23/1000000</f>
        <v>11.025382056520183</v>
      </c>
      <c r="X84" s="57">
        <f>(X83*1000)*GridEF!X$23/1000000</f>
        <v>11.209294575568286</v>
      </c>
      <c r="Y84" s="57">
        <f>(Y83*1000)*GridEF!Y$23/1000000</f>
        <v>10.885658788255899</v>
      </c>
      <c r="Z84" s="57">
        <f>(Z83*1000)*GridEF!Z$23/1000000</f>
        <v>10.752426978183205</v>
      </c>
      <c r="AA84" s="57">
        <f>(AA83*1000)*GridEF!AA$23/1000000</f>
        <v>10.893221918389122</v>
      </c>
      <c r="AB84" s="57">
        <f>(AB83*1000)*GridEF!AB$23/1000000</f>
        <v>10.925309224215846</v>
      </c>
      <c r="AC84" s="57">
        <f>(AC83*1000)*GridEF!AC$23/1000000</f>
        <v>10.836384173131499</v>
      </c>
      <c r="AD84" s="57">
        <f>(AD83*1000)*GridEF!AD$23/1000000</f>
        <v>10.860926788216755</v>
      </c>
      <c r="AE84" s="57">
        <f>(AE83*1000)*GridEF!AE$23/1000000</f>
        <v>10.33574091217228</v>
      </c>
      <c r="AF84" s="57">
        <f>(AF83*1000)*GridEF!AF$23/1000000</f>
        <v>9.9640822802597562</v>
      </c>
      <c r="AG84" s="57">
        <f>(AG83*1000)*GridEF!AG$23/1000000</f>
        <v>10.015389229364965</v>
      </c>
      <c r="AH84" s="57">
        <f>(AH83*1000)*GridEF!AH$23/1000000</f>
        <v>9.8932417106092849</v>
      </c>
      <c r="AI84" s="57">
        <f>(AI83*1000)*GridEF!AI$23/1000000</f>
        <v>9.7629223489488144</v>
      </c>
      <c r="AJ84" s="57">
        <f>(AJ83*1000)*GridEF!AJ$23/1000000</f>
        <v>9.2726642621444402</v>
      </c>
    </row>
    <row r="85" spans="1:36" ht="12" x14ac:dyDescent="0.25">
      <c r="A85" s="141" t="str">
        <f t="shared" si="82"/>
        <v>Crispus Attucks HS Upgrades: LED</v>
      </c>
      <c r="B85" s="141" t="str">
        <f t="shared" si="83"/>
        <v>LED EE</v>
      </c>
      <c r="F85" s="23" t="s">
        <v>156</v>
      </c>
      <c r="G85" s="23" t="s">
        <v>130</v>
      </c>
      <c r="H85" s="23" t="s">
        <v>157</v>
      </c>
    </row>
    <row r="86" spans="1:36" ht="12" x14ac:dyDescent="0.25">
      <c r="A86" s="141" t="str">
        <f t="shared" si="82"/>
        <v>Crispus Attucks HS Upgrades: LED</v>
      </c>
      <c r="B86" s="141" t="str">
        <f t="shared" si="83"/>
        <v>LED EE</v>
      </c>
      <c r="C86" s="141" t="s">
        <v>140</v>
      </c>
      <c r="E86" s="1" t="s">
        <v>251</v>
      </c>
      <c r="F86" s="119">
        <f>AVERAGE(K86:AJ86)</f>
        <v>17.181081678623453</v>
      </c>
      <c r="G86" s="119">
        <f>SUM(K86:P86)</f>
        <v>128.90941578463136</v>
      </c>
      <c r="H86" s="119">
        <f>SUM(K86:AJ86)</f>
        <v>446.70812364420982</v>
      </c>
      <c r="I86" s="29" t="s">
        <v>142</v>
      </c>
      <c r="J86" s="57"/>
      <c r="K86" s="57">
        <f t="shared" ref="K86:AJ86" si="89">K80-K84</f>
        <v>0</v>
      </c>
      <c r="L86" s="57">
        <f t="shared" si="89"/>
        <v>34.517099683518637</v>
      </c>
      <c r="M86" s="57">
        <f t="shared" si="89"/>
        <v>28.016624658378852</v>
      </c>
      <c r="N86" s="57">
        <f t="shared" si="89"/>
        <v>25.567190930045122</v>
      </c>
      <c r="O86" s="57">
        <f t="shared" si="89"/>
        <v>22.227917624746027</v>
      </c>
      <c r="P86" s="57">
        <f t="shared" si="89"/>
        <v>18.580582887942715</v>
      </c>
      <c r="Q86" s="57">
        <f t="shared" si="89"/>
        <v>17.853832354023723</v>
      </c>
      <c r="R86" s="57">
        <f t="shared" si="89"/>
        <v>16.738922435420406</v>
      </c>
      <c r="S86" s="57">
        <f t="shared" si="89"/>
        <v>16.376630579346887</v>
      </c>
      <c r="T86" s="57">
        <f t="shared" si="89"/>
        <v>15.46409942311138</v>
      </c>
      <c r="U86" s="57">
        <f t="shared" si="89"/>
        <v>15.300699724715439</v>
      </c>
      <c r="V86" s="57">
        <f t="shared" si="89"/>
        <v>16.115555473990071</v>
      </c>
      <c r="W86" s="57">
        <f t="shared" si="89"/>
        <v>16.538073084780269</v>
      </c>
      <c r="X86" s="57">
        <f t="shared" si="89"/>
        <v>16.813941863352433</v>
      </c>
      <c r="Y86" s="57">
        <f t="shared" si="89"/>
        <v>16.328488182383843</v>
      </c>
      <c r="Z86" s="57">
        <f t="shared" si="89"/>
        <v>16.12864046727481</v>
      </c>
      <c r="AA86" s="57">
        <f t="shared" si="89"/>
        <v>16.339832877583682</v>
      </c>
      <c r="AB86" s="57">
        <f t="shared" si="89"/>
        <v>16.38796383632377</v>
      </c>
      <c r="AC86" s="57">
        <f t="shared" si="89"/>
        <v>16.254576259697249</v>
      </c>
      <c r="AD86" s="57">
        <f t="shared" si="89"/>
        <v>16.291390182325127</v>
      </c>
      <c r="AE86" s="57">
        <f t="shared" si="89"/>
        <v>15.503611368258415</v>
      </c>
      <c r="AF86" s="57">
        <f t="shared" si="89"/>
        <v>14.946123420389632</v>
      </c>
      <c r="AG86" s="57">
        <f t="shared" si="89"/>
        <v>15.023083844047447</v>
      </c>
      <c r="AH86" s="57">
        <f t="shared" si="89"/>
        <v>14.839862565913929</v>
      </c>
      <c r="AI86" s="57">
        <f t="shared" si="89"/>
        <v>14.644383523423217</v>
      </c>
      <c r="AJ86" s="57">
        <f t="shared" si="89"/>
        <v>13.908996393216659</v>
      </c>
    </row>
    <row r="87" spans="1:36" ht="12" x14ac:dyDescent="0.25">
      <c r="E87" s="1"/>
      <c r="F87" s="57"/>
      <c r="G87" s="61"/>
      <c r="H87" s="61"/>
      <c r="I87" s="29"/>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row>
    <row r="88" spans="1:36" ht="12" x14ac:dyDescent="0.25">
      <c r="E88" s="1"/>
      <c r="F88" s="57"/>
      <c r="G88" s="61"/>
      <c r="H88" s="61"/>
      <c r="I88" s="29"/>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row>
    <row r="89" spans="1:36" ht="12" x14ac:dyDescent="0.25">
      <c r="D89" s="107"/>
      <c r="E89" s="114" t="s">
        <v>319</v>
      </c>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7"/>
      <c r="AG89" s="107"/>
      <c r="AH89" s="107"/>
      <c r="AI89" s="107"/>
      <c r="AJ89" s="107"/>
    </row>
    <row r="90" spans="1:36" ht="12" x14ac:dyDescent="0.25">
      <c r="A90" s="141" t="str">
        <f>E90</f>
        <v>Crispus Attucks High School Energy Efficiency Renovations</v>
      </c>
      <c r="B90" s="133" t="s">
        <v>91</v>
      </c>
      <c r="D90" s="33"/>
      <c r="E90" s="34" t="s">
        <v>12</v>
      </c>
      <c r="F90" s="33"/>
      <c r="G90" s="123" t="s">
        <v>320</v>
      </c>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row>
    <row r="91" spans="1:36" ht="12" x14ac:dyDescent="0.25">
      <c r="A91" s="141" t="str">
        <f t="shared" ref="A91:B92" si="90">A90</f>
        <v>Crispus Attucks High School Energy Efficiency Renovations</v>
      </c>
      <c r="B91" s="141" t="str">
        <f t="shared" si="90"/>
        <v>Total for Mult. Meas.</v>
      </c>
      <c r="C91" s="141" t="s">
        <v>64</v>
      </c>
      <c r="E91" s="1" t="s">
        <v>219</v>
      </c>
      <c r="F91" s="23" t="s">
        <v>156</v>
      </c>
      <c r="G91" s="23" t="s">
        <v>130</v>
      </c>
      <c r="H91" s="23" t="s">
        <v>157</v>
      </c>
    </row>
    <row r="92" spans="1:36" ht="12" x14ac:dyDescent="0.25">
      <c r="A92" s="141" t="str">
        <f t="shared" si="90"/>
        <v>Crispus Attucks High School Energy Efficiency Renovations</v>
      </c>
      <c r="B92" s="141" t="str">
        <f t="shared" si="90"/>
        <v>Total for Mult. Meas.</v>
      </c>
      <c r="C92" s="141" t="s">
        <v>140</v>
      </c>
      <c r="E92" s="22"/>
      <c r="F92" s="119">
        <f>AVERAGE(K92:AJ92)</f>
        <v>27.070906836302054</v>
      </c>
      <c r="G92" s="119">
        <f>SUM(K92:P92)</f>
        <v>180.3365066045601</v>
      </c>
      <c r="H92" s="119">
        <f>SUM(K92:AJ92)</f>
        <v>703.84357774385342</v>
      </c>
      <c r="I92" s="29" t="s">
        <v>142</v>
      </c>
      <c r="K92" s="57">
        <f t="shared" ref="K92:AJ92" si="91">K55+K70+K86</f>
        <v>0</v>
      </c>
      <c r="L92" s="57">
        <f t="shared" si="91"/>
        <v>44.802517847504383</v>
      </c>
      <c r="M92" s="57">
        <f t="shared" si="91"/>
        <v>38.302042822364598</v>
      </c>
      <c r="N92" s="57">
        <f t="shared" si="91"/>
        <v>35.852609094030868</v>
      </c>
      <c r="O92" s="57">
        <f t="shared" si="91"/>
        <v>32.513335788731773</v>
      </c>
      <c r="P92" s="57">
        <f t="shared" si="91"/>
        <v>28.86600105192846</v>
      </c>
      <c r="Q92" s="57">
        <f t="shared" si="91"/>
        <v>28.139250518009469</v>
      </c>
      <c r="R92" s="57">
        <f t="shared" si="91"/>
        <v>27.024340599406152</v>
      </c>
      <c r="S92" s="57">
        <f t="shared" si="91"/>
        <v>26.662048743332633</v>
      </c>
      <c r="T92" s="57">
        <f t="shared" si="91"/>
        <v>25.749517587097124</v>
      </c>
      <c r="U92" s="57">
        <f t="shared" si="91"/>
        <v>25.586117888701185</v>
      </c>
      <c r="V92" s="57">
        <f t="shared" si="91"/>
        <v>26.400973637975817</v>
      </c>
      <c r="W92" s="57">
        <f t="shared" si="91"/>
        <v>26.823491248766015</v>
      </c>
      <c r="X92" s="57">
        <f t="shared" si="91"/>
        <v>27.099360027338179</v>
      </c>
      <c r="Y92" s="57">
        <f t="shared" si="91"/>
        <v>26.613906346369589</v>
      </c>
      <c r="Z92" s="57">
        <f t="shared" si="91"/>
        <v>26.414058631260556</v>
      </c>
      <c r="AA92" s="57">
        <f t="shared" si="91"/>
        <v>26.625251041569427</v>
      </c>
      <c r="AB92" s="57">
        <f t="shared" si="91"/>
        <v>26.673382000309516</v>
      </c>
      <c r="AC92" s="57">
        <f t="shared" si="91"/>
        <v>26.539994423682995</v>
      </c>
      <c r="AD92" s="57">
        <f t="shared" si="91"/>
        <v>26.576808346310873</v>
      </c>
      <c r="AE92" s="57">
        <f t="shared" si="91"/>
        <v>25.789029532244161</v>
      </c>
      <c r="AF92" s="57">
        <f t="shared" si="91"/>
        <v>25.231541584375378</v>
      </c>
      <c r="AG92" s="57">
        <f t="shared" si="91"/>
        <v>25.308502008033194</v>
      </c>
      <c r="AH92" s="57">
        <f t="shared" si="91"/>
        <v>25.125280729899675</v>
      </c>
      <c r="AI92" s="57">
        <f t="shared" si="91"/>
        <v>24.929801687408961</v>
      </c>
      <c r="AJ92" s="57">
        <f t="shared" si="91"/>
        <v>24.194414557202407</v>
      </c>
    </row>
    <row r="93" spans="1:36" ht="12" x14ac:dyDescent="0.25">
      <c r="A93" s="141"/>
      <c r="B93" s="141"/>
      <c r="C93" s="141"/>
      <c r="F93" s="335"/>
      <c r="G93" s="335"/>
      <c r="H93" s="335"/>
      <c r="I93" s="29"/>
      <c r="K93" s="333"/>
      <c r="L93" s="333"/>
      <c r="M93" s="333"/>
      <c r="N93" s="333"/>
      <c r="O93" s="333"/>
      <c r="P93" s="333"/>
      <c r="Q93" s="333"/>
      <c r="R93" s="333"/>
      <c r="S93" s="333"/>
      <c r="T93" s="333"/>
      <c r="U93" s="333"/>
      <c r="V93" s="333"/>
      <c r="W93" s="333"/>
      <c r="X93" s="333"/>
      <c r="Y93" s="333"/>
      <c r="Z93" s="333"/>
      <c r="AA93" s="333"/>
      <c r="AB93" s="333"/>
      <c r="AC93" s="333"/>
      <c r="AD93" s="333"/>
      <c r="AE93" s="333"/>
      <c r="AF93" s="333"/>
      <c r="AG93" s="333"/>
      <c r="AH93" s="333"/>
      <c r="AI93" s="333"/>
      <c r="AJ93" s="333"/>
    </row>
    <row r="94" spans="1:36" ht="12" x14ac:dyDescent="0.25">
      <c r="E94" s="22"/>
      <c r="G94" s="61"/>
      <c r="H94" s="61"/>
      <c r="I94" s="29"/>
    </row>
    <row r="95" spans="1:36" ht="12" x14ac:dyDescent="0.25">
      <c r="A95" s="141" t="str">
        <f>E95</f>
        <v>Indianapolis Arts Center Upgrades</v>
      </c>
      <c r="B95" s="133" t="s">
        <v>91</v>
      </c>
      <c r="D95" s="33"/>
      <c r="E95" s="34" t="s">
        <v>13</v>
      </c>
      <c r="F95" s="33"/>
      <c r="G95" s="123" t="s">
        <v>321</v>
      </c>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row>
    <row r="96" spans="1:36" ht="12" x14ac:dyDescent="0.25">
      <c r="A96" s="141" t="str">
        <f t="shared" ref="A96:B97" si="92">A95</f>
        <v>Indianapolis Arts Center Upgrades</v>
      </c>
      <c r="B96" s="141" t="str">
        <f t="shared" si="92"/>
        <v>Total for Mult. Meas.</v>
      </c>
      <c r="C96" s="141" t="s">
        <v>64</v>
      </c>
      <c r="E96" s="1" t="s">
        <v>219</v>
      </c>
      <c r="F96" s="23" t="s">
        <v>156</v>
      </c>
      <c r="G96" s="23" t="s">
        <v>130</v>
      </c>
      <c r="H96" s="23" t="s">
        <v>157</v>
      </c>
    </row>
    <row r="97" spans="1:36" ht="12" x14ac:dyDescent="0.25">
      <c r="A97" s="141" t="str">
        <f t="shared" si="92"/>
        <v>Indianapolis Arts Center Upgrades</v>
      </c>
      <c r="B97" s="141" t="str">
        <f t="shared" si="92"/>
        <v>Total for Mult. Meas.</v>
      </c>
      <c r="C97" s="141" t="s">
        <v>140</v>
      </c>
      <c r="E97" s="22"/>
      <c r="F97" s="119">
        <f>AVERAGE(K97:AJ97)</f>
        <v>70.101622825556731</v>
      </c>
      <c r="G97" s="119">
        <f>SUM(K97:P97)</f>
        <v>513.19872333408716</v>
      </c>
      <c r="H97" s="119">
        <f>SUM(K97:AJ97)</f>
        <v>1822.642193464475</v>
      </c>
      <c r="I97" s="29" t="s">
        <v>142</v>
      </c>
      <c r="K97" s="57">
        <f>K41+Solar!K16</f>
        <v>0</v>
      </c>
      <c r="L97" s="57">
        <f>L41+Solar!L16</f>
        <v>135.46106455247519</v>
      </c>
      <c r="M97" s="57">
        <f>M41+Solar!M16</f>
        <v>111.03646447996023</v>
      </c>
      <c r="N97" s="57">
        <f>N41+Solar!N16</f>
        <v>101.83306949923815</v>
      </c>
      <c r="O97" s="57">
        <f>O41+Solar!O16</f>
        <v>89.286230276053558</v>
      </c>
      <c r="P97" s="57">
        <f>P41+Solar!P16</f>
        <v>75.581894526360074</v>
      </c>
      <c r="Q97" s="57">
        <f>Q41+Solar!Q16</f>
        <v>72.851233909280566</v>
      </c>
      <c r="R97" s="57">
        <f>R41+Solar!R16</f>
        <v>68.662120225518549</v>
      </c>
      <c r="S97" s="57">
        <f>S41+Solar!S16</f>
        <v>67.300860677577347</v>
      </c>
      <c r="T97" s="57">
        <f>T41+Solar!T16</f>
        <v>63.872156089287252</v>
      </c>
      <c r="U97" s="57">
        <f>U41+Solar!U16</f>
        <v>63.258205221103651</v>
      </c>
      <c r="V97" s="57">
        <f>V41+Solar!V16</f>
        <v>66.319908514455577</v>
      </c>
      <c r="W97" s="57">
        <f>W41+Solar!W16</f>
        <v>67.907457674668407</v>
      </c>
      <c r="X97" s="57">
        <f>X41+Solar!X16</f>
        <v>68.943994937416107</v>
      </c>
      <c r="Y97" s="57">
        <f>Y41+Solar!Y16</f>
        <v>67.119972544355235</v>
      </c>
      <c r="Z97" s="57">
        <f>Z41+Solar!Z16</f>
        <v>66.369073494967807</v>
      </c>
      <c r="AA97" s="57">
        <f>AA41+Solar!AA16</f>
        <v>67.162598605086004</v>
      </c>
      <c r="AB97" s="57">
        <f>AB41+Solar!AB16</f>
        <v>67.343443760830311</v>
      </c>
      <c r="AC97" s="57">
        <f>AC41+Solar!AC16</f>
        <v>66.842259124146835</v>
      </c>
      <c r="AD97" s="57">
        <f>AD41+Solar!AD16</f>
        <v>66.980582144204476</v>
      </c>
      <c r="AE97" s="57">
        <f>AE41+Solar!AE16</f>
        <v>64.020616540957519</v>
      </c>
      <c r="AF97" s="57">
        <f>AF41+Solar!AF16</f>
        <v>61.925935749279624</v>
      </c>
      <c r="AG97" s="57">
        <f>AG41+Solar!AG16</f>
        <v>62.215103473481911</v>
      </c>
      <c r="AH97" s="57">
        <f>AH41+Solar!AH16</f>
        <v>61.526675869979186</v>
      </c>
      <c r="AI97" s="57">
        <f>AI41+Solar!AI16</f>
        <v>60.792191479695568</v>
      </c>
      <c r="AJ97" s="57">
        <f>AJ41+Solar!AJ16</f>
        <v>58.029080094095946</v>
      </c>
    </row>
    <row r="98" spans="1:36" ht="12" x14ac:dyDescent="0.25">
      <c r="A98" s="141"/>
      <c r="B98" s="141"/>
      <c r="C98" s="141"/>
      <c r="F98" s="335"/>
      <c r="G98" s="335"/>
      <c r="H98" s="335"/>
      <c r="I98" s="29"/>
      <c r="K98" s="333"/>
      <c r="L98" s="333"/>
      <c r="M98" s="333"/>
      <c r="N98" s="333"/>
      <c r="O98" s="333"/>
      <c r="P98" s="333"/>
      <c r="Q98" s="333"/>
      <c r="R98" s="333"/>
      <c r="S98" s="333"/>
      <c r="T98" s="333"/>
      <c r="U98" s="333"/>
      <c r="V98" s="333"/>
      <c r="W98" s="333"/>
      <c r="X98" s="333"/>
      <c r="Y98" s="333"/>
      <c r="Z98" s="333"/>
      <c r="AA98" s="333"/>
      <c r="AB98" s="333"/>
      <c r="AC98" s="333"/>
      <c r="AD98" s="333"/>
      <c r="AE98" s="333"/>
      <c r="AF98" s="333"/>
      <c r="AG98" s="333"/>
      <c r="AH98" s="333"/>
      <c r="AI98" s="333"/>
      <c r="AJ98" s="333"/>
    </row>
    <row r="99" spans="1:36" ht="12" x14ac:dyDescent="0.25">
      <c r="E99" s="22"/>
      <c r="G99" s="61"/>
      <c r="H99" s="61"/>
      <c r="I99" s="29"/>
    </row>
    <row r="100" spans="1:36" ht="12" x14ac:dyDescent="0.25">
      <c r="D100" s="107"/>
      <c r="E100" s="114" t="s">
        <v>322</v>
      </c>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row>
    <row r="101" spans="1:36" ht="12" x14ac:dyDescent="0.25">
      <c r="A101" s="141" t="str">
        <f>E101</f>
        <v>Rolls Royce HVAC Optimization &amp; Submetering</v>
      </c>
      <c r="B101" s="133" t="s">
        <v>116</v>
      </c>
      <c r="D101" s="261"/>
      <c r="E101" s="34" t="s">
        <v>10</v>
      </c>
      <c r="F101" s="33"/>
      <c r="G101" s="58"/>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row>
    <row r="102" spans="1:36" x14ac:dyDescent="0.2">
      <c r="A102" s="141" t="str">
        <f>A101</f>
        <v>Rolls Royce HVAC Optimization &amp; Submetering</v>
      </c>
      <c r="B102" s="141" t="str">
        <f>B101</f>
        <v>Ind EE</v>
      </c>
      <c r="E102" t="s">
        <v>323</v>
      </c>
      <c r="F102" s="31">
        <f>899876/1000</f>
        <v>899.87599999999998</v>
      </c>
      <c r="G102" t="s">
        <v>237</v>
      </c>
      <c r="H102" t="s">
        <v>250</v>
      </c>
      <c r="I102" s="29"/>
    </row>
    <row r="103" spans="1:36" x14ac:dyDescent="0.2">
      <c r="A103" s="141" t="str">
        <f t="shared" ref="A103:A109" si="93">A102</f>
        <v>Rolls Royce HVAC Optimization &amp; Submetering</v>
      </c>
      <c r="B103" s="141" t="str">
        <f t="shared" ref="B103:B109" si="94">B102</f>
        <v>Ind EE</v>
      </c>
      <c r="E103" t="s">
        <v>324</v>
      </c>
      <c r="F103" s="31">
        <v>6977</v>
      </c>
      <c r="G103" t="s">
        <v>294</v>
      </c>
      <c r="H103" t="s">
        <v>250</v>
      </c>
      <c r="I103" s="29"/>
    </row>
    <row r="104" spans="1:36" x14ac:dyDescent="0.2">
      <c r="A104" s="141" t="str">
        <f t="shared" si="93"/>
        <v>Rolls Royce HVAC Optimization &amp; Submetering</v>
      </c>
      <c r="B104" s="141" t="str">
        <f t="shared" si="94"/>
        <v>Ind EE</v>
      </c>
      <c r="E104" t="s">
        <v>548</v>
      </c>
      <c r="F104" s="95">
        <f>F103+(F102*$F$11*GridEF!M11)</f>
        <v>6977.4646818185829</v>
      </c>
      <c r="G104" t="s">
        <v>342</v>
      </c>
      <c r="H104" s="96" t="s">
        <v>553</v>
      </c>
      <c r="K104" s="122"/>
    </row>
    <row r="105" spans="1:36" ht="12" x14ac:dyDescent="0.25">
      <c r="A105" s="141" t="str">
        <f t="shared" si="93"/>
        <v>Rolls Royce HVAC Optimization &amp; Submetering</v>
      </c>
      <c r="B105" s="141" t="str">
        <f t="shared" si="94"/>
        <v>Ind EE</v>
      </c>
      <c r="G105" s="61"/>
      <c r="H105" s="61"/>
      <c r="I105" s="29"/>
    </row>
    <row r="106" spans="1:36" ht="12" x14ac:dyDescent="0.25">
      <c r="A106" s="141" t="str">
        <f t="shared" si="93"/>
        <v>Rolls Royce HVAC Optimization &amp; Submetering</v>
      </c>
      <c r="B106" s="141" t="str">
        <f t="shared" si="94"/>
        <v>Ind EE</v>
      </c>
      <c r="E106" t="s">
        <v>325</v>
      </c>
      <c r="G106" s="61"/>
      <c r="H106" s="61"/>
      <c r="I106" s="29"/>
      <c r="L106" s="57">
        <f>(($F102*1000)*GridEF!L$23/1000000)</f>
        <v>523.78018112940788</v>
      </c>
      <c r="M106" s="57">
        <f>(($F102*1000)*GridEF!M$23/1000000)</f>
        <v>425.13863774038867</v>
      </c>
      <c r="N106" s="57">
        <f>(($F102*1000)*GridEF!N$23/1000000)</f>
        <v>387.96967355584235</v>
      </c>
      <c r="O106" s="57">
        <f>(($F102*1000)*GridEF!O$23/1000000)</f>
        <v>337.29782705869007</v>
      </c>
      <c r="P106" s="57">
        <f>(($F102*1000)*GridEF!P$23/1000000)</f>
        <v>281.95129833528728</v>
      </c>
      <c r="Q106" s="57">
        <f>(($F102*1000)*GridEF!Q$23/1000000)</f>
        <v>270.92321284194725</v>
      </c>
      <c r="R106" s="57">
        <f>(($F102*1000)*GridEF!R$23/1000000)</f>
        <v>254.00499768298781</v>
      </c>
      <c r="S106" s="57">
        <f>(($F102*1000)*GridEF!S$23/1000000)</f>
        <v>248.50739516899367</v>
      </c>
      <c r="T106" s="57">
        <f>(($F102*1000)*GridEF!T$23/1000000)</f>
        <v>234.66017918961978</v>
      </c>
      <c r="U106" s="57">
        <f>(($F102*1000)*GridEF!U$23/1000000)</f>
        <v>232.18066832668418</v>
      </c>
      <c r="V106" s="57">
        <f>(($F102*1000)*GridEF!V$23/1000000)</f>
        <v>244.54570756412619</v>
      </c>
      <c r="W106" s="57">
        <f>(($F102*1000)*GridEF!W$23/1000000)</f>
        <v>250.95720658169071</v>
      </c>
      <c r="X106" s="57">
        <f>(($F102*1000)*GridEF!X$23/1000000)</f>
        <v>255.14338097447919</v>
      </c>
      <c r="Y106" s="57">
        <f>(($F102*1000)*GridEF!Y$23/1000000)</f>
        <v>247.77685773588064</v>
      </c>
      <c r="Z106" s="57">
        <f>(($F102*1000)*GridEF!Z$23/1000000)</f>
        <v>244.74426596606597</v>
      </c>
      <c r="AA106" s="57">
        <f>(($F102*1000)*GridEF!AA$23/1000000)</f>
        <v>247.94900796174286</v>
      </c>
      <c r="AB106" s="57">
        <f>(($F102*1000)*GridEF!AB$23/1000000)</f>
        <v>248.67937182539194</v>
      </c>
      <c r="AC106" s="57">
        <f>(($F102*1000)*GridEF!AC$23/1000000)</f>
        <v>246.65528029723814</v>
      </c>
      <c r="AD106" s="57">
        <f>(($F102*1000)*GridEF!AD$23/1000000)</f>
        <v>247.21391364821238</v>
      </c>
      <c r="AE106" s="57">
        <f>(($F102*1000)*GridEF!AE$23/1000000)</f>
        <v>235.25975371864004</v>
      </c>
      <c r="AF106" s="57">
        <f>(($F102*1000)*GridEF!AF$23/1000000)</f>
        <v>226.80014555371648</v>
      </c>
      <c r="AG106" s="57">
        <f>(($F102*1000)*GridEF!AG$23/1000000)</f>
        <v>227.9679825102651</v>
      </c>
      <c r="AH106" s="57">
        <f>(($F102*1000)*GridEF!AH$23/1000000)</f>
        <v>225.18768882604923</v>
      </c>
      <c r="AI106" s="57">
        <f>(($F102*1000)*GridEF!AI$23/1000000)</f>
        <v>222.22138953608672</v>
      </c>
      <c r="AJ106" s="57">
        <f>(($F102*1000)*GridEF!AJ$23/1000000)</f>
        <v>211.06224789928967</v>
      </c>
    </row>
    <row r="107" spans="1:36" x14ac:dyDescent="0.2">
      <c r="A107" s="141" t="str">
        <f t="shared" si="93"/>
        <v>Rolls Royce HVAC Optimization &amp; Submetering</v>
      </c>
      <c r="B107" s="141" t="str">
        <f t="shared" si="94"/>
        <v>Ind EE</v>
      </c>
      <c r="E107" t="s">
        <v>326</v>
      </c>
      <c r="F107" s="57"/>
      <c r="G107" s="57"/>
      <c r="H107" s="57"/>
      <c r="I107" s="57"/>
      <c r="J107" s="57"/>
      <c r="K107" s="57"/>
      <c r="L107" s="57">
        <f>$F103*$F$10</f>
        <v>369.92053999999996</v>
      </c>
      <c r="M107" s="57">
        <f t="shared" ref="M107:AJ107" si="95">$F103*$F$10</f>
        <v>369.92053999999996</v>
      </c>
      <c r="N107" s="57">
        <f t="shared" si="95"/>
        <v>369.92053999999996</v>
      </c>
      <c r="O107" s="57">
        <f t="shared" si="95"/>
        <v>369.92053999999996</v>
      </c>
      <c r="P107" s="57">
        <f t="shared" si="95"/>
        <v>369.92053999999996</v>
      </c>
      <c r="Q107" s="57">
        <f t="shared" si="95"/>
        <v>369.92053999999996</v>
      </c>
      <c r="R107" s="57">
        <f t="shared" si="95"/>
        <v>369.92053999999996</v>
      </c>
      <c r="S107" s="57">
        <f t="shared" si="95"/>
        <v>369.92053999999996</v>
      </c>
      <c r="T107" s="57">
        <f t="shared" si="95"/>
        <v>369.92053999999996</v>
      </c>
      <c r="U107" s="57">
        <f t="shared" si="95"/>
        <v>369.92053999999996</v>
      </c>
      <c r="V107" s="57">
        <f t="shared" si="95"/>
        <v>369.92053999999996</v>
      </c>
      <c r="W107" s="57">
        <f t="shared" si="95"/>
        <v>369.92053999999996</v>
      </c>
      <c r="X107" s="57">
        <f t="shared" si="95"/>
        <v>369.92053999999996</v>
      </c>
      <c r="Y107" s="57">
        <f t="shared" si="95"/>
        <v>369.92053999999996</v>
      </c>
      <c r="Z107" s="57">
        <f t="shared" si="95"/>
        <v>369.92053999999996</v>
      </c>
      <c r="AA107" s="57">
        <f t="shared" si="95"/>
        <v>369.92053999999996</v>
      </c>
      <c r="AB107" s="57">
        <f t="shared" si="95"/>
        <v>369.92053999999996</v>
      </c>
      <c r="AC107" s="57">
        <f t="shared" si="95"/>
        <v>369.92053999999996</v>
      </c>
      <c r="AD107" s="57">
        <f t="shared" si="95"/>
        <v>369.92053999999996</v>
      </c>
      <c r="AE107" s="57">
        <f t="shared" si="95"/>
        <v>369.92053999999996</v>
      </c>
      <c r="AF107" s="57">
        <f t="shared" si="95"/>
        <v>369.92053999999996</v>
      </c>
      <c r="AG107" s="57">
        <f t="shared" si="95"/>
        <v>369.92053999999996</v>
      </c>
      <c r="AH107" s="57">
        <f t="shared" si="95"/>
        <v>369.92053999999996</v>
      </c>
      <c r="AI107" s="57">
        <f t="shared" si="95"/>
        <v>369.92053999999996</v>
      </c>
      <c r="AJ107" s="57">
        <f t="shared" si="95"/>
        <v>369.92053999999996</v>
      </c>
    </row>
    <row r="108" spans="1:36" ht="12" x14ac:dyDescent="0.25">
      <c r="A108" s="141" t="str">
        <f t="shared" si="93"/>
        <v>Rolls Royce HVAC Optimization &amp; Submetering</v>
      </c>
      <c r="B108" s="141" t="str">
        <f t="shared" si="94"/>
        <v>Ind EE</v>
      </c>
      <c r="F108" s="23" t="s">
        <v>156</v>
      </c>
      <c r="G108" s="23" t="s">
        <v>130</v>
      </c>
      <c r="H108" s="23" t="s">
        <v>157</v>
      </c>
      <c r="I108" s="131"/>
      <c r="J108" s="131"/>
      <c r="K108" s="128"/>
    </row>
    <row r="109" spans="1:36" ht="12" x14ac:dyDescent="0.25">
      <c r="A109" s="141" t="str">
        <f t="shared" si="93"/>
        <v>Rolls Royce HVAC Optimization &amp; Submetering</v>
      </c>
      <c r="B109" s="141" t="str">
        <f t="shared" si="94"/>
        <v>Ind EE</v>
      </c>
      <c r="C109" s="141" t="s">
        <v>140</v>
      </c>
      <c r="E109" s="113" t="s">
        <v>251</v>
      </c>
      <c r="F109" s="119">
        <f>AVERAGE(K109:AJ109)</f>
        <v>641.06367086514899</v>
      </c>
      <c r="G109" s="119">
        <f>SUM(K109:P109)</f>
        <v>3805.7403178196164</v>
      </c>
      <c r="H109" s="119">
        <f>SUM(K109:AJ109)</f>
        <v>16026.591771628724</v>
      </c>
      <c r="I109" s="29" t="s">
        <v>142</v>
      </c>
      <c r="J109" s="148"/>
      <c r="K109" s="149"/>
      <c r="L109" s="57">
        <f>L107+L106</f>
        <v>893.70072112940784</v>
      </c>
      <c r="M109" s="57">
        <f t="shared" ref="M109:AJ109" si="96">M107+M106</f>
        <v>795.05917774038858</v>
      </c>
      <c r="N109" s="57">
        <f t="shared" si="96"/>
        <v>757.89021355584237</v>
      </c>
      <c r="O109" s="57">
        <f t="shared" si="96"/>
        <v>707.21836705869009</v>
      </c>
      <c r="P109" s="57">
        <f t="shared" si="96"/>
        <v>651.87183833528729</v>
      </c>
      <c r="Q109" s="57">
        <f t="shared" si="96"/>
        <v>640.84375284194721</v>
      </c>
      <c r="R109" s="57">
        <f t="shared" si="96"/>
        <v>623.92553768298774</v>
      </c>
      <c r="S109" s="57">
        <f t="shared" si="96"/>
        <v>618.4279351689936</v>
      </c>
      <c r="T109" s="57">
        <f t="shared" si="96"/>
        <v>604.58071918961969</v>
      </c>
      <c r="U109" s="57">
        <f t="shared" si="96"/>
        <v>602.10120832668417</v>
      </c>
      <c r="V109" s="57">
        <f t="shared" si="96"/>
        <v>614.46624756412621</v>
      </c>
      <c r="W109" s="57">
        <f t="shared" si="96"/>
        <v>620.87774658169064</v>
      </c>
      <c r="X109" s="57">
        <f t="shared" si="96"/>
        <v>625.06392097447917</v>
      </c>
      <c r="Y109" s="57">
        <f t="shared" si="96"/>
        <v>617.6973977358806</v>
      </c>
      <c r="Z109" s="57">
        <f t="shared" si="96"/>
        <v>614.66480596606596</v>
      </c>
      <c r="AA109" s="57">
        <f t="shared" si="96"/>
        <v>617.8695479617428</v>
      </c>
      <c r="AB109" s="57">
        <f t="shared" si="96"/>
        <v>618.59991182539193</v>
      </c>
      <c r="AC109" s="57">
        <f t="shared" si="96"/>
        <v>616.57582029723812</v>
      </c>
      <c r="AD109" s="57">
        <f t="shared" si="96"/>
        <v>617.13445364821234</v>
      </c>
      <c r="AE109" s="57">
        <f t="shared" si="96"/>
        <v>605.18029371863997</v>
      </c>
      <c r="AF109" s="57">
        <f t="shared" si="96"/>
        <v>596.72068555371641</v>
      </c>
      <c r="AG109" s="57">
        <f t="shared" si="96"/>
        <v>597.88852251026503</v>
      </c>
      <c r="AH109" s="57">
        <f t="shared" si="96"/>
        <v>595.10822882604919</v>
      </c>
      <c r="AI109" s="57">
        <f t="shared" si="96"/>
        <v>592.14192953608665</v>
      </c>
      <c r="AJ109" s="57">
        <f t="shared" si="96"/>
        <v>580.98278789928963</v>
      </c>
    </row>
    <row r="110" spans="1:36" ht="12" x14ac:dyDescent="0.25">
      <c r="A110" s="141"/>
      <c r="B110" s="141"/>
      <c r="C110" s="141"/>
      <c r="F110" s="335"/>
      <c r="G110" s="335"/>
      <c r="H110" s="335"/>
      <c r="I110" s="29"/>
      <c r="K110" s="333"/>
      <c r="L110" s="333"/>
      <c r="M110" s="333"/>
      <c r="N110" s="333"/>
      <c r="O110" s="333"/>
      <c r="P110" s="333"/>
      <c r="Q110" s="333"/>
      <c r="R110" s="333"/>
      <c r="S110" s="333"/>
      <c r="T110" s="333"/>
      <c r="U110" s="333"/>
      <c r="V110" s="333"/>
      <c r="W110" s="333"/>
      <c r="X110" s="333"/>
      <c r="Y110" s="333"/>
      <c r="Z110" s="333"/>
      <c r="AA110" s="333"/>
      <c r="AB110" s="333"/>
      <c r="AC110" s="333"/>
      <c r="AD110" s="333"/>
      <c r="AE110" s="333"/>
      <c r="AF110" s="333"/>
      <c r="AG110" s="333"/>
      <c r="AH110" s="333"/>
      <c r="AI110" s="333"/>
      <c r="AJ110" s="333"/>
    </row>
    <row r="111" spans="1:36" ht="12" x14ac:dyDescent="0.25">
      <c r="A111" s="141"/>
      <c r="B111" s="141"/>
      <c r="E111" s="22"/>
      <c r="G111" s="61"/>
      <c r="H111" s="61"/>
      <c r="I111" s="29"/>
    </row>
    <row r="112" spans="1:36" ht="12" x14ac:dyDescent="0.25">
      <c r="A112" s="141"/>
      <c r="B112" s="141"/>
      <c r="D112" s="107"/>
      <c r="E112" s="114" t="s">
        <v>327</v>
      </c>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c r="AC112" s="107"/>
      <c r="AD112" s="107"/>
      <c r="AE112" s="107"/>
      <c r="AF112" s="107"/>
      <c r="AG112" s="107"/>
      <c r="AH112" s="107"/>
      <c r="AI112" s="107"/>
      <c r="AJ112" s="107"/>
    </row>
    <row r="113" spans="1:36" ht="12" x14ac:dyDescent="0.25">
      <c r="A113" s="141" t="str">
        <f>E113</f>
        <v>Energy Insights Program: Electricity</v>
      </c>
      <c r="B113" s="133" t="s">
        <v>113</v>
      </c>
      <c r="D113" s="33" t="s">
        <v>211</v>
      </c>
      <c r="E113" s="34" t="s">
        <v>112</v>
      </c>
      <c r="F113" s="33"/>
      <c r="G113" s="58" t="s">
        <v>328</v>
      </c>
      <c r="H113" s="33"/>
      <c r="I113" s="33"/>
      <c r="J113" s="33"/>
      <c r="K113" s="33"/>
      <c r="L113" s="33"/>
      <c r="M113" s="33"/>
      <c r="N113" s="33"/>
      <c r="O113" s="33"/>
      <c r="P113" s="33"/>
      <c r="Q113" s="33"/>
      <c r="R113" s="33"/>
      <c r="S113" s="33"/>
      <c r="T113" s="33"/>
      <c r="U113" s="33"/>
      <c r="V113" s="33"/>
      <c r="W113" s="33"/>
      <c r="X113" s="33"/>
      <c r="Y113" s="33"/>
      <c r="Z113" s="33"/>
      <c r="AA113" s="33"/>
      <c r="AB113" s="33"/>
      <c r="AC113" s="33"/>
      <c r="AD113" s="33"/>
      <c r="AE113" s="33"/>
      <c r="AF113" s="33"/>
      <c r="AG113" s="33"/>
      <c r="AH113" s="33"/>
      <c r="AI113" s="33"/>
      <c r="AJ113" s="33"/>
    </row>
    <row r="114" spans="1:36" x14ac:dyDescent="0.2">
      <c r="A114" s="141" t="str">
        <f t="shared" ref="A114:A126" si="97">A113</f>
        <v>Energy Insights Program: Electricity</v>
      </c>
      <c r="B114" s="141" t="str">
        <f t="shared" ref="B114:B126" si="98">B113</f>
        <v>EIP Elec EE</v>
      </c>
      <c r="E114" s="5" t="s">
        <v>329</v>
      </c>
      <c r="F114" s="26">
        <f>(200000*12/1000)</f>
        <v>2400</v>
      </c>
      <c r="G114" s="118" t="s">
        <v>237</v>
      </c>
      <c r="H114" s="120" t="s">
        <v>330</v>
      </c>
      <c r="I114" s="29"/>
    </row>
    <row r="115" spans="1:36" x14ac:dyDescent="0.2">
      <c r="A115" s="141" t="str">
        <f t="shared" si="97"/>
        <v>Energy Insights Program: Electricity</v>
      </c>
      <c r="B115" s="141" t="str">
        <f t="shared" si="98"/>
        <v>EIP Elec EE</v>
      </c>
      <c r="E115" s="5" t="s">
        <v>331</v>
      </c>
      <c r="F115" s="122">
        <v>0.1</v>
      </c>
      <c r="G115" s="118"/>
      <c r="H115" s="120" t="s">
        <v>330</v>
      </c>
      <c r="I115" s="29"/>
    </row>
    <row r="116" spans="1:36" x14ac:dyDescent="0.2">
      <c r="A116" s="141" t="str">
        <f t="shared" si="97"/>
        <v>Energy Insights Program: Electricity</v>
      </c>
      <c r="B116" s="141" t="str">
        <f t="shared" si="98"/>
        <v>EIP Elec EE</v>
      </c>
      <c r="E116" s="5" t="s">
        <v>332</v>
      </c>
      <c r="F116" s="26">
        <v>100</v>
      </c>
      <c r="G116" s="124" t="s">
        <v>333</v>
      </c>
      <c r="H116" s="120" t="s">
        <v>334</v>
      </c>
      <c r="I116" s="29"/>
    </row>
    <row r="117" spans="1:36" ht="12" x14ac:dyDescent="0.25">
      <c r="A117" s="141" t="str">
        <f t="shared" si="97"/>
        <v>Energy Insights Program: Electricity</v>
      </c>
      <c r="B117" s="141" t="str">
        <f t="shared" si="98"/>
        <v>EIP Elec EE</v>
      </c>
      <c r="E117" s="113" t="s">
        <v>286</v>
      </c>
      <c r="G117" s="61"/>
      <c r="H117" s="61"/>
      <c r="I117" s="29"/>
    </row>
    <row r="118" spans="1:36" x14ac:dyDescent="0.2">
      <c r="A118" s="141" t="str">
        <f t="shared" si="97"/>
        <v>Energy Insights Program: Electricity</v>
      </c>
      <c r="B118" s="141" t="str">
        <f t="shared" si="98"/>
        <v>EIP Elec EE</v>
      </c>
      <c r="E118" s="5" t="s">
        <v>335</v>
      </c>
      <c r="F118" s="26">
        <f>($F$114*$F$116)</f>
        <v>240000</v>
      </c>
      <c r="G118" s="26">
        <f t="shared" ref="G118:AJ118" si="99">($F$114*$F$116)</f>
        <v>240000</v>
      </c>
      <c r="H118" s="26">
        <f t="shared" si="99"/>
        <v>240000</v>
      </c>
      <c r="I118" s="26">
        <f t="shared" si="99"/>
        <v>240000</v>
      </c>
      <c r="J118" s="26">
        <f t="shared" si="99"/>
        <v>240000</v>
      </c>
      <c r="K118" s="26">
        <f t="shared" si="99"/>
        <v>240000</v>
      </c>
      <c r="L118" s="26">
        <f t="shared" si="99"/>
        <v>240000</v>
      </c>
      <c r="M118" s="26">
        <f t="shared" si="99"/>
        <v>240000</v>
      </c>
      <c r="N118" s="26">
        <f t="shared" si="99"/>
        <v>240000</v>
      </c>
      <c r="O118" s="26">
        <f t="shared" si="99"/>
        <v>240000</v>
      </c>
      <c r="P118" s="26">
        <f t="shared" si="99"/>
        <v>240000</v>
      </c>
      <c r="Q118" s="26">
        <f t="shared" si="99"/>
        <v>240000</v>
      </c>
      <c r="R118" s="26">
        <f t="shared" si="99"/>
        <v>240000</v>
      </c>
      <c r="S118" s="26">
        <f t="shared" si="99"/>
        <v>240000</v>
      </c>
      <c r="T118" s="26">
        <f t="shared" si="99"/>
        <v>240000</v>
      </c>
      <c r="U118" s="26">
        <f t="shared" si="99"/>
        <v>240000</v>
      </c>
      <c r="V118" s="26">
        <f t="shared" si="99"/>
        <v>240000</v>
      </c>
      <c r="W118" s="26">
        <f t="shared" si="99"/>
        <v>240000</v>
      </c>
      <c r="X118" s="26">
        <f t="shared" si="99"/>
        <v>240000</v>
      </c>
      <c r="Y118" s="26">
        <f t="shared" si="99"/>
        <v>240000</v>
      </c>
      <c r="Z118" s="26">
        <f t="shared" si="99"/>
        <v>240000</v>
      </c>
      <c r="AA118" s="26">
        <f t="shared" si="99"/>
        <v>240000</v>
      </c>
      <c r="AB118" s="26">
        <f t="shared" si="99"/>
        <v>240000</v>
      </c>
      <c r="AC118" s="26">
        <f t="shared" si="99"/>
        <v>240000</v>
      </c>
      <c r="AD118" s="26">
        <f t="shared" si="99"/>
        <v>240000</v>
      </c>
      <c r="AE118" s="26">
        <f t="shared" si="99"/>
        <v>240000</v>
      </c>
      <c r="AF118" s="26">
        <f t="shared" si="99"/>
        <v>240000</v>
      </c>
      <c r="AG118" s="26">
        <f t="shared" si="99"/>
        <v>240000</v>
      </c>
      <c r="AH118" s="26">
        <f t="shared" si="99"/>
        <v>240000</v>
      </c>
      <c r="AI118" s="26">
        <f t="shared" si="99"/>
        <v>240000</v>
      </c>
      <c r="AJ118" s="26">
        <f t="shared" si="99"/>
        <v>240000</v>
      </c>
    </row>
    <row r="119" spans="1:36" ht="12" x14ac:dyDescent="0.25">
      <c r="A119" s="141" t="str">
        <f t="shared" si="97"/>
        <v>Energy Insights Program: Electricity</v>
      </c>
      <c r="B119" s="141" t="str">
        <f t="shared" si="98"/>
        <v>EIP Elec EE</v>
      </c>
      <c r="E119" s="5" t="s">
        <v>288</v>
      </c>
      <c r="F119" s="26"/>
      <c r="G119" s="145"/>
      <c r="H119" s="146">
        <f>((H$118*1000)*GridEF!H$23/1000000)</f>
        <v>174675.79370956396</v>
      </c>
      <c r="I119" s="146">
        <f>((I$118*1000)*GridEF!I$23/1000000)</f>
        <v>172076.97155787921</v>
      </c>
      <c r="J119" s="146">
        <f>((J$118*1000)*GridEF!J$23/1000000)</f>
        <v>164903.00977000126</v>
      </c>
      <c r="K119" s="146">
        <f>((K$118*1000)*GridEF!K$23/1000000)</f>
        <v>161865.02317488746</v>
      </c>
      <c r="L119" s="146">
        <f>((L$118*1000)*GridEF!L$23/1000000)</f>
        <v>139693.96169145292</v>
      </c>
      <c r="M119" s="146">
        <f>((M$118*1000)*GridEF!M$23/1000000)</f>
        <v>113385.92545827791</v>
      </c>
      <c r="N119" s="146">
        <f>((N$118*1000)*GridEF!N$23/1000000)</f>
        <v>103472.83587227814</v>
      </c>
      <c r="O119" s="146">
        <f>((O$118*1000)*GridEF!O$23/1000000)</f>
        <v>89958.481495323373</v>
      </c>
      <c r="P119" s="146">
        <f>((P$118*1000)*GridEF!P$23/1000000)</f>
        <v>75197.37341641399</v>
      </c>
      <c r="Q119" s="146">
        <f>((Q$118*1000)*GridEF!Q$23/1000000)</f>
        <v>72256.145382327493</v>
      </c>
      <c r="R119" s="146">
        <f>((R$118*1000)*GridEF!R$23/1000000)</f>
        <v>67743.999666528587</v>
      </c>
      <c r="S119" s="146">
        <f>((S$118*1000)*GridEF!S$23/1000000)</f>
        <v>66277.770315641814</v>
      </c>
      <c r="T119" s="146">
        <f>((T$118*1000)*GridEF!T$23/1000000)</f>
        <v>62584.670560731422</v>
      </c>
      <c r="U119" s="146">
        <f>((U$118*1000)*GridEF!U$23/1000000)</f>
        <v>61923.376552329661</v>
      </c>
      <c r="V119" s="146">
        <f>((V$118*1000)*GridEF!V$23/1000000)</f>
        <v>65221.174712282897</v>
      </c>
      <c r="W119" s="146">
        <f>((W$118*1000)*GridEF!W$23/1000000)</f>
        <v>66931.143379316447</v>
      </c>
      <c r="X119" s="146">
        <f>((X$118*1000)*GridEF!X$23/1000000)</f>
        <v>68047.61037506834</v>
      </c>
      <c r="Y119" s="146">
        <f>((Y$118*1000)*GridEF!Y$23/1000000)</f>
        <v>66082.933489293369</v>
      </c>
      <c r="Z119" s="146">
        <f>((Z$118*1000)*GridEF!Z$23/1000000)</f>
        <v>65274.13091565486</v>
      </c>
      <c r="AA119" s="146">
        <f>((AA$118*1000)*GridEF!AA$23/1000000)</f>
        <v>66128.846541988329</v>
      </c>
      <c r="AB119" s="146">
        <f>((AB$118*1000)*GridEF!AB$23/1000000)</f>
        <v>66323.637076768428</v>
      </c>
      <c r="AC119" s="146">
        <f>((AC$118*1000)*GridEF!AC$23/1000000)</f>
        <v>65783.804959057859</v>
      </c>
      <c r="AD119" s="146">
        <f>((AD$118*1000)*GridEF!AD$23/1000000)</f>
        <v>65932.794380082327</v>
      </c>
      <c r="AE119" s="146">
        <f>((AE$118*1000)*GridEF!AE$23/1000000)</f>
        <v>62744.579133651314</v>
      </c>
      <c r="AF119" s="146">
        <f>((AF$118*1000)*GridEF!AF$23/1000000)</f>
        <v>60488.372767905748</v>
      </c>
      <c r="AG119" s="146">
        <f>((AG$118*1000)*GridEF!AG$23/1000000)</f>
        <v>60799.838869426043</v>
      </c>
      <c r="AH119" s="146">
        <f>((AH$118*1000)*GridEF!AH$23/1000000)</f>
        <v>60058.325056176422</v>
      </c>
      <c r="AI119" s="146">
        <f>((AI$118*1000)*GridEF!AI$23/1000000)</f>
        <v>59267.202913135603</v>
      </c>
      <c r="AJ119" s="146">
        <f>((AJ$118*1000)*GridEF!AJ$23/1000000)</f>
        <v>56291.021758363953</v>
      </c>
    </row>
    <row r="120" spans="1:36" ht="12" x14ac:dyDescent="0.25">
      <c r="A120" s="141" t="str">
        <f t="shared" si="97"/>
        <v>Energy Insights Program: Electricity</v>
      </c>
      <c r="B120" s="141" t="str">
        <f t="shared" si="98"/>
        <v>EIP Elec EE</v>
      </c>
      <c r="E120" s="1" t="s">
        <v>289</v>
      </c>
      <c r="G120" s="61"/>
      <c r="H120" s="61"/>
      <c r="I120" s="29"/>
      <c r="K120" s="24" t="s">
        <v>336</v>
      </c>
      <c r="U120" s="24" t="s">
        <v>337</v>
      </c>
    </row>
    <row r="121" spans="1:36" x14ac:dyDescent="0.2">
      <c r="A121" s="141" t="str">
        <f t="shared" si="97"/>
        <v>Energy Insights Program: Electricity</v>
      </c>
      <c r="B121" s="141" t="str">
        <f t="shared" si="98"/>
        <v>EIP Elec EE</v>
      </c>
      <c r="E121" s="5" t="s">
        <v>338</v>
      </c>
      <c r="F121" s="28">
        <v>1</v>
      </c>
      <c r="G121" s="129">
        <v>1</v>
      </c>
      <c r="H121" s="129">
        <v>1</v>
      </c>
      <c r="I121" s="129">
        <v>1</v>
      </c>
      <c r="J121" s="129">
        <v>1</v>
      </c>
      <c r="K121" s="129">
        <v>1</v>
      </c>
      <c r="L121" s="130">
        <v>0.9</v>
      </c>
      <c r="M121" s="129">
        <v>0.9</v>
      </c>
      <c r="N121" s="129">
        <v>0.9</v>
      </c>
      <c r="O121" s="129">
        <v>0.9</v>
      </c>
      <c r="P121" s="129">
        <v>0.9</v>
      </c>
      <c r="Q121" s="129">
        <v>0.9</v>
      </c>
      <c r="R121" s="129">
        <v>0.9</v>
      </c>
      <c r="S121" s="129">
        <v>0.9</v>
      </c>
      <c r="T121" s="129">
        <v>0.9</v>
      </c>
      <c r="U121" s="129">
        <v>0.9</v>
      </c>
      <c r="V121" s="129">
        <v>1</v>
      </c>
      <c r="W121" s="129">
        <v>1</v>
      </c>
      <c r="X121" s="129">
        <v>1</v>
      </c>
      <c r="Y121" s="129">
        <v>1</v>
      </c>
      <c r="Z121" s="129">
        <v>1</v>
      </c>
      <c r="AA121" s="129">
        <v>1</v>
      </c>
      <c r="AB121" s="129">
        <v>1</v>
      </c>
      <c r="AC121" s="129">
        <v>1</v>
      </c>
      <c r="AD121" s="129">
        <v>1</v>
      </c>
      <c r="AE121" s="129">
        <v>1</v>
      </c>
      <c r="AF121" s="129">
        <v>1</v>
      </c>
      <c r="AG121" s="129">
        <v>1</v>
      </c>
      <c r="AH121" s="129">
        <v>1</v>
      </c>
      <c r="AI121" s="129">
        <v>1</v>
      </c>
      <c r="AJ121" s="129">
        <v>1</v>
      </c>
    </row>
    <row r="122" spans="1:36" x14ac:dyDescent="0.2">
      <c r="A122" s="141" t="str">
        <f t="shared" si="97"/>
        <v>Energy Insights Program: Electricity</v>
      </c>
      <c r="B122" s="141" t="str">
        <f t="shared" si="98"/>
        <v>EIP Elec EE</v>
      </c>
      <c r="E122" s="5" t="s">
        <v>339</v>
      </c>
      <c r="F122" s="147">
        <f t="shared" ref="F122:G122" si="100">(F$118*F$121)</f>
        <v>240000</v>
      </c>
      <c r="G122" s="147">
        <f t="shared" si="100"/>
        <v>240000</v>
      </c>
      <c r="H122" s="147">
        <f>(H$118*H$121)</f>
        <v>240000</v>
      </c>
      <c r="I122" s="147">
        <f t="shared" ref="I122:AI122" si="101">(I$118*I$121)</f>
        <v>240000</v>
      </c>
      <c r="J122" s="147">
        <f t="shared" si="101"/>
        <v>240000</v>
      </c>
      <c r="K122" s="147">
        <f t="shared" si="101"/>
        <v>240000</v>
      </c>
      <c r="L122" s="146">
        <f t="shared" si="101"/>
        <v>216000</v>
      </c>
      <c r="M122" s="146">
        <f t="shared" si="101"/>
        <v>216000</v>
      </c>
      <c r="N122" s="146">
        <f t="shared" si="101"/>
        <v>216000</v>
      </c>
      <c r="O122" s="146">
        <f t="shared" si="101"/>
        <v>216000</v>
      </c>
      <c r="P122" s="146">
        <f t="shared" si="101"/>
        <v>216000</v>
      </c>
      <c r="Q122" s="146">
        <f t="shared" si="101"/>
        <v>216000</v>
      </c>
      <c r="R122" s="146">
        <f t="shared" si="101"/>
        <v>216000</v>
      </c>
      <c r="S122" s="146">
        <f t="shared" si="101"/>
        <v>216000</v>
      </c>
      <c r="T122" s="146">
        <f t="shared" si="101"/>
        <v>216000</v>
      </c>
      <c r="U122" s="146">
        <f t="shared" si="101"/>
        <v>216000</v>
      </c>
      <c r="V122" s="146">
        <f t="shared" si="101"/>
        <v>240000</v>
      </c>
      <c r="W122" s="146">
        <f t="shared" si="101"/>
        <v>240000</v>
      </c>
      <c r="X122" s="146">
        <f t="shared" si="101"/>
        <v>240000</v>
      </c>
      <c r="Y122" s="146">
        <f t="shared" si="101"/>
        <v>240000</v>
      </c>
      <c r="Z122" s="146">
        <f t="shared" si="101"/>
        <v>240000</v>
      </c>
      <c r="AA122" s="146">
        <f t="shared" si="101"/>
        <v>240000</v>
      </c>
      <c r="AB122" s="146">
        <f t="shared" si="101"/>
        <v>240000</v>
      </c>
      <c r="AC122" s="146">
        <f t="shared" si="101"/>
        <v>240000</v>
      </c>
      <c r="AD122" s="146">
        <f t="shared" si="101"/>
        <v>240000</v>
      </c>
      <c r="AE122" s="146">
        <f t="shared" si="101"/>
        <v>240000</v>
      </c>
      <c r="AF122" s="146">
        <f t="shared" si="101"/>
        <v>240000</v>
      </c>
      <c r="AG122" s="146">
        <f t="shared" si="101"/>
        <v>240000</v>
      </c>
      <c r="AH122" s="146">
        <f t="shared" si="101"/>
        <v>240000</v>
      </c>
      <c r="AI122" s="146">
        <f t="shared" si="101"/>
        <v>240000</v>
      </c>
      <c r="AJ122" s="146">
        <f>(AJ$118*AJ$121)</f>
        <v>240000</v>
      </c>
    </row>
    <row r="123" spans="1:36" x14ac:dyDescent="0.2">
      <c r="A123" s="141" t="str">
        <f t="shared" si="97"/>
        <v>Energy Insights Program: Electricity</v>
      </c>
      <c r="B123" s="141" t="str">
        <f t="shared" si="98"/>
        <v>EIP Elec EE</v>
      </c>
      <c r="E123" s="5" t="s">
        <v>340</v>
      </c>
      <c r="F123" s="147">
        <f t="shared" ref="F123:G123" si="102">(F$118-F$122)</f>
        <v>0</v>
      </c>
      <c r="G123" s="147">
        <f t="shared" si="102"/>
        <v>0</v>
      </c>
      <c r="H123" s="147">
        <f>(H$118-H$122)</f>
        <v>0</v>
      </c>
      <c r="I123" s="147">
        <f t="shared" ref="I123:AJ123" si="103">(I$118-I$122)</f>
        <v>0</v>
      </c>
      <c r="J123" s="147">
        <f t="shared" si="103"/>
        <v>0</v>
      </c>
      <c r="K123" s="146">
        <f t="shared" si="103"/>
        <v>0</v>
      </c>
      <c r="L123" s="146">
        <f t="shared" si="103"/>
        <v>24000</v>
      </c>
      <c r="M123" s="146">
        <f t="shared" si="103"/>
        <v>24000</v>
      </c>
      <c r="N123" s="146">
        <f t="shared" si="103"/>
        <v>24000</v>
      </c>
      <c r="O123" s="146">
        <f t="shared" si="103"/>
        <v>24000</v>
      </c>
      <c r="P123" s="146">
        <f t="shared" si="103"/>
        <v>24000</v>
      </c>
      <c r="Q123" s="146">
        <f>(Q$118-Q$122)</f>
        <v>24000</v>
      </c>
      <c r="R123" s="146">
        <f t="shared" si="103"/>
        <v>24000</v>
      </c>
      <c r="S123" s="146">
        <f t="shared" si="103"/>
        <v>24000</v>
      </c>
      <c r="T123" s="146">
        <f t="shared" si="103"/>
        <v>24000</v>
      </c>
      <c r="U123" s="146">
        <f>(U$118-U$122)</f>
        <v>24000</v>
      </c>
      <c r="V123" s="146">
        <f t="shared" si="103"/>
        <v>0</v>
      </c>
      <c r="W123" s="146">
        <f t="shared" si="103"/>
        <v>0</v>
      </c>
      <c r="X123" s="146">
        <f>(X$118-X$122)</f>
        <v>0</v>
      </c>
      <c r="Y123" s="146">
        <f t="shared" si="103"/>
        <v>0</v>
      </c>
      <c r="Z123" s="146">
        <f t="shared" si="103"/>
        <v>0</v>
      </c>
      <c r="AA123" s="146">
        <f t="shared" si="103"/>
        <v>0</v>
      </c>
      <c r="AB123" s="146">
        <f t="shared" si="103"/>
        <v>0</v>
      </c>
      <c r="AC123" s="146">
        <f t="shared" si="103"/>
        <v>0</v>
      </c>
      <c r="AD123" s="146">
        <f t="shared" si="103"/>
        <v>0</v>
      </c>
      <c r="AE123" s="146">
        <f t="shared" si="103"/>
        <v>0</v>
      </c>
      <c r="AF123" s="146">
        <f t="shared" si="103"/>
        <v>0</v>
      </c>
      <c r="AG123" s="146">
        <f t="shared" si="103"/>
        <v>0</v>
      </c>
      <c r="AH123" s="146">
        <f t="shared" si="103"/>
        <v>0</v>
      </c>
      <c r="AI123" s="146">
        <f t="shared" si="103"/>
        <v>0</v>
      </c>
      <c r="AJ123" s="146">
        <f t="shared" si="103"/>
        <v>0</v>
      </c>
    </row>
    <row r="124" spans="1:36" ht="12" x14ac:dyDescent="0.25">
      <c r="A124" s="141" t="str">
        <f t="shared" si="97"/>
        <v>Energy Insights Program: Electricity</v>
      </c>
      <c r="B124" s="141" t="str">
        <f t="shared" si="98"/>
        <v>EIP Elec EE</v>
      </c>
      <c r="E124" s="5" t="s">
        <v>288</v>
      </c>
      <c r="F124" s="26"/>
      <c r="G124" s="145"/>
      <c r="H124" s="146">
        <f>((H$122*1000)*GridEF!H$23/1000000)</f>
        <v>174675.79370956396</v>
      </c>
      <c r="I124" s="146">
        <f>((I$122*1000)*GridEF!I$23/1000000)</f>
        <v>172076.97155787921</v>
      </c>
      <c r="J124" s="146">
        <f>((J$122*1000)*GridEF!J$23/1000000)</f>
        <v>164903.00977000126</v>
      </c>
      <c r="K124" s="146">
        <f>((K$122*1000)*GridEF!K$23/1000000)</f>
        <v>161865.02317488746</v>
      </c>
      <c r="L124" s="146">
        <f>((L$122*1000)*GridEF!L$23/1000000)</f>
        <v>125724.56552230763</v>
      </c>
      <c r="M124" s="146">
        <f>((M$122*1000)*GridEF!M$23/1000000)</f>
        <v>102047.33291245012</v>
      </c>
      <c r="N124" s="146">
        <f>((N$122*1000)*GridEF!N$23/1000000)</f>
        <v>93125.552285050318</v>
      </c>
      <c r="O124" s="146">
        <f>((O$122*1000)*GridEF!O$23/1000000)</f>
        <v>80962.633345791051</v>
      </c>
      <c r="P124" s="146">
        <f>((P$122*1000)*GridEF!P$23/1000000)</f>
        <v>67677.636074772585</v>
      </c>
      <c r="Q124" s="146">
        <f>((Q$122*1000)*GridEF!Q$23/1000000)</f>
        <v>65030.530844094748</v>
      </c>
      <c r="R124" s="146">
        <f>((R$122*1000)*GridEF!R$23/1000000)</f>
        <v>60969.599699875725</v>
      </c>
      <c r="S124" s="146">
        <f>((S$122*1000)*GridEF!S$23/1000000)</f>
        <v>59649.993284077624</v>
      </c>
      <c r="T124" s="146">
        <f>((T$122*1000)*GridEF!T$23/1000000)</f>
        <v>56326.203504658282</v>
      </c>
      <c r="U124" s="146">
        <f>((U$122*1000)*GridEF!U$23/1000000)</f>
        <v>55731.038897096696</v>
      </c>
      <c r="V124" s="146">
        <f>((V$122*1000)*GridEF!V$23/1000000)</f>
        <v>65221.174712282897</v>
      </c>
      <c r="W124" s="146">
        <f>((W$122*1000)*GridEF!W$23/1000000)</f>
        <v>66931.143379316447</v>
      </c>
      <c r="X124" s="146">
        <f>((X$122*1000)*GridEF!X$23/1000000)</f>
        <v>68047.61037506834</v>
      </c>
      <c r="Y124" s="146">
        <f>((Y$122*1000)*GridEF!Y$23/1000000)</f>
        <v>66082.933489293369</v>
      </c>
      <c r="Z124" s="146">
        <f>((Z$122*1000)*GridEF!Z$23/1000000)</f>
        <v>65274.13091565486</v>
      </c>
      <c r="AA124" s="146">
        <f>((AA$122*1000)*GridEF!AA$23/1000000)</f>
        <v>66128.846541988329</v>
      </c>
      <c r="AB124" s="146">
        <f>((AB$122*1000)*GridEF!AB$23/1000000)</f>
        <v>66323.637076768428</v>
      </c>
      <c r="AC124" s="146">
        <f>((AC$122*1000)*GridEF!AC$23/1000000)</f>
        <v>65783.804959057859</v>
      </c>
      <c r="AD124" s="146">
        <f>((AD$122*1000)*GridEF!AD$23/1000000)</f>
        <v>65932.794380082327</v>
      </c>
      <c r="AE124" s="146">
        <f>((AE$122*1000)*GridEF!AE$23/1000000)</f>
        <v>62744.579133651314</v>
      </c>
      <c r="AF124" s="146">
        <f>((AF$122*1000)*GridEF!AF$23/1000000)</f>
        <v>60488.372767905748</v>
      </c>
      <c r="AG124" s="146">
        <f>((AG$122*1000)*GridEF!AG$23/1000000)</f>
        <v>60799.838869426043</v>
      </c>
      <c r="AH124" s="146">
        <f>((AH$122*1000)*GridEF!AH$23/1000000)</f>
        <v>60058.325056176422</v>
      </c>
      <c r="AI124" s="146">
        <f>((AI$122*1000)*GridEF!AI$23/1000000)</f>
        <v>59267.202913135603</v>
      </c>
      <c r="AJ124" s="146">
        <f>((AJ$122*1000)*GridEF!AJ$23/1000000)</f>
        <v>56291.021758363953</v>
      </c>
    </row>
    <row r="125" spans="1:36" ht="12" x14ac:dyDescent="0.25">
      <c r="A125" s="141" t="str">
        <f t="shared" si="97"/>
        <v>Energy Insights Program: Electricity</v>
      </c>
      <c r="B125" s="141" t="str">
        <f t="shared" si="98"/>
        <v>EIP Elec EE</v>
      </c>
      <c r="E125" s="5"/>
      <c r="F125" s="23" t="s">
        <v>156</v>
      </c>
      <c r="G125" s="23" t="s">
        <v>130</v>
      </c>
      <c r="H125" s="23" t="s">
        <v>157</v>
      </c>
      <c r="I125" s="131"/>
      <c r="J125" s="131"/>
      <c r="K125" s="128"/>
      <c r="L125" s="128"/>
      <c r="M125" s="128"/>
      <c r="N125" s="128"/>
      <c r="O125" s="128"/>
      <c r="P125" s="128"/>
      <c r="Q125" s="128"/>
      <c r="R125" s="128"/>
      <c r="S125" s="128"/>
      <c r="T125" s="128"/>
      <c r="U125" s="128"/>
      <c r="V125" s="128"/>
      <c r="W125" s="128"/>
      <c r="X125" s="128"/>
      <c r="Y125" s="128"/>
      <c r="Z125" s="128"/>
      <c r="AA125" s="128"/>
      <c r="AB125" s="128"/>
      <c r="AC125" s="128"/>
      <c r="AD125" s="128"/>
      <c r="AE125" s="128"/>
      <c r="AF125" s="128"/>
      <c r="AG125" s="128"/>
      <c r="AH125" s="128"/>
      <c r="AI125" s="128"/>
      <c r="AJ125" s="128"/>
    </row>
    <row r="126" spans="1:36" ht="12" x14ac:dyDescent="0.25">
      <c r="A126" s="141" t="str">
        <f t="shared" si="97"/>
        <v>Energy Insights Program: Electricity</v>
      </c>
      <c r="B126" s="141" t="str">
        <f t="shared" si="98"/>
        <v>EIP Elec EE</v>
      </c>
      <c r="C126" s="141" t="s">
        <v>140</v>
      </c>
      <c r="E126" s="113" t="s">
        <v>251</v>
      </c>
      <c r="F126" s="119">
        <f>AVERAGE(K126:AJ126)</f>
        <v>3278.8251554280973</v>
      </c>
      <c r="G126" s="119">
        <f>SUM(K126:P126)</f>
        <v>52170.857793374627</v>
      </c>
      <c r="H126" s="119">
        <f>SUM(K126:AJ126)</f>
        <v>85249.454041130535</v>
      </c>
      <c r="I126" s="29" t="s">
        <v>142</v>
      </c>
      <c r="J126" s="148"/>
      <c r="K126" s="149">
        <f>(K$123*1000)*GridEF!K$23/1000000</f>
        <v>0</v>
      </c>
      <c r="L126" s="149">
        <f>(L$123*1000)*GridEF!L$23/1000000</f>
        <v>13969.396169145291</v>
      </c>
      <c r="M126" s="149">
        <f>(M$123*1000)*GridEF!M$23/1000000</f>
        <v>11338.592545827791</v>
      </c>
      <c r="N126" s="149">
        <f>(N$123*1000)*GridEF!N$23/1000000</f>
        <v>10347.283587227814</v>
      </c>
      <c r="O126" s="149">
        <f>(O$123*1000)*GridEF!O$23/1000000</f>
        <v>8995.8481495323376</v>
      </c>
      <c r="P126" s="149">
        <f>(P$123*1000)*GridEF!P$23/1000000</f>
        <v>7519.7373416413984</v>
      </c>
      <c r="Q126" s="149">
        <f>(Q$123*1000)*GridEF!Q$23/1000000</f>
        <v>7225.6145382327495</v>
      </c>
      <c r="R126" s="149">
        <f>(R$123*1000)*GridEF!R$23/1000000</f>
        <v>6774.3999666528589</v>
      </c>
      <c r="S126" s="149">
        <f>(S$123*1000)*GridEF!S$23/1000000</f>
        <v>6627.7770315641801</v>
      </c>
      <c r="T126" s="149">
        <f>(T$123*1000)*GridEF!T$23/1000000</f>
        <v>6258.467056073142</v>
      </c>
      <c r="U126" s="149">
        <f>(U$123*1000)*GridEF!U$23/1000000</f>
        <v>6192.3376552329664</v>
      </c>
      <c r="V126" s="149">
        <f>(V$123*1000)*GridEF!V$23/1000000</f>
        <v>0</v>
      </c>
      <c r="W126" s="149">
        <f>(W$123*1000)*GridEF!W$23/1000000</f>
        <v>0</v>
      </c>
      <c r="X126" s="149">
        <f>(X$123*1000)*GridEF!X$23/1000000</f>
        <v>0</v>
      </c>
      <c r="Y126" s="149">
        <f>(Y$123*1000)*GridEF!Y$23/1000000</f>
        <v>0</v>
      </c>
      <c r="Z126" s="149">
        <f>(Z$123*1000)*GridEF!Z$23/1000000</f>
        <v>0</v>
      </c>
      <c r="AA126" s="149">
        <f>(AA$123*1000)*GridEF!AA$23/1000000</f>
        <v>0</v>
      </c>
      <c r="AB126" s="149">
        <f>(AB$123*1000)*GridEF!AB$23/1000000</f>
        <v>0</v>
      </c>
      <c r="AC126" s="149">
        <f>(AC$123*1000)*GridEF!AC$23/1000000</f>
        <v>0</v>
      </c>
      <c r="AD126" s="149">
        <f>(AD$123*1000)*GridEF!AD$23/1000000</f>
        <v>0</v>
      </c>
      <c r="AE126" s="149">
        <f>(AE$123*1000)*GridEF!AE$23/1000000</f>
        <v>0</v>
      </c>
      <c r="AF126" s="149">
        <f>(AF$123*1000)*GridEF!AF$23/1000000</f>
        <v>0</v>
      </c>
      <c r="AG126" s="149">
        <f>(AG$123*1000)*GridEF!AG$23/1000000</f>
        <v>0</v>
      </c>
      <c r="AH126" s="149">
        <f>(AH$123*1000)*GridEF!AH$23/1000000</f>
        <v>0</v>
      </c>
      <c r="AI126" s="149">
        <f>(AI$123*1000)*GridEF!AI$23/1000000</f>
        <v>0</v>
      </c>
      <c r="AJ126" s="149">
        <f>(AJ$123*1000)*GridEF!AJ$23/1000000</f>
        <v>0</v>
      </c>
    </row>
    <row r="127" spans="1:36" ht="12" x14ac:dyDescent="0.25">
      <c r="E127" s="22"/>
    </row>
    <row r="128" spans="1:36" ht="12" x14ac:dyDescent="0.25">
      <c r="A128" s="141" t="str">
        <f>E128</f>
        <v>Energy Insights Program: NG</v>
      </c>
      <c r="B128" s="133" t="s">
        <v>115</v>
      </c>
      <c r="D128" s="33" t="s">
        <v>213</v>
      </c>
      <c r="E128" s="34" t="s">
        <v>114</v>
      </c>
      <c r="F128" s="33"/>
      <c r="G128" s="58" t="s">
        <v>328</v>
      </c>
      <c r="H128" s="33"/>
      <c r="I128" s="33"/>
      <c r="J128" s="33"/>
      <c r="K128" s="33"/>
      <c r="L128" s="33"/>
      <c r="M128" s="33"/>
      <c r="N128" s="33"/>
      <c r="O128" s="33"/>
      <c r="P128" s="33"/>
      <c r="Q128" s="33"/>
      <c r="R128" s="33"/>
      <c r="S128" s="33"/>
      <c r="T128" s="33"/>
      <c r="U128" s="33"/>
      <c r="V128" s="33"/>
      <c r="W128" s="33"/>
      <c r="X128" s="33"/>
      <c r="Y128" s="33"/>
      <c r="Z128" s="33"/>
      <c r="AA128" s="33"/>
      <c r="AB128" s="33"/>
      <c r="AC128" s="33"/>
      <c r="AD128" s="33"/>
      <c r="AE128" s="33"/>
      <c r="AF128" s="33"/>
      <c r="AG128" s="33"/>
      <c r="AH128" s="33"/>
      <c r="AI128" s="33"/>
      <c r="AJ128" s="33"/>
    </row>
    <row r="129" spans="1:36" x14ac:dyDescent="0.2">
      <c r="A129" s="141" t="str">
        <f t="shared" ref="A129:A143" si="104">A128</f>
        <v>Energy Insights Program: NG</v>
      </c>
      <c r="B129" s="141" t="str">
        <f>(B128)</f>
        <v>EIP NG EE</v>
      </c>
      <c r="E129" s="5" t="s">
        <v>341</v>
      </c>
      <c r="F129" s="205">
        <v>35855303</v>
      </c>
      <c r="G129" s="142" t="s">
        <v>342</v>
      </c>
      <c r="H129" s="141" t="s">
        <v>343</v>
      </c>
      <c r="I129" s="142"/>
      <c r="J129" s="142"/>
      <c r="K129" s="142"/>
      <c r="L129" s="142"/>
      <c r="M129" s="142"/>
      <c r="N129" s="142"/>
      <c r="O129" s="142"/>
      <c r="P129" s="142"/>
      <c r="Q129" s="142"/>
      <c r="R129" s="142"/>
      <c r="S129" s="142"/>
      <c r="T129" s="142"/>
      <c r="U129" s="142"/>
      <c r="V129" s="142"/>
      <c r="W129" s="142"/>
      <c r="X129" s="142"/>
      <c r="Y129" s="142"/>
      <c r="Z129" s="142"/>
      <c r="AA129" s="142"/>
      <c r="AB129" s="142"/>
      <c r="AC129" s="142"/>
      <c r="AD129" s="142"/>
      <c r="AE129" s="142"/>
      <c r="AF129" s="142"/>
      <c r="AG129" s="142"/>
      <c r="AH129" s="142"/>
      <c r="AI129" s="142"/>
      <c r="AJ129" s="142"/>
    </row>
    <row r="130" spans="1:36" x14ac:dyDescent="0.2">
      <c r="A130" s="141" t="str">
        <f t="shared" si="104"/>
        <v>Energy Insights Program: NG</v>
      </c>
      <c r="B130" s="141" t="str">
        <f t="shared" ref="B130:B143" si="105">(B129)</f>
        <v>EIP NG EE</v>
      </c>
      <c r="E130" s="5" t="s">
        <v>344</v>
      </c>
      <c r="F130" s="206">
        <v>1606</v>
      </c>
      <c r="G130" s="142" t="s">
        <v>333</v>
      </c>
      <c r="H130" s="142"/>
      <c r="I130" s="142"/>
      <c r="J130" s="142"/>
      <c r="K130" s="142"/>
      <c r="L130" s="142"/>
      <c r="M130" s="142"/>
      <c r="N130" s="142"/>
      <c r="O130" s="142"/>
      <c r="P130" s="142"/>
      <c r="Q130" s="142"/>
      <c r="R130" s="142"/>
      <c r="S130" s="142"/>
      <c r="T130" s="142"/>
      <c r="U130" s="142"/>
      <c r="V130" s="142"/>
      <c r="W130" s="142"/>
      <c r="X130" s="142"/>
      <c r="Y130" s="142"/>
      <c r="Z130" s="142"/>
      <c r="AA130" s="142"/>
      <c r="AB130" s="142"/>
      <c r="AC130" s="142"/>
      <c r="AD130" s="142"/>
      <c r="AE130" s="142"/>
      <c r="AF130" s="142"/>
      <c r="AG130" s="142"/>
      <c r="AH130" s="142"/>
      <c r="AI130" s="142"/>
      <c r="AJ130" s="142"/>
    </row>
    <row r="131" spans="1:36" x14ac:dyDescent="0.2">
      <c r="A131" s="141" t="str">
        <f t="shared" si="104"/>
        <v>Energy Insights Program: NG</v>
      </c>
      <c r="B131" s="141" t="str">
        <f t="shared" si="105"/>
        <v>EIP NG EE</v>
      </c>
      <c r="E131" s="5" t="s">
        <v>345</v>
      </c>
      <c r="F131" s="205">
        <f>(F129/F130)</f>
        <v>22325.842465753423</v>
      </c>
      <c r="G131" s="142" t="s">
        <v>342</v>
      </c>
      <c r="H131" s="142"/>
      <c r="I131" s="142"/>
      <c r="J131" s="142"/>
      <c r="K131" s="142"/>
      <c r="L131" s="142"/>
      <c r="M131" s="142"/>
      <c r="N131" s="142"/>
      <c r="O131" s="142"/>
      <c r="P131" s="142"/>
      <c r="Q131" s="142"/>
      <c r="R131" s="142"/>
      <c r="S131" s="142"/>
      <c r="T131" s="142"/>
      <c r="U131" s="142"/>
      <c r="V131" s="142"/>
      <c r="W131" s="142"/>
      <c r="X131" s="142"/>
      <c r="Y131" s="142"/>
      <c r="Z131" s="142"/>
      <c r="AA131" s="142"/>
      <c r="AB131" s="142"/>
      <c r="AC131" s="142"/>
      <c r="AD131" s="142"/>
      <c r="AE131" s="142"/>
      <c r="AF131" s="142"/>
      <c r="AG131" s="142"/>
      <c r="AH131" s="142"/>
      <c r="AI131" s="142"/>
      <c r="AJ131" s="142"/>
    </row>
    <row r="132" spans="1:36" x14ac:dyDescent="0.2">
      <c r="A132" s="141" t="str">
        <f t="shared" si="104"/>
        <v>Energy Insights Program: NG</v>
      </c>
      <c r="B132" s="141" t="str">
        <f t="shared" si="105"/>
        <v>EIP NG EE</v>
      </c>
      <c r="E132" s="5" t="s">
        <v>332</v>
      </c>
      <c r="F132" s="205">
        <v>100</v>
      </c>
      <c r="G132" s="142" t="s">
        <v>333</v>
      </c>
      <c r="H132" s="141" t="s">
        <v>334</v>
      </c>
      <c r="I132" s="142"/>
      <c r="J132" s="142"/>
      <c r="K132" s="142"/>
      <c r="L132" s="341"/>
      <c r="M132" s="142"/>
      <c r="N132" s="142"/>
      <c r="O132" s="142"/>
      <c r="P132" s="142"/>
      <c r="Q132" s="142"/>
      <c r="R132" s="142"/>
      <c r="S132" s="142"/>
      <c r="T132" s="142"/>
      <c r="U132" s="142"/>
      <c r="V132" s="142"/>
      <c r="W132" s="142"/>
      <c r="X132" s="142"/>
      <c r="Y132" s="142"/>
      <c r="Z132" s="142"/>
      <c r="AA132" s="142"/>
      <c r="AB132" s="142"/>
      <c r="AC132" s="142"/>
      <c r="AD132" s="142"/>
      <c r="AE132" s="142"/>
      <c r="AF132" s="142"/>
      <c r="AG132" s="142"/>
      <c r="AH132" s="142"/>
      <c r="AI132" s="142"/>
      <c r="AJ132" s="142"/>
    </row>
    <row r="133" spans="1:36" ht="12" x14ac:dyDescent="0.25">
      <c r="A133" s="141" t="str">
        <f t="shared" si="104"/>
        <v>Energy Insights Program: NG</v>
      </c>
      <c r="B133" s="141" t="str">
        <f t="shared" si="105"/>
        <v>EIP NG EE</v>
      </c>
      <c r="E133" s="113" t="s">
        <v>286</v>
      </c>
      <c r="F133" s="142"/>
      <c r="G133" s="142"/>
      <c r="H133" s="142"/>
      <c r="I133" s="142"/>
      <c r="J133" s="142"/>
      <c r="K133" s="142"/>
      <c r="L133" s="142"/>
      <c r="M133" s="142"/>
      <c r="N133" s="142"/>
      <c r="O133" s="142"/>
      <c r="P133" s="142"/>
      <c r="Q133" s="142"/>
      <c r="R133" s="142"/>
      <c r="S133" s="142"/>
      <c r="T133" s="142"/>
      <c r="U133" s="142"/>
      <c r="V133" s="142"/>
      <c r="W133" s="142"/>
      <c r="X133" s="142"/>
      <c r="Y133" s="142"/>
      <c r="Z133" s="142"/>
      <c r="AA133" s="142"/>
      <c r="AB133" s="142"/>
      <c r="AC133" s="142"/>
      <c r="AD133" s="142"/>
      <c r="AE133" s="142"/>
      <c r="AF133" s="142"/>
      <c r="AG133" s="142"/>
      <c r="AH133" s="142"/>
      <c r="AI133" s="142"/>
      <c r="AJ133" s="142"/>
    </row>
    <row r="134" spans="1:36" x14ac:dyDescent="0.2">
      <c r="A134" s="141" t="str">
        <f t="shared" si="104"/>
        <v>Energy Insights Program: NG</v>
      </c>
      <c r="B134" s="141" t="str">
        <f t="shared" si="105"/>
        <v>EIP NG EE</v>
      </c>
      <c r="E134" s="5" t="s">
        <v>346</v>
      </c>
      <c r="F134" s="201">
        <f>(($F131*$F132))</f>
        <v>2232584.2465753425</v>
      </c>
      <c r="G134" s="201">
        <f t="shared" ref="G134:AJ134" si="106">(($F131*$F132))</f>
        <v>2232584.2465753425</v>
      </c>
      <c r="H134" s="201">
        <f t="shared" si="106"/>
        <v>2232584.2465753425</v>
      </c>
      <c r="I134" s="201">
        <f t="shared" si="106"/>
        <v>2232584.2465753425</v>
      </c>
      <c r="J134" s="201">
        <f t="shared" si="106"/>
        <v>2232584.2465753425</v>
      </c>
      <c r="K134" s="201">
        <f t="shared" si="106"/>
        <v>2232584.2465753425</v>
      </c>
      <c r="L134" s="201">
        <f t="shared" si="106"/>
        <v>2232584.2465753425</v>
      </c>
      <c r="M134" s="201">
        <f t="shared" si="106"/>
        <v>2232584.2465753425</v>
      </c>
      <c r="N134" s="201">
        <f t="shared" si="106"/>
        <v>2232584.2465753425</v>
      </c>
      <c r="O134" s="201">
        <f t="shared" si="106"/>
        <v>2232584.2465753425</v>
      </c>
      <c r="P134" s="201">
        <f t="shared" si="106"/>
        <v>2232584.2465753425</v>
      </c>
      <c r="Q134" s="201">
        <f t="shared" si="106"/>
        <v>2232584.2465753425</v>
      </c>
      <c r="R134" s="201">
        <f t="shared" si="106"/>
        <v>2232584.2465753425</v>
      </c>
      <c r="S134" s="201">
        <f t="shared" si="106"/>
        <v>2232584.2465753425</v>
      </c>
      <c r="T134" s="201">
        <f t="shared" si="106"/>
        <v>2232584.2465753425</v>
      </c>
      <c r="U134" s="201">
        <f t="shared" si="106"/>
        <v>2232584.2465753425</v>
      </c>
      <c r="V134" s="201">
        <f t="shared" si="106"/>
        <v>2232584.2465753425</v>
      </c>
      <c r="W134" s="201">
        <f t="shared" si="106"/>
        <v>2232584.2465753425</v>
      </c>
      <c r="X134" s="201">
        <f t="shared" si="106"/>
        <v>2232584.2465753425</v>
      </c>
      <c r="Y134" s="201">
        <f t="shared" si="106"/>
        <v>2232584.2465753425</v>
      </c>
      <c r="Z134" s="201">
        <f t="shared" si="106"/>
        <v>2232584.2465753425</v>
      </c>
      <c r="AA134" s="201">
        <f t="shared" si="106"/>
        <v>2232584.2465753425</v>
      </c>
      <c r="AB134" s="201">
        <f t="shared" si="106"/>
        <v>2232584.2465753425</v>
      </c>
      <c r="AC134" s="201">
        <f t="shared" si="106"/>
        <v>2232584.2465753425</v>
      </c>
      <c r="AD134" s="201">
        <f t="shared" si="106"/>
        <v>2232584.2465753425</v>
      </c>
      <c r="AE134" s="201">
        <f t="shared" si="106"/>
        <v>2232584.2465753425</v>
      </c>
      <c r="AF134" s="201">
        <f t="shared" si="106"/>
        <v>2232584.2465753425</v>
      </c>
      <c r="AG134" s="201">
        <f t="shared" si="106"/>
        <v>2232584.2465753425</v>
      </c>
      <c r="AH134" s="201">
        <f t="shared" si="106"/>
        <v>2232584.2465753425</v>
      </c>
      <c r="AI134" s="201">
        <f t="shared" si="106"/>
        <v>2232584.2465753425</v>
      </c>
      <c r="AJ134" s="201">
        <f t="shared" si="106"/>
        <v>2232584.2465753425</v>
      </c>
    </row>
    <row r="135" spans="1:36" x14ac:dyDescent="0.2">
      <c r="A135" s="141" t="str">
        <f t="shared" si="104"/>
        <v>Energy Insights Program: NG</v>
      </c>
      <c r="B135" s="141" t="str">
        <f t="shared" si="105"/>
        <v>EIP NG EE</v>
      </c>
      <c r="E135" s="5" t="s">
        <v>347</v>
      </c>
      <c r="F135" s="202">
        <f>(F134*$F$10)</f>
        <v>118371.61675342465</v>
      </c>
      <c r="G135" s="202">
        <f t="shared" ref="G135:AJ135" si="107">(G134*$F$10)</f>
        <v>118371.61675342465</v>
      </c>
      <c r="H135" s="202">
        <f t="shared" si="107"/>
        <v>118371.61675342465</v>
      </c>
      <c r="I135" s="202">
        <f t="shared" si="107"/>
        <v>118371.61675342465</v>
      </c>
      <c r="J135" s="202">
        <f t="shared" si="107"/>
        <v>118371.61675342465</v>
      </c>
      <c r="K135" s="202">
        <f t="shared" si="107"/>
        <v>118371.61675342465</v>
      </c>
      <c r="L135" s="202">
        <f t="shared" si="107"/>
        <v>118371.61675342465</v>
      </c>
      <c r="M135" s="202">
        <f t="shared" si="107"/>
        <v>118371.61675342465</v>
      </c>
      <c r="N135" s="202">
        <f t="shared" si="107"/>
        <v>118371.61675342465</v>
      </c>
      <c r="O135" s="202">
        <f t="shared" si="107"/>
        <v>118371.61675342465</v>
      </c>
      <c r="P135" s="202">
        <f t="shared" si="107"/>
        <v>118371.61675342465</v>
      </c>
      <c r="Q135" s="202">
        <f t="shared" si="107"/>
        <v>118371.61675342465</v>
      </c>
      <c r="R135" s="202">
        <f t="shared" si="107"/>
        <v>118371.61675342465</v>
      </c>
      <c r="S135" s="202">
        <f t="shared" si="107"/>
        <v>118371.61675342465</v>
      </c>
      <c r="T135" s="202">
        <f t="shared" si="107"/>
        <v>118371.61675342465</v>
      </c>
      <c r="U135" s="202">
        <f t="shared" si="107"/>
        <v>118371.61675342465</v>
      </c>
      <c r="V135" s="202">
        <f t="shared" si="107"/>
        <v>118371.61675342465</v>
      </c>
      <c r="W135" s="202">
        <f t="shared" si="107"/>
        <v>118371.61675342465</v>
      </c>
      <c r="X135" s="202">
        <f t="shared" si="107"/>
        <v>118371.61675342465</v>
      </c>
      <c r="Y135" s="202">
        <f t="shared" si="107"/>
        <v>118371.61675342465</v>
      </c>
      <c r="Z135" s="202">
        <f t="shared" si="107"/>
        <v>118371.61675342465</v>
      </c>
      <c r="AA135" s="202">
        <f t="shared" si="107"/>
        <v>118371.61675342465</v>
      </c>
      <c r="AB135" s="202">
        <f t="shared" si="107"/>
        <v>118371.61675342465</v>
      </c>
      <c r="AC135" s="202">
        <f t="shared" si="107"/>
        <v>118371.61675342465</v>
      </c>
      <c r="AD135" s="202">
        <f t="shared" si="107"/>
        <v>118371.61675342465</v>
      </c>
      <c r="AE135" s="202">
        <f t="shared" si="107"/>
        <v>118371.61675342465</v>
      </c>
      <c r="AF135" s="202">
        <f t="shared" si="107"/>
        <v>118371.61675342465</v>
      </c>
      <c r="AG135" s="202">
        <f t="shared" si="107"/>
        <v>118371.61675342465</v>
      </c>
      <c r="AH135" s="202">
        <f t="shared" si="107"/>
        <v>118371.61675342465</v>
      </c>
      <c r="AI135" s="202">
        <f t="shared" si="107"/>
        <v>118371.61675342465</v>
      </c>
      <c r="AJ135" s="202">
        <f t="shared" si="107"/>
        <v>118371.61675342465</v>
      </c>
    </row>
    <row r="136" spans="1:36" x14ac:dyDescent="0.2">
      <c r="A136" s="141" t="str">
        <f t="shared" si="104"/>
        <v>Energy Insights Program: NG</v>
      </c>
      <c r="B136" s="141" t="str">
        <f t="shared" si="105"/>
        <v>EIP NG EE</v>
      </c>
      <c r="E136" s="5" t="s">
        <v>348</v>
      </c>
      <c r="F136" s="201"/>
      <c r="G136" s="208">
        <f>G134*$F138*$F$10</f>
        <v>118371.61675342465</v>
      </c>
      <c r="H136" s="208">
        <f>H134*$F138*$F$10</f>
        <v>118371.61675342465</v>
      </c>
      <c r="I136" s="208">
        <f t="shared" ref="I136:AJ136" si="108">I134*$F138*$F$10</f>
        <v>118371.61675342465</v>
      </c>
      <c r="J136" s="208">
        <f t="shared" si="108"/>
        <v>118371.61675342465</v>
      </c>
      <c r="K136" s="208">
        <f t="shared" si="108"/>
        <v>118371.61675342465</v>
      </c>
      <c r="L136" s="208">
        <f>L134*$F138*$F$10</f>
        <v>118371.61675342465</v>
      </c>
      <c r="M136" s="208">
        <f t="shared" si="108"/>
        <v>118371.61675342465</v>
      </c>
      <c r="N136" s="208">
        <f t="shared" si="108"/>
        <v>118371.61675342465</v>
      </c>
      <c r="O136" s="208">
        <f t="shared" si="108"/>
        <v>118371.61675342465</v>
      </c>
      <c r="P136" s="208">
        <f t="shared" si="108"/>
        <v>118371.61675342465</v>
      </c>
      <c r="Q136" s="208">
        <f t="shared" si="108"/>
        <v>118371.61675342465</v>
      </c>
      <c r="R136" s="208">
        <f t="shared" si="108"/>
        <v>118371.61675342465</v>
      </c>
      <c r="S136" s="208">
        <f t="shared" si="108"/>
        <v>118371.61675342465</v>
      </c>
      <c r="T136" s="208">
        <f t="shared" si="108"/>
        <v>118371.61675342465</v>
      </c>
      <c r="U136" s="208">
        <f t="shared" si="108"/>
        <v>118371.61675342465</v>
      </c>
      <c r="V136" s="208">
        <f t="shared" si="108"/>
        <v>118371.61675342465</v>
      </c>
      <c r="W136" s="208">
        <f t="shared" si="108"/>
        <v>118371.61675342465</v>
      </c>
      <c r="X136" s="208">
        <f t="shared" si="108"/>
        <v>118371.61675342465</v>
      </c>
      <c r="Y136" s="208">
        <f t="shared" si="108"/>
        <v>118371.61675342465</v>
      </c>
      <c r="Z136" s="208">
        <f t="shared" si="108"/>
        <v>118371.61675342465</v>
      </c>
      <c r="AA136" s="208">
        <f t="shared" si="108"/>
        <v>118371.61675342465</v>
      </c>
      <c r="AB136" s="208">
        <f t="shared" si="108"/>
        <v>118371.61675342465</v>
      </c>
      <c r="AC136" s="208">
        <f t="shared" si="108"/>
        <v>118371.61675342465</v>
      </c>
      <c r="AD136" s="208">
        <f t="shared" si="108"/>
        <v>118371.61675342465</v>
      </c>
      <c r="AE136" s="208">
        <f t="shared" si="108"/>
        <v>118371.61675342465</v>
      </c>
      <c r="AF136" s="208">
        <f t="shared" si="108"/>
        <v>118371.61675342465</v>
      </c>
      <c r="AG136" s="208">
        <f t="shared" si="108"/>
        <v>118371.61675342465</v>
      </c>
      <c r="AH136" s="208">
        <f t="shared" si="108"/>
        <v>118371.61675342465</v>
      </c>
      <c r="AI136" s="208">
        <f t="shared" si="108"/>
        <v>118371.61675342465</v>
      </c>
      <c r="AJ136" s="208">
        <f t="shared" si="108"/>
        <v>118371.61675342465</v>
      </c>
    </row>
    <row r="137" spans="1:36" ht="12" x14ac:dyDescent="0.25">
      <c r="A137" s="141" t="str">
        <f t="shared" si="104"/>
        <v>Energy Insights Program: NG</v>
      </c>
      <c r="B137" s="141" t="str">
        <f t="shared" si="105"/>
        <v>EIP NG EE</v>
      </c>
      <c r="E137" s="113" t="s">
        <v>289</v>
      </c>
      <c r="F137" s="142"/>
      <c r="G137" s="142"/>
      <c r="H137" s="142"/>
      <c r="I137" s="142"/>
      <c r="J137" s="142"/>
      <c r="K137" s="194" t="s">
        <v>336</v>
      </c>
      <c r="L137" s="142"/>
      <c r="M137" s="142"/>
      <c r="N137" s="142"/>
      <c r="O137" s="142"/>
      <c r="P137" s="142"/>
      <c r="Q137" s="142"/>
      <c r="R137" s="142"/>
      <c r="S137" s="142"/>
      <c r="T137" s="142"/>
      <c r="V137" s="194" t="s">
        <v>349</v>
      </c>
      <c r="W137" s="142"/>
      <c r="X137" s="142"/>
      <c r="Y137" s="142"/>
      <c r="Z137" s="142"/>
      <c r="AA137" s="142"/>
      <c r="AB137" s="142"/>
      <c r="AC137" s="142"/>
      <c r="AD137" s="142"/>
      <c r="AE137" s="142"/>
      <c r="AF137" s="142"/>
      <c r="AG137" s="142"/>
      <c r="AH137" s="142"/>
      <c r="AI137" s="142"/>
      <c r="AJ137" s="142"/>
    </row>
    <row r="138" spans="1:36" x14ac:dyDescent="0.2">
      <c r="A138" s="141" t="str">
        <f t="shared" si="104"/>
        <v>Energy Insights Program: NG</v>
      </c>
      <c r="B138" s="141" t="str">
        <f t="shared" si="105"/>
        <v>EIP NG EE</v>
      </c>
      <c r="E138" s="5" t="s">
        <v>350</v>
      </c>
      <c r="F138" s="207">
        <v>1</v>
      </c>
      <c r="G138" s="177" t="s">
        <v>351</v>
      </c>
      <c r="H138" s="177"/>
      <c r="I138" s="177"/>
      <c r="J138" s="177"/>
      <c r="K138" s="253">
        <v>0</v>
      </c>
      <c r="L138" s="196">
        <v>0</v>
      </c>
      <c r="M138" s="195">
        <v>0.04</v>
      </c>
      <c r="N138" s="196">
        <f t="shared" ref="N138:T138" si="109">M138</f>
        <v>0.04</v>
      </c>
      <c r="O138" s="196">
        <f>N138</f>
        <v>0.04</v>
      </c>
      <c r="P138" s="196">
        <f t="shared" si="109"/>
        <v>0.04</v>
      </c>
      <c r="Q138" s="196">
        <f t="shared" si="109"/>
        <v>0.04</v>
      </c>
      <c r="R138" s="196">
        <f t="shared" si="109"/>
        <v>0.04</v>
      </c>
      <c r="S138" s="196">
        <f t="shared" si="109"/>
        <v>0.04</v>
      </c>
      <c r="T138" s="196">
        <f t="shared" si="109"/>
        <v>0.04</v>
      </c>
      <c r="U138" s="196">
        <f>T138</f>
        <v>0.04</v>
      </c>
      <c r="V138" s="196">
        <f>U138</f>
        <v>0.04</v>
      </c>
      <c r="W138" s="196">
        <v>0</v>
      </c>
      <c r="X138" s="196">
        <v>0</v>
      </c>
      <c r="Y138" s="196">
        <v>0</v>
      </c>
      <c r="Z138" s="196">
        <v>0</v>
      </c>
      <c r="AA138" s="196">
        <v>0</v>
      </c>
      <c r="AB138" s="196">
        <v>0</v>
      </c>
      <c r="AC138" s="196">
        <v>0</v>
      </c>
      <c r="AD138" s="196">
        <v>0</v>
      </c>
      <c r="AE138" s="196">
        <v>0</v>
      </c>
      <c r="AF138" s="196">
        <v>0</v>
      </c>
      <c r="AG138" s="196">
        <v>0</v>
      </c>
      <c r="AH138" s="196">
        <v>0</v>
      </c>
      <c r="AI138" s="196">
        <v>0</v>
      </c>
      <c r="AJ138" s="196">
        <v>0</v>
      </c>
    </row>
    <row r="139" spans="1:36" x14ac:dyDescent="0.2">
      <c r="A139" s="141" t="str">
        <f t="shared" si="104"/>
        <v>Energy Insights Program: NG</v>
      </c>
      <c r="B139" s="141" t="str">
        <f t="shared" si="105"/>
        <v>EIP NG EE</v>
      </c>
      <c r="E139" s="5" t="s">
        <v>352</v>
      </c>
      <c r="F139" s="203"/>
      <c r="G139" s="203"/>
      <c r="H139" s="203"/>
      <c r="I139" s="203"/>
      <c r="J139" s="203"/>
      <c r="K139" s="204">
        <f>K134*$F138*(1-K$138)</f>
        <v>2232584.2465753425</v>
      </c>
      <c r="L139" s="204">
        <f t="shared" ref="L139:AJ139" si="110">L134*$F138*(1-L$138)</f>
        <v>2232584.2465753425</v>
      </c>
      <c r="M139" s="204">
        <f t="shared" si="110"/>
        <v>2143280.8767123288</v>
      </c>
      <c r="N139" s="204">
        <f t="shared" si="110"/>
        <v>2143280.8767123288</v>
      </c>
      <c r="O139" s="204">
        <f t="shared" si="110"/>
        <v>2143280.8767123288</v>
      </c>
      <c r="P139" s="204">
        <f t="shared" si="110"/>
        <v>2143280.8767123288</v>
      </c>
      <c r="Q139" s="204">
        <f t="shared" si="110"/>
        <v>2143280.8767123288</v>
      </c>
      <c r="R139" s="204">
        <f t="shared" si="110"/>
        <v>2143280.8767123288</v>
      </c>
      <c r="S139" s="204">
        <f t="shared" si="110"/>
        <v>2143280.8767123288</v>
      </c>
      <c r="T139" s="204">
        <f t="shared" si="110"/>
        <v>2143280.8767123288</v>
      </c>
      <c r="U139" s="204">
        <f t="shared" si="110"/>
        <v>2143280.8767123288</v>
      </c>
      <c r="V139" s="204">
        <f t="shared" si="110"/>
        <v>2143280.8767123288</v>
      </c>
      <c r="W139" s="204">
        <f t="shared" si="110"/>
        <v>2232584.2465753425</v>
      </c>
      <c r="X139" s="204">
        <f t="shared" si="110"/>
        <v>2232584.2465753425</v>
      </c>
      <c r="Y139" s="204">
        <f t="shared" si="110"/>
        <v>2232584.2465753425</v>
      </c>
      <c r="Z139" s="204">
        <f t="shared" si="110"/>
        <v>2232584.2465753425</v>
      </c>
      <c r="AA139" s="204">
        <f t="shared" si="110"/>
        <v>2232584.2465753425</v>
      </c>
      <c r="AB139" s="204">
        <f t="shared" si="110"/>
        <v>2232584.2465753425</v>
      </c>
      <c r="AC139" s="204">
        <f t="shared" si="110"/>
        <v>2232584.2465753425</v>
      </c>
      <c r="AD139" s="204">
        <f t="shared" si="110"/>
        <v>2232584.2465753425</v>
      </c>
      <c r="AE139" s="204">
        <f t="shared" si="110"/>
        <v>2232584.2465753425</v>
      </c>
      <c r="AF139" s="204">
        <f t="shared" si="110"/>
        <v>2232584.2465753425</v>
      </c>
      <c r="AG139" s="204">
        <f t="shared" si="110"/>
        <v>2232584.2465753425</v>
      </c>
      <c r="AH139" s="204">
        <f t="shared" si="110"/>
        <v>2232584.2465753425</v>
      </c>
      <c r="AI139" s="204">
        <f t="shared" si="110"/>
        <v>2232584.2465753425</v>
      </c>
      <c r="AJ139" s="204">
        <f t="shared" si="110"/>
        <v>2232584.2465753425</v>
      </c>
    </row>
    <row r="140" spans="1:36" x14ac:dyDescent="0.2">
      <c r="A140" s="141" t="str">
        <f t="shared" si="104"/>
        <v>Energy Insights Program: NG</v>
      </c>
      <c r="B140" s="141" t="str">
        <f t="shared" si="105"/>
        <v>EIP NG EE</v>
      </c>
      <c r="E140" s="5" t="s">
        <v>353</v>
      </c>
      <c r="F140" s="203"/>
      <c r="G140" s="203"/>
      <c r="H140" s="203"/>
      <c r="I140" s="203"/>
      <c r="J140" s="203"/>
      <c r="K140" s="204">
        <f>(K139*$F$10)</f>
        <v>118371.61675342465</v>
      </c>
      <c r="L140" s="204">
        <f t="shared" ref="L140:AJ140" si="111">(L139*$F$10)</f>
        <v>118371.61675342465</v>
      </c>
      <c r="M140" s="204">
        <f t="shared" si="111"/>
        <v>113636.75208328766</v>
      </c>
      <c r="N140" s="204">
        <f t="shared" si="111"/>
        <v>113636.75208328766</v>
      </c>
      <c r="O140" s="204">
        <f t="shared" si="111"/>
        <v>113636.75208328766</v>
      </c>
      <c r="P140" s="204">
        <f t="shared" si="111"/>
        <v>113636.75208328766</v>
      </c>
      <c r="Q140" s="204">
        <f t="shared" si="111"/>
        <v>113636.75208328766</v>
      </c>
      <c r="R140" s="204">
        <f t="shared" si="111"/>
        <v>113636.75208328766</v>
      </c>
      <c r="S140" s="204">
        <f t="shared" si="111"/>
        <v>113636.75208328766</v>
      </c>
      <c r="T140" s="204">
        <f t="shared" si="111"/>
        <v>113636.75208328766</v>
      </c>
      <c r="U140" s="204">
        <f t="shared" si="111"/>
        <v>113636.75208328766</v>
      </c>
      <c r="V140" s="204">
        <f t="shared" si="111"/>
        <v>113636.75208328766</v>
      </c>
      <c r="W140" s="204">
        <f t="shared" si="111"/>
        <v>118371.61675342465</v>
      </c>
      <c r="X140" s="204">
        <f t="shared" si="111"/>
        <v>118371.61675342465</v>
      </c>
      <c r="Y140" s="204">
        <f t="shared" si="111"/>
        <v>118371.61675342465</v>
      </c>
      <c r="Z140" s="204">
        <f t="shared" si="111"/>
        <v>118371.61675342465</v>
      </c>
      <c r="AA140" s="204">
        <f t="shared" si="111"/>
        <v>118371.61675342465</v>
      </c>
      <c r="AB140" s="204">
        <f t="shared" si="111"/>
        <v>118371.61675342465</v>
      </c>
      <c r="AC140" s="204">
        <f t="shared" si="111"/>
        <v>118371.61675342465</v>
      </c>
      <c r="AD140" s="204">
        <f t="shared" si="111"/>
        <v>118371.61675342465</v>
      </c>
      <c r="AE140" s="204">
        <f t="shared" si="111"/>
        <v>118371.61675342465</v>
      </c>
      <c r="AF140" s="204">
        <f t="shared" si="111"/>
        <v>118371.61675342465</v>
      </c>
      <c r="AG140" s="204">
        <f t="shared" si="111"/>
        <v>118371.61675342465</v>
      </c>
      <c r="AH140" s="204">
        <f t="shared" si="111"/>
        <v>118371.61675342465</v>
      </c>
      <c r="AI140" s="204">
        <f t="shared" si="111"/>
        <v>118371.61675342465</v>
      </c>
      <c r="AJ140" s="204">
        <f t="shared" si="111"/>
        <v>118371.61675342465</v>
      </c>
    </row>
    <row r="141" spans="1:36" x14ac:dyDescent="0.2">
      <c r="A141" s="141" t="str">
        <f t="shared" si="104"/>
        <v>Energy Insights Program: NG</v>
      </c>
      <c r="B141" s="141" t="str">
        <f t="shared" si="105"/>
        <v>EIP NG EE</v>
      </c>
      <c r="E141" s="5"/>
      <c r="F141" s="197"/>
      <c r="G141" s="197"/>
      <c r="H141" s="197"/>
      <c r="I141" s="197"/>
      <c r="J141" s="197"/>
      <c r="K141" s="193"/>
      <c r="L141" s="198"/>
      <c r="M141" s="198"/>
      <c r="N141" s="198"/>
      <c r="O141" s="198"/>
      <c r="P141" s="198"/>
      <c r="Q141" s="198"/>
      <c r="R141" s="198"/>
      <c r="S141" s="198"/>
      <c r="T141" s="198"/>
      <c r="U141" s="198"/>
      <c r="V141" s="198"/>
      <c r="W141" s="198"/>
      <c r="X141" s="198"/>
      <c r="Y141" s="198"/>
      <c r="Z141" s="198"/>
      <c r="AA141" s="198"/>
      <c r="AB141" s="198"/>
      <c r="AC141" s="198"/>
      <c r="AD141" s="198"/>
      <c r="AE141" s="198"/>
      <c r="AF141" s="198"/>
      <c r="AG141" s="198"/>
      <c r="AH141" s="198"/>
      <c r="AI141" s="198"/>
      <c r="AJ141" s="198"/>
    </row>
    <row r="142" spans="1:36" x14ac:dyDescent="0.2">
      <c r="A142" s="141" t="str">
        <f t="shared" si="104"/>
        <v>Energy Insights Program: NG</v>
      </c>
      <c r="B142" s="141" t="str">
        <f t="shared" si="105"/>
        <v>EIP NG EE</v>
      </c>
      <c r="E142" s="5"/>
      <c r="F142" s="199" t="s">
        <v>156</v>
      </c>
      <c r="G142" s="200" t="s">
        <v>130</v>
      </c>
      <c r="H142" s="200" t="s">
        <v>157</v>
      </c>
      <c r="I142" s="197"/>
      <c r="J142" s="197"/>
      <c r="K142" s="193"/>
      <c r="L142" s="198"/>
      <c r="M142" s="198"/>
      <c r="N142" s="198"/>
      <c r="O142" s="198"/>
      <c r="P142" s="198"/>
      <c r="Q142" s="198"/>
      <c r="R142" s="198"/>
      <c r="S142" s="198"/>
      <c r="T142" s="198"/>
      <c r="U142" s="198"/>
      <c r="V142" s="198"/>
      <c r="W142" s="198"/>
      <c r="X142" s="198"/>
      <c r="Y142" s="198"/>
      <c r="Z142" s="198"/>
      <c r="AA142" s="198"/>
      <c r="AB142" s="198"/>
      <c r="AC142" s="198"/>
      <c r="AD142" s="198"/>
      <c r="AE142" s="198"/>
      <c r="AF142" s="198"/>
      <c r="AG142" s="198"/>
      <c r="AH142" s="198"/>
      <c r="AI142" s="198"/>
      <c r="AJ142" s="198"/>
    </row>
    <row r="143" spans="1:36" ht="12" x14ac:dyDescent="0.25">
      <c r="A143" s="141" t="str">
        <f t="shared" si="104"/>
        <v>Energy Insights Program: NG</v>
      </c>
      <c r="B143" s="141" t="str">
        <f t="shared" si="105"/>
        <v>EIP NG EE</v>
      </c>
      <c r="C143" s="141" t="s">
        <v>140</v>
      </c>
      <c r="E143" s="113" t="s">
        <v>251</v>
      </c>
      <c r="F143" s="119">
        <f>AVERAGE(K143:AJ143)</f>
        <v>1821.1017962065334</v>
      </c>
      <c r="G143" s="119">
        <f>SUM(K143:P143)</f>
        <v>18939.458680547948</v>
      </c>
      <c r="H143" s="119">
        <f>SUM(K143:AJ143)</f>
        <v>47348.646701369871</v>
      </c>
      <c r="I143" s="29" t="s">
        <v>142</v>
      </c>
      <c r="J143" s="197"/>
      <c r="K143" s="192">
        <f>(K136-K140)</f>
        <v>0</v>
      </c>
      <c r="L143" s="192">
        <f t="shared" ref="L143:AJ143" si="112">(L136-L140)</f>
        <v>0</v>
      </c>
      <c r="M143" s="192">
        <f t="shared" si="112"/>
        <v>4734.8646701369871</v>
      </c>
      <c r="N143" s="192">
        <f t="shared" si="112"/>
        <v>4734.8646701369871</v>
      </c>
      <c r="O143" s="192">
        <f t="shared" si="112"/>
        <v>4734.8646701369871</v>
      </c>
      <c r="P143" s="192">
        <f t="shared" si="112"/>
        <v>4734.8646701369871</v>
      </c>
      <c r="Q143" s="192">
        <f t="shared" si="112"/>
        <v>4734.8646701369871</v>
      </c>
      <c r="R143" s="192">
        <f t="shared" si="112"/>
        <v>4734.8646701369871</v>
      </c>
      <c r="S143" s="192">
        <f t="shared" si="112"/>
        <v>4734.8646701369871</v>
      </c>
      <c r="T143" s="192">
        <f t="shared" si="112"/>
        <v>4734.8646701369871</v>
      </c>
      <c r="U143" s="192">
        <f t="shared" si="112"/>
        <v>4734.8646701369871</v>
      </c>
      <c r="V143" s="192">
        <f t="shared" si="112"/>
        <v>4734.8646701369871</v>
      </c>
      <c r="W143" s="192">
        <f t="shared" si="112"/>
        <v>0</v>
      </c>
      <c r="X143" s="192">
        <f t="shared" si="112"/>
        <v>0</v>
      </c>
      <c r="Y143" s="192">
        <f t="shared" si="112"/>
        <v>0</v>
      </c>
      <c r="Z143" s="192">
        <f t="shared" si="112"/>
        <v>0</v>
      </c>
      <c r="AA143" s="192">
        <f t="shared" si="112"/>
        <v>0</v>
      </c>
      <c r="AB143" s="192">
        <f t="shared" si="112"/>
        <v>0</v>
      </c>
      <c r="AC143" s="192">
        <f t="shared" si="112"/>
        <v>0</v>
      </c>
      <c r="AD143" s="192">
        <f t="shared" si="112"/>
        <v>0</v>
      </c>
      <c r="AE143" s="192">
        <f t="shared" si="112"/>
        <v>0</v>
      </c>
      <c r="AF143" s="192">
        <f t="shared" si="112"/>
        <v>0</v>
      </c>
      <c r="AG143" s="192">
        <f t="shared" si="112"/>
        <v>0</v>
      </c>
      <c r="AH143" s="192">
        <f t="shared" si="112"/>
        <v>0</v>
      </c>
      <c r="AI143" s="192">
        <f t="shared" si="112"/>
        <v>0</v>
      </c>
      <c r="AJ143" s="192">
        <f t="shared" si="112"/>
        <v>0</v>
      </c>
    </row>
    <row r="144" spans="1:36" ht="12" x14ac:dyDescent="0.25">
      <c r="A144" s="141"/>
      <c r="B144" s="141"/>
      <c r="C144" s="141"/>
      <c r="E144" s="22"/>
    </row>
    <row r="145" spans="1:36" ht="12" x14ac:dyDescent="0.25">
      <c r="A145" s="141" t="str">
        <f>E145</f>
        <v>Energy Insights Program</v>
      </c>
      <c r="B145" s="133" t="s">
        <v>91</v>
      </c>
      <c r="C145" s="141"/>
      <c r="D145" s="33"/>
      <c r="E145" s="34" t="s">
        <v>9</v>
      </c>
      <c r="F145" s="33"/>
      <c r="G145" s="123" t="s">
        <v>218</v>
      </c>
      <c r="H145" s="33"/>
      <c r="I145" s="33"/>
      <c r="J145" s="33"/>
      <c r="K145" s="33"/>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row>
    <row r="146" spans="1:36" x14ac:dyDescent="0.2">
      <c r="A146" s="141" t="str">
        <f>A145</f>
        <v>Energy Insights Program</v>
      </c>
      <c r="B146" s="141" t="str">
        <f>(B145)</f>
        <v>Total for Mult. Meas.</v>
      </c>
      <c r="C146" s="141"/>
      <c r="E146" s="5"/>
      <c r="F146" s="200" t="s">
        <v>156</v>
      </c>
      <c r="G146" s="200" t="s">
        <v>130</v>
      </c>
      <c r="H146" s="200" t="s">
        <v>157</v>
      </c>
      <c r="I146" s="197"/>
    </row>
    <row r="147" spans="1:36" ht="12" x14ac:dyDescent="0.25">
      <c r="A147" s="141" t="str">
        <f>A146</f>
        <v>Energy Insights Program</v>
      </c>
      <c r="B147" s="141" t="str">
        <f>(B146)</f>
        <v>Total for Mult. Meas.</v>
      </c>
      <c r="C147" s="141" t="s">
        <v>140</v>
      </c>
      <c r="E147" s="113" t="s">
        <v>219</v>
      </c>
      <c r="F147" s="140">
        <f>AVERAGE(K147:AJ147)</f>
        <v>5099.9269516346303</v>
      </c>
      <c r="G147" s="140">
        <f>SUM(K147:P147)</f>
        <v>71110.316473922576</v>
      </c>
      <c r="H147" s="140">
        <f>SUM(K147:AJ147)</f>
        <v>132598.10074250039</v>
      </c>
      <c r="I147" s="29" t="s">
        <v>142</v>
      </c>
      <c r="K147" s="242">
        <f t="shared" ref="K147:AJ147" si="113">(K143+K126)</f>
        <v>0</v>
      </c>
      <c r="L147" s="242">
        <f t="shared" si="113"/>
        <v>13969.396169145291</v>
      </c>
      <c r="M147" s="242">
        <f t="shared" si="113"/>
        <v>16073.457215964778</v>
      </c>
      <c r="N147" s="242">
        <f t="shared" si="113"/>
        <v>15082.148257364801</v>
      </c>
      <c r="O147" s="242">
        <f t="shared" si="113"/>
        <v>13730.712819669325</v>
      </c>
      <c r="P147" s="242">
        <f t="shared" si="113"/>
        <v>12254.602011778385</v>
      </c>
      <c r="Q147" s="242">
        <f t="shared" si="113"/>
        <v>11960.479208369736</v>
      </c>
      <c r="R147" s="242">
        <f t="shared" si="113"/>
        <v>11509.264636789845</v>
      </c>
      <c r="S147" s="242">
        <f t="shared" si="113"/>
        <v>11362.641701701166</v>
      </c>
      <c r="T147" s="242">
        <f t="shared" si="113"/>
        <v>10993.33172621013</v>
      </c>
      <c r="U147" s="242">
        <f t="shared" si="113"/>
        <v>10927.202325369954</v>
      </c>
      <c r="V147" s="242">
        <f t="shared" si="113"/>
        <v>4734.8646701369871</v>
      </c>
      <c r="W147" s="242">
        <f t="shared" si="113"/>
        <v>0</v>
      </c>
      <c r="X147" s="242">
        <f t="shared" si="113"/>
        <v>0</v>
      </c>
      <c r="Y147" s="242">
        <f t="shared" si="113"/>
        <v>0</v>
      </c>
      <c r="Z147" s="242">
        <f t="shared" si="113"/>
        <v>0</v>
      </c>
      <c r="AA147" s="242">
        <f t="shared" si="113"/>
        <v>0</v>
      </c>
      <c r="AB147" s="242">
        <f t="shared" si="113"/>
        <v>0</v>
      </c>
      <c r="AC147" s="242">
        <f t="shared" si="113"/>
        <v>0</v>
      </c>
      <c r="AD147" s="242">
        <f t="shared" si="113"/>
        <v>0</v>
      </c>
      <c r="AE147" s="242">
        <f t="shared" si="113"/>
        <v>0</v>
      </c>
      <c r="AF147" s="242">
        <f t="shared" si="113"/>
        <v>0</v>
      </c>
      <c r="AG147" s="242">
        <f t="shared" si="113"/>
        <v>0</v>
      </c>
      <c r="AH147" s="242">
        <f t="shared" si="113"/>
        <v>0</v>
      </c>
      <c r="AI147" s="242">
        <f t="shared" si="113"/>
        <v>0</v>
      </c>
      <c r="AJ147" s="242">
        <f t="shared" si="113"/>
        <v>0</v>
      </c>
    </row>
    <row r="148" spans="1:36" ht="12" x14ac:dyDescent="0.25">
      <c r="A148" s="141"/>
      <c r="B148" s="141"/>
      <c r="C148" s="141"/>
      <c r="F148" s="335"/>
      <c r="G148" s="335"/>
      <c r="H148" s="335"/>
      <c r="I148" s="29"/>
      <c r="K148" s="333"/>
      <c r="L148" s="333"/>
      <c r="M148" s="333"/>
      <c r="N148" s="333"/>
      <c r="O148" s="333"/>
      <c r="P148" s="333"/>
      <c r="Q148" s="333"/>
      <c r="R148" s="333"/>
      <c r="S148" s="333"/>
      <c r="T148" s="333"/>
      <c r="U148" s="333"/>
      <c r="V148" s="333"/>
      <c r="W148" s="333"/>
      <c r="X148" s="333"/>
      <c r="Y148" s="333"/>
      <c r="Z148" s="333"/>
      <c r="AA148" s="333"/>
      <c r="AB148" s="333"/>
      <c r="AC148" s="333"/>
      <c r="AD148" s="333"/>
      <c r="AE148" s="333"/>
      <c r="AF148" s="333"/>
      <c r="AG148" s="333"/>
      <c r="AH148" s="333"/>
      <c r="AI148" s="333"/>
      <c r="AJ148" s="333"/>
    </row>
    <row r="149" spans="1:36" ht="12" x14ac:dyDescent="0.25">
      <c r="A149" s="141"/>
      <c r="B149" s="141"/>
      <c r="C149" s="141"/>
      <c r="E149" s="113"/>
      <c r="F149" s="140"/>
      <c r="G149" s="140"/>
      <c r="H149" s="140"/>
      <c r="I149" s="29"/>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row>
  </sheetData>
  <hyperlinks>
    <hyperlink ref="F6" r:id="rId1" location="q=Product_Group_s%3A%22Furnaces%22" xr:uid="{7C8EA201-9DB1-4991-A25A-31FFEFF92BFB}"/>
    <hyperlink ref="Q5" r:id="rId2" xr:uid="{02D228D9-7BE9-4F0C-8E78-F802965A7159}"/>
    <hyperlink ref="AB3" r:id="rId3" display="https://www.census.gov/data/datasets/2021/econ/cbp/2021-cbp.html" xr:uid="{C487AC92-44CD-497F-8601-32E5BB7D2180}"/>
    <hyperlink ref="AB4" r:id="rId4" location=":~:text=For%20instance%2C%20one%20study%20estimates,techniques%20are%20just%20as%20promising." display="https://cee1.org/index.php/program-insights/center-for-equity-and-energy-behavior/ - :~:text=For%20instance%2C%20one%20study%20estimates,techniques%20are%20just%20as%20promising." xr:uid="{F03200A5-BAF7-404C-941A-9FE9058FECE5}"/>
    <hyperlink ref="Q6" r:id="rId5" xr:uid="{B48C4D52-A685-49AB-9100-9792181B7F5D}"/>
    <hyperlink ref="Q4" r:id="rId6" xr:uid="{0248DC15-4F12-4BA0-8558-A302968848AE}"/>
    <hyperlink ref="Q3" r:id="rId7" display="https://www.eia.gov/consumption/commercial/data/2018/ce/pdf/e1.pdf" xr:uid="{03E96964-7EE8-45CF-8F34-7EF48596DE02}"/>
  </hyperlinks>
  <pageMargins left="0.7" right="0.7" top="0.75" bottom="0.75" header="0.3" footer="0.3"/>
  <pageSetup paperSize="9" orientation="portrait" r:id="rId8"/>
  <legacyDrawing r:id="rId9"/>
  <extLst>
    <ext xmlns:x14="http://schemas.microsoft.com/office/spreadsheetml/2009/9/main" uri="{CCE6A557-97BC-4b89-ADB6-D9C93CAAB3DF}">
      <x14:dataValidations xmlns:xm="http://schemas.microsoft.com/office/excel/2006/main" count="1">
        <x14:dataValidation type="list" allowBlank="1" showInputMessage="1" showErrorMessage="1" xr:uid="{FCD0C18D-E0C4-4BF9-B91B-EE0CDE6CE7B0}">
          <x14:formula1>
            <xm:f>Lists!$D$3:$D$20</xm:f>
          </x14:formula1>
          <xm:sqref>B29 B95 B14 B90 B145 B113 B74 B60 B43 B128 B101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b91286f-57c2-4f33-b63d-a5bfa7c2537b">
      <Terms xmlns="http://schemas.microsoft.com/office/infopath/2007/PartnerControls"/>
    </lcf76f155ced4ddcb4097134ff3c332f>
    <TaxCatchAll xmlns="e74270bd-479e-48db-880e-0eec695db08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E1BCAE634E0D48A8BC64692F246091" ma:contentTypeVersion="15" ma:contentTypeDescription="Create a new document." ma:contentTypeScope="" ma:versionID="a4d66e9df8858e3b717f4bf115edb847">
  <xsd:schema xmlns:xsd="http://www.w3.org/2001/XMLSchema" xmlns:xs="http://www.w3.org/2001/XMLSchema" xmlns:p="http://schemas.microsoft.com/office/2006/metadata/properties" xmlns:ns2="eb91286f-57c2-4f33-b63d-a5bfa7c2537b" xmlns:ns3="e74270bd-479e-48db-880e-0eec695db086" targetNamespace="http://schemas.microsoft.com/office/2006/metadata/properties" ma:root="true" ma:fieldsID="5bc5841b3d3696fa8a7f55d52d068d49" ns2:_="" ns3:_="">
    <xsd:import namespace="eb91286f-57c2-4f33-b63d-a5bfa7c2537b"/>
    <xsd:import namespace="e74270bd-479e-48db-880e-0eec695db08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91286f-57c2-4f33-b63d-a5bfa7c253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7cf98923-f688-424c-b29d-669cd3481346"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4270bd-479e-48db-880e-0eec695db086"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d83e13d7-7ed9-4b37-944a-cd1d7182315c}" ma:internalName="TaxCatchAll" ma:showField="CatchAllData" ma:web="e74270bd-479e-48db-880e-0eec695db08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CBBB3F-4DFB-474E-A5D1-C192C51D8960}">
  <ds:schemaRefs>
    <ds:schemaRef ds:uri="http://schemas.microsoft.com/office/2006/documentManagement/types"/>
    <ds:schemaRef ds:uri="http://purl.org/dc/terms/"/>
    <ds:schemaRef ds:uri="http://purl.org/dc/dcmitype/"/>
    <ds:schemaRef ds:uri="http://schemas.microsoft.com/office/2006/metadata/properties"/>
    <ds:schemaRef ds:uri="http://purl.org/dc/elements/1.1/"/>
    <ds:schemaRef ds:uri="http://schemas.openxmlformats.org/package/2006/metadata/core-properties"/>
    <ds:schemaRef ds:uri="eb91286f-57c2-4f33-b63d-a5bfa7c2537b"/>
    <ds:schemaRef ds:uri="e74270bd-479e-48db-880e-0eec695db086"/>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6C9616E3-D5BE-4CAD-B0DB-FB0CA71FC151}">
  <ds:schemaRefs>
    <ds:schemaRef ds:uri="http://schemas.microsoft.com/sharepoint/v3/contenttype/forms"/>
  </ds:schemaRefs>
</ds:datastoreItem>
</file>

<file path=customXml/itemProps3.xml><?xml version="1.0" encoding="utf-8"?>
<ds:datastoreItem xmlns:ds="http://schemas.openxmlformats.org/officeDocument/2006/customXml" ds:itemID="{7972EB16-EC50-45F4-8840-589AF575A3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91286f-57c2-4f33-b63d-a5bfa7c2537b"/>
    <ds:schemaRef ds:uri="e74270bd-479e-48db-880e-0eec695db0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2fe6bd3-9c4a-485b-ae69-e18820a88130}" enabled="0" method="" siteId="{f2fe6bd3-9c4a-485b-ae69-e18820a8813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Contents</vt:lpstr>
      <vt:lpstr>ReadMe</vt:lpstr>
      <vt:lpstr>Programs</vt:lpstr>
      <vt:lpstr>Projects</vt:lpstr>
      <vt:lpstr>Provided</vt:lpstr>
      <vt:lpstr>Lands</vt:lpstr>
      <vt:lpstr>Transit</vt:lpstr>
      <vt:lpstr>Solar</vt:lpstr>
      <vt:lpstr>EE</vt:lpstr>
      <vt:lpstr>WasteRNG</vt:lpstr>
      <vt:lpstr>SupportingInfo--&gt;</vt:lpstr>
      <vt:lpstr>GridEF</vt:lpstr>
      <vt:lpstr>BaseBuildingConsmp</vt:lpstr>
      <vt:lpstr>CPI</vt:lpstr>
      <vt:lpstr>Lists</vt:lpstr>
    </vt:vector>
  </TitlesOfParts>
  <Manager/>
  <Company>Environmental Resources Management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Lauren Slawsky</dc:creator>
  <cp:keywords/>
  <dc:description/>
  <cp:lastModifiedBy>Cassandra Kubes</cp:lastModifiedBy>
  <cp:revision/>
  <dcterms:created xsi:type="dcterms:W3CDTF">2023-12-29T18:00:05Z</dcterms:created>
  <dcterms:modified xsi:type="dcterms:W3CDTF">2024-03-29T15:45:49Z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0x01010055E1BCAE634E0D48A8BC64692F246091</vt:lpwstr>
  </property>
  <property fmtid="{D5CDD505-2E9C-101B-9397-08002B2CF9AE}" pid="3" name="MediaServiceImageTags">
    <vt:lpwstr/>
  </property>
  <property fmtid="{D5CDD505-2E9C-101B-9397-08002B2CF9AE}" pid="4" name="{A44787D4-0540-4523-9961-78E4036D8C6D}">
    <vt:lpwstr>{0A0CE94F-8F49-42E3-A580-F0D4AA2CB732}</vt:lpwstr>
  </property>
</Properties>
</file>