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1"/>
  <workbookPr filterPrivacy="1" codeName="ThisWorkbook" defaultThemeVersion="166925"/>
  <xr:revisionPtr revIDLastSave="0" documentId="8_{00595BA9-432C-704A-A519-58360D5E7F93}" xr6:coauthVersionLast="47" xr6:coauthVersionMax="47" xr10:uidLastSave="{00000000-0000-0000-0000-000000000000}"/>
  <bookViews>
    <workbookView xWindow="0" yWindow="740" windowWidth="29400" windowHeight="16860" tabRatio="979" activeTab="1" xr2:uid="{AAC398A2-E95D-4231-A920-55B8B1C73F3F}"/>
  </bookViews>
  <sheets>
    <sheet name="Overview" sheetId="26" r:id="rId1"/>
    <sheet name="Consolidated Budget" sheetId="30" r:id="rId2"/>
    <sheet name="EV Fleet Transition" sheetId="16" r:id="rId3"/>
    <sheet name="Mass Transit Expansion" sheetId="27" r:id="rId4"/>
    <sheet name="Bicycle &amp; Pedestrian Programs" sheetId="28" r:id="rId5"/>
    <sheet name="Measure 4 Budget" sheetId="29" state="hidden" r:id="rId6"/>
    <sheet name="Measure 5 Budget" sheetId="31" state="hidden" r:id="rId7"/>
    <sheet name="Sample Budget 1" sheetId="32" state="hidden" r:id="rId8"/>
    <sheet name="Sample Budget 3" sheetId="34" state="hidden" r:id="rId9"/>
  </sheets>
  <definedNames>
    <definedName name="_xlnm._FilterDatabase" localSheetId="4" hidden="1">'Bicycle &amp; Pedestrian Programs'!#REF!</definedName>
    <definedName name="_xlnm._FilterDatabase" localSheetId="1" hidden="1">'Consolidated Budget'!#REF!</definedName>
    <definedName name="_xlnm._FilterDatabase" localSheetId="2" hidden="1">'EV Fleet Transition'!#REF!</definedName>
    <definedName name="_xlnm._FilterDatabase" localSheetId="3" hidden="1">'Mass Transit Expansion'!#REF!</definedName>
    <definedName name="_xlnm._FilterDatabase" localSheetId="5" hidden="1">'Measure 4 Budget'!#REF!</definedName>
    <definedName name="_xlnm._FilterDatabase" localSheetId="6" hidden="1">'Measure 5 Budget'!#REF!</definedName>
    <definedName name="_xlnm._FilterDatabase" localSheetId="7" hidden="1">'Sample Budget 1'!#REF!</definedName>
    <definedName name="_xlnm._FilterDatabase" localSheetId="8" hidden="1">'Sample Budget 3'!#REF!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2" i="16" l="1"/>
  <c r="J40" i="28"/>
  <c r="H40" i="16"/>
  <c r="G40" i="16"/>
  <c r="F40" i="16"/>
  <c r="H38" i="27"/>
  <c r="G38" i="27"/>
  <c r="F38" i="27"/>
  <c r="E38" i="27"/>
  <c r="D38" i="27"/>
  <c r="D38" i="28"/>
  <c r="G38" i="28"/>
  <c r="H38" i="28" s="1"/>
  <c r="F38" i="28"/>
  <c r="E38" i="28"/>
  <c r="E17" i="28"/>
  <c r="D17" i="28"/>
  <c r="H13" i="30"/>
  <c r="G13" i="30"/>
  <c r="F13" i="30"/>
  <c r="D12" i="30"/>
  <c r="J36" i="28"/>
  <c r="H36" i="28"/>
  <c r="G36" i="28"/>
  <c r="F36" i="28"/>
  <c r="E36" i="28"/>
  <c r="D36" i="28"/>
  <c r="J35" i="28"/>
  <c r="G35" i="28"/>
  <c r="F35" i="28"/>
  <c r="E35" i="28"/>
  <c r="E26" i="28"/>
  <c r="D26" i="28"/>
  <c r="H34" i="27"/>
  <c r="G34" i="27"/>
  <c r="F34" i="27"/>
  <c r="E34" i="27"/>
  <c r="D34" i="27"/>
  <c r="J34" i="27"/>
  <c r="D33" i="16"/>
  <c r="J33" i="27"/>
  <c r="J32" i="27"/>
  <c r="J31" i="27"/>
  <c r="J30" i="27"/>
  <c r="J29" i="27"/>
  <c r="H36" i="16"/>
  <c r="G36" i="16"/>
  <c r="F36" i="16"/>
  <c r="E32" i="28"/>
  <c r="D32" i="28"/>
  <c r="D31" i="28"/>
  <c r="D28" i="16"/>
  <c r="D34" i="16"/>
  <c r="D16" i="28"/>
  <c r="D14" i="27"/>
  <c r="D15" i="16"/>
  <c r="D25" i="16"/>
  <c r="E14" i="27"/>
  <c r="F14" i="27" s="1"/>
  <c r="G14" i="27" s="1"/>
  <c r="H14" i="27" s="1"/>
  <c r="E15" i="16"/>
  <c r="F15" i="16" s="1"/>
  <c r="G15" i="16" s="1"/>
  <c r="H15" i="16" s="1"/>
  <c r="E16" i="28"/>
  <c r="F16" i="28" s="1"/>
  <c r="G16" i="28" s="1"/>
  <c r="H16" i="28" s="1"/>
  <c r="D35" i="16"/>
  <c r="F32" i="28"/>
  <c r="G32" i="28" s="1"/>
  <c r="H32" i="28" s="1"/>
  <c r="E31" i="28"/>
  <c r="F31" i="28" s="1"/>
  <c r="G31" i="28" s="1"/>
  <c r="H31" i="28" s="1"/>
  <c r="E34" i="16"/>
  <c r="D36" i="16"/>
  <c r="J31" i="28"/>
  <c r="E28" i="16"/>
  <c r="E25" i="16"/>
  <c r="F25" i="16"/>
  <c r="G25" i="16"/>
  <c r="H25" i="16"/>
  <c r="J14" i="27"/>
  <c r="F17" i="28"/>
  <c r="G17" i="28"/>
  <c r="H17" i="28"/>
  <c r="J17" i="28"/>
  <c r="D15" i="27"/>
  <c r="E15" i="27"/>
  <c r="F15" i="27"/>
  <c r="G15" i="27"/>
  <c r="H15" i="27"/>
  <c r="J15" i="27"/>
  <c r="E16" i="16"/>
  <c r="E17" i="16" s="1"/>
  <c r="F16" i="16"/>
  <c r="G16" i="16"/>
  <c r="H16" i="16"/>
  <c r="D16" i="16"/>
  <c r="E32" i="16"/>
  <c r="J34" i="16"/>
  <c r="J26" i="28"/>
  <c r="J29" i="16"/>
  <c r="J35" i="16"/>
  <c r="J28" i="16"/>
  <c r="J27" i="16"/>
  <c r="J16" i="27"/>
  <c r="J22" i="16"/>
  <c r="J19" i="16"/>
  <c r="D9" i="16"/>
  <c r="D12" i="16" s="1"/>
  <c r="G17" i="16"/>
  <c r="F17" i="16"/>
  <c r="D8" i="28"/>
  <c r="D12" i="28" s="1"/>
  <c r="D8" i="27"/>
  <c r="D11" i="27" s="1"/>
  <c r="E9" i="16"/>
  <c r="E12" i="16" s="1"/>
  <c r="G39" i="28"/>
  <c r="F39" i="28"/>
  <c r="E39" i="28"/>
  <c r="D39" i="28"/>
  <c r="D14" i="30" s="1"/>
  <c r="E8" i="16"/>
  <c r="D23" i="16"/>
  <c r="D20" i="16"/>
  <c r="I10" i="28"/>
  <c r="D10" i="28"/>
  <c r="J25" i="27"/>
  <c r="J30" i="28"/>
  <c r="E33" i="16"/>
  <c r="J33" i="16"/>
  <c r="E26" i="16"/>
  <c r="D26" i="16"/>
  <c r="J26" i="16" s="1"/>
  <c r="E33" i="28"/>
  <c r="F33" i="28"/>
  <c r="G33" i="28"/>
  <c r="H33" i="28"/>
  <c r="D33" i="28"/>
  <c r="J29" i="28"/>
  <c r="J26" i="27"/>
  <c r="J20" i="28"/>
  <c r="J23" i="28"/>
  <c r="J32" i="28"/>
  <c r="J18" i="31"/>
  <c r="J19" i="31"/>
  <c r="J18" i="29"/>
  <c r="J19" i="29"/>
  <c r="E54" i="34"/>
  <c r="J54" i="34" s="1"/>
  <c r="F54" i="34"/>
  <c r="F56" i="34" s="1"/>
  <c r="J56" i="34" s="1"/>
  <c r="G54" i="34"/>
  <c r="H54" i="34"/>
  <c r="D54" i="34"/>
  <c r="I58" i="34"/>
  <c r="H56" i="34"/>
  <c r="G56" i="34"/>
  <c r="E56" i="34"/>
  <c r="E58" i="34" s="1"/>
  <c r="D56" i="34"/>
  <c r="J55" i="34"/>
  <c r="H50" i="34"/>
  <c r="G50" i="34"/>
  <c r="G51" i="34" s="1"/>
  <c r="G58" i="34" s="1"/>
  <c r="F50" i="34"/>
  <c r="E50" i="34"/>
  <c r="D50" i="34"/>
  <c r="J49" i="34"/>
  <c r="J48" i="34"/>
  <c r="J47" i="34"/>
  <c r="J46" i="34"/>
  <c r="J45" i="34"/>
  <c r="J44" i="34"/>
  <c r="H42" i="34"/>
  <c r="G42" i="34"/>
  <c r="F42" i="34"/>
  <c r="E42" i="34"/>
  <c r="D42" i="34"/>
  <c r="J42" i="34" s="1"/>
  <c r="J41" i="34"/>
  <c r="J40" i="34"/>
  <c r="J39" i="34"/>
  <c r="J38" i="34"/>
  <c r="J37" i="34"/>
  <c r="H35" i="34"/>
  <c r="G35" i="34"/>
  <c r="F35" i="34"/>
  <c r="E35" i="34"/>
  <c r="D35" i="34"/>
  <c r="J35" i="34" s="1"/>
  <c r="J34" i="34"/>
  <c r="J33" i="34"/>
  <c r="H31" i="34"/>
  <c r="G31" i="34"/>
  <c r="F31" i="34"/>
  <c r="E31" i="34"/>
  <c r="D31" i="34"/>
  <c r="J31" i="34" s="1"/>
  <c r="J30" i="34"/>
  <c r="J29" i="34"/>
  <c r="H27" i="34"/>
  <c r="G27" i="34"/>
  <c r="F27" i="34"/>
  <c r="E27" i="34"/>
  <c r="D27" i="34"/>
  <c r="J27" i="34" s="1"/>
  <c r="J26" i="34"/>
  <c r="J25" i="34"/>
  <c r="J24" i="34"/>
  <c r="J23" i="34"/>
  <c r="J22" i="34"/>
  <c r="J21" i="34"/>
  <c r="J20" i="34"/>
  <c r="I16" i="34"/>
  <c r="J15" i="34"/>
  <c r="J14" i="34"/>
  <c r="H13" i="34"/>
  <c r="H16" i="34" s="1"/>
  <c r="E13" i="34"/>
  <c r="E16" i="34" s="1"/>
  <c r="E51" i="34" s="1"/>
  <c r="D13" i="34"/>
  <c r="J13" i="34" s="1"/>
  <c r="J16" i="34" s="1"/>
  <c r="I11" i="34"/>
  <c r="H11" i="34"/>
  <c r="G11" i="34"/>
  <c r="G13" i="34" s="1"/>
  <c r="G16" i="34" s="1"/>
  <c r="F11" i="34"/>
  <c r="F13" i="34" s="1"/>
  <c r="F16" i="34" s="1"/>
  <c r="E11" i="34"/>
  <c r="D11" i="34"/>
  <c r="J10" i="34"/>
  <c r="J9" i="34"/>
  <c r="J8" i="34"/>
  <c r="J11" i="34" s="1"/>
  <c r="H51" i="32"/>
  <c r="G51" i="32"/>
  <c r="F51" i="32"/>
  <c r="E51" i="32"/>
  <c r="D51" i="32"/>
  <c r="J51" i="32" s="1"/>
  <c r="J50" i="32"/>
  <c r="J49" i="32"/>
  <c r="H45" i="32"/>
  <c r="G45" i="32"/>
  <c r="G46" i="32" s="1"/>
  <c r="G53" i="32" s="1"/>
  <c r="F45" i="32"/>
  <c r="E45" i="32"/>
  <c r="D45" i="32"/>
  <c r="J45" i="32" s="1"/>
  <c r="J44" i="32"/>
  <c r="J43" i="32"/>
  <c r="J42" i="32"/>
  <c r="H40" i="32"/>
  <c r="G40" i="32"/>
  <c r="F40" i="32"/>
  <c r="E40" i="32"/>
  <c r="D40" i="32"/>
  <c r="J40" i="32" s="1"/>
  <c r="J39" i="32"/>
  <c r="J38" i="32"/>
  <c r="J37" i="32"/>
  <c r="J36" i="32"/>
  <c r="H34" i="32"/>
  <c r="G34" i="32"/>
  <c r="F34" i="32"/>
  <c r="E34" i="32"/>
  <c r="D34" i="32"/>
  <c r="J33" i="32"/>
  <c r="J32" i="32"/>
  <c r="H30" i="32"/>
  <c r="G30" i="32"/>
  <c r="F30" i="32"/>
  <c r="E30" i="32"/>
  <c r="J30" i="32" s="1"/>
  <c r="D30" i="32"/>
  <c r="J29" i="32"/>
  <c r="J28" i="32"/>
  <c r="H26" i="32"/>
  <c r="H46" i="32" s="1"/>
  <c r="G26" i="32"/>
  <c r="F26" i="32"/>
  <c r="E26" i="32"/>
  <c r="J26" i="32" s="1"/>
  <c r="D26" i="32"/>
  <c r="J25" i="32"/>
  <c r="J24" i="32"/>
  <c r="J23" i="32"/>
  <c r="J22" i="32"/>
  <c r="J21" i="32"/>
  <c r="J20" i="32"/>
  <c r="J19" i="32"/>
  <c r="J15" i="32"/>
  <c r="J14" i="32"/>
  <c r="H13" i="32"/>
  <c r="H16" i="32" s="1"/>
  <c r="G13" i="32"/>
  <c r="G16" i="32" s="1"/>
  <c r="F13" i="32"/>
  <c r="F16" i="32" s="1"/>
  <c r="E13" i="32"/>
  <c r="E16" i="32" s="1"/>
  <c r="D13" i="32"/>
  <c r="D16" i="32" s="1"/>
  <c r="D46" i="32" s="1"/>
  <c r="H11" i="32"/>
  <c r="G11" i="32"/>
  <c r="F11" i="32"/>
  <c r="E11" i="32"/>
  <c r="D11" i="32"/>
  <c r="J9" i="32"/>
  <c r="J11" i="32" s="1"/>
  <c r="J8" i="32"/>
  <c r="E44" i="28"/>
  <c r="F44" i="28"/>
  <c r="J8" i="29"/>
  <c r="I57" i="31"/>
  <c r="J55" i="31"/>
  <c r="H55" i="31"/>
  <c r="G55" i="31"/>
  <c r="F55" i="31"/>
  <c r="E55" i="31"/>
  <c r="D55" i="31"/>
  <c r="J54" i="31"/>
  <c r="J53" i="31"/>
  <c r="H49" i="31"/>
  <c r="G49" i="31"/>
  <c r="F49" i="31"/>
  <c r="E49" i="31"/>
  <c r="D49" i="31"/>
  <c r="J48" i="31"/>
  <c r="J47" i="31"/>
  <c r="J46" i="31"/>
  <c r="J45" i="31"/>
  <c r="J44" i="31"/>
  <c r="J43" i="31"/>
  <c r="H41" i="31"/>
  <c r="G41" i="31"/>
  <c r="F41" i="31"/>
  <c r="E41" i="31"/>
  <c r="D41" i="31"/>
  <c r="J40" i="31"/>
  <c r="J39" i="31"/>
  <c r="J38" i="31"/>
  <c r="J37" i="31"/>
  <c r="H35" i="31"/>
  <c r="G35" i="31"/>
  <c r="F35" i="31"/>
  <c r="E35" i="31"/>
  <c r="D35" i="31"/>
  <c r="J35" i="31" s="1"/>
  <c r="J34" i="31"/>
  <c r="J33" i="31"/>
  <c r="H31" i="31"/>
  <c r="G31" i="31"/>
  <c r="F31" i="31"/>
  <c r="E31" i="31"/>
  <c r="D31" i="31"/>
  <c r="J31" i="31" s="1"/>
  <c r="J30" i="31"/>
  <c r="J29" i="31"/>
  <c r="H27" i="31"/>
  <c r="G27" i="31"/>
  <c r="F27" i="31"/>
  <c r="E27" i="31"/>
  <c r="D27" i="31"/>
  <c r="J27" i="31" s="1"/>
  <c r="J26" i="31"/>
  <c r="J25" i="31"/>
  <c r="J24" i="31"/>
  <c r="J23" i="31"/>
  <c r="J22" i="31"/>
  <c r="J21" i="31"/>
  <c r="J20" i="31"/>
  <c r="I16" i="31"/>
  <c r="H16" i="31"/>
  <c r="G16" i="31"/>
  <c r="F16" i="31"/>
  <c r="E16" i="31"/>
  <c r="D16" i="31"/>
  <c r="J15" i="31"/>
  <c r="J14" i="31"/>
  <c r="J13" i="31"/>
  <c r="I11" i="31"/>
  <c r="H11" i="31"/>
  <c r="G11" i="31"/>
  <c r="F11" i="31"/>
  <c r="E11" i="31"/>
  <c r="D11" i="31"/>
  <c r="J10" i="31"/>
  <c r="J9" i="31"/>
  <c r="J8" i="31"/>
  <c r="J11" i="31" s="1"/>
  <c r="I57" i="29"/>
  <c r="H55" i="29"/>
  <c r="G55" i="29"/>
  <c r="F55" i="29"/>
  <c r="E55" i="29"/>
  <c r="D55" i="29"/>
  <c r="J54" i="29"/>
  <c r="J53" i="29"/>
  <c r="H49" i="29"/>
  <c r="G49" i="29"/>
  <c r="F49" i="29"/>
  <c r="E49" i="29"/>
  <c r="D49" i="29"/>
  <c r="J48" i="29"/>
  <c r="J47" i="29"/>
  <c r="J46" i="29"/>
  <c r="J45" i="29"/>
  <c r="J44" i="29"/>
  <c r="J43" i="29"/>
  <c r="H41" i="29"/>
  <c r="G41" i="29"/>
  <c r="F41" i="29"/>
  <c r="E41" i="29"/>
  <c r="D41" i="29"/>
  <c r="J40" i="29"/>
  <c r="J39" i="29"/>
  <c r="J38" i="29"/>
  <c r="J37" i="29"/>
  <c r="H35" i="29"/>
  <c r="G35" i="29"/>
  <c r="F35" i="29"/>
  <c r="E35" i="29"/>
  <c r="D35" i="29"/>
  <c r="J35" i="29" s="1"/>
  <c r="J34" i="29"/>
  <c r="J33" i="29"/>
  <c r="H31" i="29"/>
  <c r="G31" i="29"/>
  <c r="F31" i="29"/>
  <c r="E31" i="29"/>
  <c r="D31" i="29"/>
  <c r="J31" i="29" s="1"/>
  <c r="J30" i="29"/>
  <c r="J29" i="29"/>
  <c r="H27" i="29"/>
  <c r="G27" i="29"/>
  <c r="F27" i="29"/>
  <c r="E27" i="29"/>
  <c r="D27" i="29"/>
  <c r="J26" i="29"/>
  <c r="J25" i="29"/>
  <c r="J24" i="29"/>
  <c r="J23" i="29"/>
  <c r="J22" i="29"/>
  <c r="J21" i="29"/>
  <c r="J20" i="29"/>
  <c r="I16" i="29"/>
  <c r="H16" i="29"/>
  <c r="G16" i="29"/>
  <c r="F16" i="29"/>
  <c r="E16" i="29"/>
  <c r="D16" i="29"/>
  <c r="J15" i="29"/>
  <c r="J14" i="29"/>
  <c r="J13" i="29"/>
  <c r="J16" i="29" s="1"/>
  <c r="I11" i="29"/>
  <c r="H11" i="29"/>
  <c r="G11" i="29"/>
  <c r="F11" i="29"/>
  <c r="E11" i="29"/>
  <c r="D11" i="29"/>
  <c r="J10" i="29"/>
  <c r="J9" i="29"/>
  <c r="J11" i="29"/>
  <c r="I46" i="28"/>
  <c r="H44" i="28"/>
  <c r="G44" i="28"/>
  <c r="D44" i="28"/>
  <c r="J43" i="28"/>
  <c r="J28" i="28"/>
  <c r="J27" i="28"/>
  <c r="H24" i="28"/>
  <c r="G24" i="28"/>
  <c r="F24" i="28"/>
  <c r="E24" i="28"/>
  <c r="D24" i="28"/>
  <c r="H21" i="28"/>
  <c r="G21" i="28"/>
  <c r="F21" i="28"/>
  <c r="E21" i="28"/>
  <c r="D21" i="28"/>
  <c r="I14" i="28"/>
  <c r="J13" i="28"/>
  <c r="J9" i="28"/>
  <c r="I44" i="27"/>
  <c r="H42" i="27"/>
  <c r="G42" i="27"/>
  <c r="F42" i="27"/>
  <c r="E42" i="27"/>
  <c r="D42" i="27"/>
  <c r="J41" i="27"/>
  <c r="H37" i="27"/>
  <c r="G37" i="27"/>
  <c r="F37" i="27"/>
  <c r="E37" i="27"/>
  <c r="D37" i="27"/>
  <c r="J36" i="27"/>
  <c r="J37" i="27"/>
  <c r="H27" i="27"/>
  <c r="G27" i="27"/>
  <c r="F27" i="27"/>
  <c r="E27" i="27"/>
  <c r="D27" i="27"/>
  <c r="H23" i="27"/>
  <c r="G23" i="27"/>
  <c r="F23" i="27"/>
  <c r="E23" i="27"/>
  <c r="D23" i="27"/>
  <c r="J22" i="27"/>
  <c r="J23" i="27"/>
  <c r="H20" i="27"/>
  <c r="G20" i="27"/>
  <c r="F20" i="27"/>
  <c r="E20" i="27"/>
  <c r="D20" i="27"/>
  <c r="J19" i="27"/>
  <c r="J20" i="27"/>
  <c r="H17" i="27"/>
  <c r="G17" i="27"/>
  <c r="F17" i="27"/>
  <c r="E17" i="27"/>
  <c r="D17" i="27"/>
  <c r="I12" i="27"/>
  <c r="I9" i="27"/>
  <c r="D9" i="27"/>
  <c r="E44" i="16"/>
  <c r="F44" i="16"/>
  <c r="G44" i="16"/>
  <c r="H44" i="16"/>
  <c r="D44" i="16"/>
  <c r="J43" i="16"/>
  <c r="E39" i="16"/>
  <c r="F39" i="16"/>
  <c r="G39" i="16"/>
  <c r="H39" i="16"/>
  <c r="D39" i="16"/>
  <c r="E23" i="16"/>
  <c r="F23" i="16"/>
  <c r="G23" i="16"/>
  <c r="H23" i="16"/>
  <c r="J38" i="16"/>
  <c r="J39" i="16" s="1"/>
  <c r="E20" i="16"/>
  <c r="F20" i="16"/>
  <c r="G20" i="16"/>
  <c r="H20" i="16"/>
  <c r="D40" i="16" l="1"/>
  <c r="D13" i="30"/>
  <c r="H39" i="28"/>
  <c r="E36" i="16"/>
  <c r="J36" i="16"/>
  <c r="J16" i="16"/>
  <c r="J16" i="28"/>
  <c r="H17" i="16"/>
  <c r="D30" i="16"/>
  <c r="J38" i="28"/>
  <c r="J32" i="16"/>
  <c r="J25" i="16"/>
  <c r="J30" i="16" s="1"/>
  <c r="D18" i="28"/>
  <c r="E18" i="28"/>
  <c r="F18" i="28"/>
  <c r="G18" i="28"/>
  <c r="G9" i="30" s="1"/>
  <c r="H18" i="28"/>
  <c r="J15" i="16"/>
  <c r="J17" i="16" s="1"/>
  <c r="D17" i="16"/>
  <c r="F8" i="16"/>
  <c r="F9" i="16"/>
  <c r="F12" i="16" s="1"/>
  <c r="E8" i="28"/>
  <c r="E12" i="28" s="1"/>
  <c r="E8" i="27"/>
  <c r="E11" i="27" s="1"/>
  <c r="E10" i="16"/>
  <c r="F10" i="16"/>
  <c r="E30" i="16"/>
  <c r="E12" i="30" s="1"/>
  <c r="F30" i="16"/>
  <c r="F12" i="30" s="1"/>
  <c r="G30" i="16"/>
  <c r="G12" i="30" s="1"/>
  <c r="H30" i="16"/>
  <c r="H12" i="30" s="1"/>
  <c r="J33" i="28"/>
  <c r="J17" i="27"/>
  <c r="D14" i="28"/>
  <c r="J27" i="27"/>
  <c r="J44" i="16"/>
  <c r="J23" i="16"/>
  <c r="D17" i="30"/>
  <c r="E10" i="30"/>
  <c r="G10" i="30"/>
  <c r="J20" i="16"/>
  <c r="E9" i="30"/>
  <c r="F9" i="30"/>
  <c r="H11" i="30"/>
  <c r="H51" i="34"/>
  <c r="H58" i="34" s="1"/>
  <c r="F51" i="34"/>
  <c r="F58" i="34" s="1"/>
  <c r="D16" i="34"/>
  <c r="D51" i="34" s="1"/>
  <c r="J50" i="34"/>
  <c r="F46" i="32"/>
  <c r="F53" i="32" s="1"/>
  <c r="E46" i="32"/>
  <c r="E53" i="32" s="1"/>
  <c r="D53" i="32"/>
  <c r="H53" i="32"/>
  <c r="J34" i="32"/>
  <c r="J13" i="32"/>
  <c r="J16" i="32" s="1"/>
  <c r="F11" i="30"/>
  <c r="F17" i="30"/>
  <c r="E11" i="30"/>
  <c r="F10" i="30"/>
  <c r="G17" i="30"/>
  <c r="E17" i="30"/>
  <c r="H17" i="30"/>
  <c r="H10" i="30"/>
  <c r="J44" i="28"/>
  <c r="H14" i="30"/>
  <c r="H15" i="30" s="1"/>
  <c r="F14" i="30"/>
  <c r="F15" i="30" s="1"/>
  <c r="J21" i="28"/>
  <c r="G11" i="30"/>
  <c r="J24" i="28"/>
  <c r="J18" i="28"/>
  <c r="D40" i="28"/>
  <c r="D46" i="28" s="1"/>
  <c r="D7" i="30"/>
  <c r="E14" i="30"/>
  <c r="G14" i="30"/>
  <c r="G15" i="30" s="1"/>
  <c r="H50" i="31"/>
  <c r="H57" i="31" s="1"/>
  <c r="J41" i="31"/>
  <c r="J16" i="31"/>
  <c r="F50" i="31"/>
  <c r="F57" i="31" s="1"/>
  <c r="G50" i="31"/>
  <c r="G57" i="31" s="1"/>
  <c r="D50" i="31"/>
  <c r="D57" i="31" s="1"/>
  <c r="E50" i="31"/>
  <c r="E57" i="31" s="1"/>
  <c r="J41" i="29"/>
  <c r="D11" i="30"/>
  <c r="J27" i="29"/>
  <c r="E50" i="29"/>
  <c r="E57" i="29" s="1"/>
  <c r="G50" i="29"/>
  <c r="G57" i="29" s="1"/>
  <c r="H50" i="29"/>
  <c r="H57" i="29" s="1"/>
  <c r="D50" i="29"/>
  <c r="D57" i="29" s="1"/>
  <c r="F50" i="29"/>
  <c r="F57" i="29" s="1"/>
  <c r="J49" i="31"/>
  <c r="J55" i="29"/>
  <c r="J49" i="29"/>
  <c r="J39" i="28"/>
  <c r="J46" i="28" s="1"/>
  <c r="J42" i="27"/>
  <c r="E40" i="16" l="1"/>
  <c r="E13" i="30"/>
  <c r="J13" i="30"/>
  <c r="E15" i="30"/>
  <c r="D9" i="30"/>
  <c r="D15" i="30" s="1"/>
  <c r="H9" i="30"/>
  <c r="G8" i="16"/>
  <c r="G9" i="16"/>
  <c r="G12" i="16" s="1"/>
  <c r="F13" i="16"/>
  <c r="F46" i="16" s="1"/>
  <c r="F8" i="28"/>
  <c r="F12" i="28" s="1"/>
  <c r="E10" i="28"/>
  <c r="F8" i="27"/>
  <c r="F11" i="27" s="1"/>
  <c r="E9" i="27"/>
  <c r="E13" i="16"/>
  <c r="D12" i="27"/>
  <c r="D44" i="27" s="1"/>
  <c r="D13" i="16"/>
  <c r="D46" i="16" s="1"/>
  <c r="J17" i="30"/>
  <c r="J11" i="30"/>
  <c r="D58" i="34"/>
  <c r="J51" i="34"/>
  <c r="J58" i="34" s="1"/>
  <c r="J46" i="32"/>
  <c r="J53" i="32" s="1"/>
  <c r="J12" i="30"/>
  <c r="J9" i="30"/>
  <c r="J14" i="30"/>
  <c r="J50" i="31"/>
  <c r="J57" i="31" s="1"/>
  <c r="J50" i="29"/>
  <c r="J57" i="29" s="1"/>
  <c r="E46" i="16" l="1"/>
  <c r="H8" i="16"/>
  <c r="H9" i="16"/>
  <c r="H12" i="16" s="1"/>
  <c r="G10" i="16"/>
  <c r="G8" i="28"/>
  <c r="G12" i="28" s="1"/>
  <c r="F10" i="28"/>
  <c r="E12" i="27"/>
  <c r="G8" i="27"/>
  <c r="G11" i="27" s="1"/>
  <c r="F9" i="27"/>
  <c r="D8" i="30"/>
  <c r="D19" i="30" s="1"/>
  <c r="E14" i="28"/>
  <c r="E7" i="30"/>
  <c r="J8" i="16" l="1"/>
  <c r="G13" i="16"/>
  <c r="H10" i="16"/>
  <c r="J9" i="16"/>
  <c r="J10" i="16" s="1"/>
  <c r="H8" i="28"/>
  <c r="H12" i="28" s="1"/>
  <c r="G10" i="28"/>
  <c r="J8" i="28"/>
  <c r="J10" i="28" s="1"/>
  <c r="F12" i="27"/>
  <c r="F44" i="27"/>
  <c r="H8" i="27"/>
  <c r="H11" i="27" s="1"/>
  <c r="G9" i="27"/>
  <c r="J8" i="27"/>
  <c r="J9" i="27" s="1"/>
  <c r="E44" i="27"/>
  <c r="F14" i="28"/>
  <c r="F7" i="30"/>
  <c r="E8" i="30"/>
  <c r="E40" i="28"/>
  <c r="G46" i="16" l="1"/>
  <c r="H9" i="27"/>
  <c r="J11" i="27"/>
  <c r="J12" i="27" s="1"/>
  <c r="H13" i="16"/>
  <c r="J40" i="16" s="1"/>
  <c r="J46" i="16" s="1"/>
  <c r="J12" i="16"/>
  <c r="J13" i="16" s="1"/>
  <c r="J12" i="28"/>
  <c r="H10" i="28"/>
  <c r="G12" i="27"/>
  <c r="H12" i="27"/>
  <c r="H44" i="27"/>
  <c r="E46" i="28"/>
  <c r="G14" i="28"/>
  <c r="G7" i="30"/>
  <c r="H7" i="30"/>
  <c r="F8" i="30"/>
  <c r="F40" i="28"/>
  <c r="H46" i="16" l="1"/>
  <c r="G44" i="27"/>
  <c r="J38" i="27"/>
  <c r="J44" i="27" s="1"/>
  <c r="D25" i="30" s="1"/>
  <c r="F46" i="28"/>
  <c r="F19" i="30"/>
  <c r="H14" i="28"/>
  <c r="J14" i="28"/>
  <c r="J7" i="30"/>
  <c r="G40" i="28"/>
  <c r="G8" i="30"/>
  <c r="E19" i="30"/>
  <c r="G46" i="28" l="1"/>
  <c r="H8" i="30"/>
  <c r="H40" i="28"/>
  <c r="H46" i="28" l="1"/>
  <c r="D26" i="30"/>
  <c r="D27" i="30" s="1"/>
  <c r="H19" i="30"/>
  <c r="J8" i="30"/>
  <c r="G19" i="30"/>
  <c r="J19" i="30" l="1"/>
  <c r="E26" i="30"/>
  <c r="E25" i="30" l="1"/>
  <c r="E24" i="30"/>
  <c r="E27" i="30" s="1"/>
</calcChain>
</file>

<file path=xl/sharedStrings.xml><?xml version="1.0" encoding="utf-8"?>
<sst xmlns="http://schemas.openxmlformats.org/spreadsheetml/2006/main" count="469" uniqueCount="108">
  <si>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</si>
  <si>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</si>
  <si>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</si>
  <si>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</si>
  <si>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</si>
  <si>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</si>
  <si>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</si>
  <si>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</si>
  <si>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</si>
  <si>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</si>
  <si>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</si>
  <si>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</si>
  <si>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</si>
  <si>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</si>
  <si>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</si>
  <si>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</si>
  <si>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</si>
  <si>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</si>
  <si>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CONSTRUCTION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</si>
  <si>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</si>
  <si>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</si>
  <si>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</si>
  <si>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</si>
  <si>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</si>
  <si>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</si>
  <si>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</si>
  <si>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</si>
  <si>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</si>
  <si>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</si>
  <si>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EV Fleet Transition</t>
  </si>
  <si>
    <t>Mass Transit Expansion &amp; Mobility Hubs</t>
  </si>
  <si>
    <t>Bicycle &amp; Pedestrian Programs</t>
  </si>
  <si>
    <t>Total</t>
  </si>
  <si>
    <t>Detailed Budget Table</t>
  </si>
  <si>
    <t xml:space="preserve">This Excel Workbook is provided to aid applicants in developing the required budget table(s) within the budget narrative.  </t>
  </si>
  <si>
    <t>Personnel (3% COLA)</t>
  </si>
  <si>
    <t> </t>
  </si>
  <si>
    <t>Project Manager, Jacksonville MSA lead, Jacksonville Sustainability Manager @$104,000 .10 FTE each year</t>
  </si>
  <si>
    <t xml:space="preserve">Project Coordinator, Technical and Administrative @ $80,000 .33 FTE/year </t>
  </si>
  <si>
    <t xml:space="preserve"> Fringe Benefits </t>
  </si>
  <si>
    <t>Full-time Employee @ 37% of salary</t>
  </si>
  <si>
    <t xml:space="preserve"> Travel </t>
  </si>
  <si>
    <t>Travel for conferences and EPA Conferences (33% per measure)</t>
  </si>
  <si>
    <t>Mileage for local and regional travel for meetings, collaboration, and site visits (33% per measure)</t>
  </si>
  <si>
    <t xml:space="preserve"> Equipment </t>
  </si>
  <si>
    <t>1 laptop computer and accessories</t>
  </si>
  <si>
    <t xml:space="preserve"> Supplies </t>
  </si>
  <si>
    <t xml:space="preserve"> Contractual </t>
  </si>
  <si>
    <t xml:space="preserve">Duval County Public Schools up to 77 EV police and operational fleet vehicles </t>
  </si>
  <si>
    <t>Duval County Public Schools 16 EV buses</t>
  </si>
  <si>
    <t xml:space="preserve">City of Jacksonville 96 EV fire, waste &amp; city vehicles </t>
  </si>
  <si>
    <t>NEFL Counties &amp; Nonprofits 52 EV city vehicles</t>
  </si>
  <si>
    <t>Workforce development &amp; education</t>
  </si>
  <si>
    <t>Construction</t>
  </si>
  <si>
    <t>Duval County Public Schools Fleet Charging Infrastructure</t>
  </si>
  <si>
    <t>Duval County Public Schools Bus Charging Infrastructure</t>
  </si>
  <si>
    <t>COJ Charging Infrastructure</t>
  </si>
  <si>
    <t>NEFL Counties &amp; Nonprofits EV charging stations</t>
  </si>
  <si>
    <t>OTHER</t>
  </si>
  <si>
    <t>Indirect Costs</t>
  </si>
  <si>
    <t>Personnel</t>
  </si>
  <si>
    <t xml:space="preserve">Project Coordinator, Technical and Administrative Project @ $80,000 .33 FTE/year </t>
  </si>
  <si>
    <t>Full-time Employee @ 37-38% of salary</t>
  </si>
  <si>
    <t xml:space="preserve"> </t>
  </si>
  <si>
    <t>Community workshops (Five workshops/yr @ $1000)</t>
  </si>
  <si>
    <t xml:space="preserve">Regency Square Mobility Hub </t>
  </si>
  <si>
    <t>Rosa Parks Station Mobility Hub</t>
  </si>
  <si>
    <t xml:space="preserve">Gateway Mobility Hub </t>
  </si>
  <si>
    <t xml:space="preserve">Clay County Black Creek Mobility Hub </t>
  </si>
  <si>
    <t xml:space="preserve">St. Johns County Durbin Pavilion Mobility Hub </t>
  </si>
  <si>
    <t xml:space="preserve">Project Staff, Technical and Administrative Project Coordinator @ $80,000 .33 FTE each year </t>
  </si>
  <si>
    <t>COJ Protected/separated bike lane citywide project/initiative (Design/CEI/NEPA)</t>
  </si>
  <si>
    <t>COJ E-bike Share (Micromobility) Program</t>
  </si>
  <si>
    <t>COJ E-bike Voucher Program- LIDAC Households</t>
  </si>
  <si>
    <t>Consultant for marketing, branding, and technical reports</t>
  </si>
  <si>
    <t>Subaward to nonprofit organizations (includes stipends for LIDAC community members on program and community engagement around mobility hubs and bike/ped initiatives)</t>
  </si>
  <si>
    <t>COJ Protected/separated bike lane citywide project/initiative (Construction)</t>
  </si>
  <si>
    <t>Printed and outreach materials (e.g., flyers, posters, banners, postcards, bike helmets, etc.)</t>
  </si>
  <si>
    <t>TOTAL CONTRACTUAL</t>
  </si>
  <si>
    <t>Other</t>
  </si>
  <si>
    <t xml:space="preserve">Project Manager @ $80,000/yr, .5 FTE, with salary increase </t>
  </si>
  <si>
    <t xml:space="preserve">Project Staff @ $60,000 .5 FTE each year with salary increase </t>
  </si>
  <si>
    <t>Full-time Employees @ 17% of salary</t>
  </si>
  <si>
    <t>Travel for conference and workshop presentations:</t>
  </si>
  <si>
    <t>Airfare - $400 roundtrip @ 1 roundtrip per year</t>
  </si>
  <si>
    <t>Luggage Fees - $25 per flight @ 2 flights per year</t>
  </si>
  <si>
    <t>Hotel - $150 per day @ 3 days per year</t>
  </si>
  <si>
    <t>Per Diem - $71 per day @ 3.5 days per year</t>
  </si>
  <si>
    <t>Taxi - $45 per year</t>
  </si>
  <si>
    <t>Parking - $20 per day @ 4 days per year</t>
  </si>
  <si>
    <t>Mileage for local travel (500 miles per year at $0.655/mi)</t>
  </si>
  <si>
    <t>2 Building Thermal Imagers @ $9,000 each</t>
  </si>
  <si>
    <t xml:space="preserve">1 Laptop Computer @ $2,500 each </t>
  </si>
  <si>
    <t>Contractor to perform 30 energy assessments per year at industrial facilities. Assumes 740 hours per assessment (pre-visit analysis, site visit, post-visit analysis, report with recommendations) @ $46/hr</t>
  </si>
  <si>
    <t>Contract for 10 small or medium-scale projects per year at industrial facilities (renewable energy, energy storage, energy efficiency, electrification, or energy planning). Assumes average cost $450,000/project</t>
  </si>
  <si>
    <t>Contract for 5 large-scale energy efficiency or decarbonization demonstration projects per year at industrial facilities (e.g., industrial heat pumps). Assumes average cost $3 million/project</t>
  </si>
  <si>
    <t>Participant Support Costs: Stipends for 2 Summer Interns</t>
  </si>
  <si>
    <t>Participant Support Costs: Industrial Retrofit Rebates, 50 facilities/yr @ $200,000 each</t>
  </si>
  <si>
    <t>Project Manager @ $80,000/yr, .5 FTE, with salary increases</t>
  </si>
  <si>
    <t>Workforce development program:</t>
  </si>
  <si>
    <t>Hotel - $200 per day @ 3 days per year</t>
  </si>
  <si>
    <t>Tribal Community Center Solar Project: 5 MW PV + 3 MW/12 MWh battery storage:</t>
  </si>
  <si>
    <t>Storage system</t>
  </si>
  <si>
    <t>PV module and inverter</t>
  </si>
  <si>
    <t>Installation labor</t>
  </si>
  <si>
    <t>PV operation &amp; maintenance/yr</t>
  </si>
  <si>
    <t>Participant Support Cost: Environmental Intern @ $4000/yr summer stipend</t>
  </si>
  <si>
    <t>Indirect Cost Rate: 40% of full time personnel and fringe benefits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</si>
</sst>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theme="0" tint="-0.34998626667073579"/>
      <name val="Calibri"/>
      <family val="2"/>
      <scheme val="minor"/>
    </font>
    <font>
      <i/>
      <sz val="11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i/>
      <sz val="11"/>
      <name val="Calibri"/>
      <family val="2"/>
      <scheme val="minor"/>
    </font>
    <font>
      <sz val="11"/>
      <color theme="0" tint="-0.34998626667073579"/>
      <name val="Calibri"/>
      <family val="2"/>
    </font>
    <font>
      <sz val="11"/>
      <color theme="1"/>
      <name val="Calibri"/>
      <family val="2"/>
    </font>
    <font>
      <i/>
      <sz val="11"/>
      <color theme="0" tint="-0.34998626667073579"/>
      <name val="Calibri"/>
      <family val="2"/>
    </font>
    <font>
      <sz val="11"/>
      <color theme="0" tint="-0.34998626667073579"/>
      <name val="Calibri"/>
      <family val="2"/>
    </font>
    <font>
      <sz val="11"/>
      <color theme="0" tint="-0.34998626667073579"/>
      <name val="Calibri"/>
      <family val="2"/>
    </font>
    <font>
      <sz val="10"/>
      <color theme="0" tint="-0.34998626667073579"/>
      <name val="Arial"/>
      <family val="2"/>
    </font>
    <font>
      <i/>
      <sz val="11"/>
      <color rgb="FFA6A6A6"/>
      <name val="Calibri"/>
      <family val="2"/>
      <scheme val="minor"/>
    </font>
    <font>
      <i/>
      <sz val="11.5"/>
      <color theme="0" tint="-0.34998626667073579"/>
      <name val="Calibri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44">
    <xf numFmtId="0" fontId="0" fillId="0" borderId="0" xfId="0"/>
    <xf numFmtId="0" fontId="2" fillId="0" borderId="0" xfId="0" applyFont="1"/>
    <xf numFmtId="164" fontId="0" fillId="0" borderId="0" xfId="1" applyNumberFormat="1" applyFont="1" applyBorder="1"/>
    <xf numFmtId="0" fontId="0" fillId="0" borderId="9" xfId="0" applyBorder="1"/>
    <xf numFmtId="0" fontId="0" fillId="0" borderId="10" xfId="0" applyBorder="1"/>
    <xf numFmtId="0" fontId="3" fillId="0" borderId="0" xfId="0" applyFont="1"/>
    <xf numFmtId="0" fontId="0" fillId="0" borderId="0" xfId="0" applyAlignment="1">
      <alignment vertical="top"/>
    </xf>
    <xf numFmtId="0" fontId="7" fillId="0" borderId="0" xfId="0" applyFont="1"/>
    <xf numFmtId="0" fontId="7" fillId="0" borderId="1" xfId="0" applyFont="1" applyBorder="1"/>
    <xf numFmtId="0" fontId="7" fillId="4" borderId="1" xfId="0" applyFont="1" applyFill="1" applyBorder="1" applyAlignment="1">
      <alignment wrapText="1"/>
    </xf>
    <xf numFmtId="0" fontId="7" fillId="0" borderId="1" xfId="0" applyFont="1" applyBorder="1" applyAlignment="1">
      <alignment wrapText="1"/>
    </xf>
    <xf numFmtId="6" fontId="7" fillId="0" borderId="1" xfId="0" applyNumberFormat="1" applyFont="1" applyBorder="1" applyAlignment="1">
      <alignment wrapText="1"/>
    </xf>
    <xf numFmtId="6" fontId="9" fillId="4" borderId="4" xfId="0" applyNumberFormat="1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6" fontId="9" fillId="0" borderId="1" xfId="0" applyNumberFormat="1" applyFont="1" applyBorder="1" applyAlignment="1">
      <alignment wrapText="1"/>
    </xf>
    <xf numFmtId="6" fontId="9" fillId="4" borderId="1" xfId="0" applyNumberFormat="1" applyFont="1" applyFill="1" applyBorder="1" applyAlignment="1">
      <alignment wrapText="1"/>
    </xf>
    <xf numFmtId="0" fontId="2" fillId="0" borderId="1" xfId="0" applyFont="1" applyBorder="1"/>
    <xf numFmtId="0" fontId="0" fillId="0" borderId="1" xfId="0" applyBorder="1"/>
    <xf numFmtId="0" fontId="10" fillId="0" borderId="11" xfId="0" applyFont="1" applyBorder="1" applyAlignment="1">
      <alignment wrapText="1"/>
    </xf>
    <xf numFmtId="6" fontId="11" fillId="0" borderId="12" xfId="0" applyNumberFormat="1" applyFont="1" applyBorder="1" applyAlignment="1">
      <alignment wrapText="1"/>
    </xf>
    <xf numFmtId="0" fontId="12" fillId="0" borderId="0" xfId="0" applyFont="1"/>
    <xf numFmtId="0" fontId="2" fillId="0" borderId="2" xfId="0" applyFont="1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9" fillId="0" borderId="1" xfId="0" applyFont="1" applyBorder="1" applyAlignment="1">
      <alignment horizontal="left" wrapText="1" indent="2"/>
    </xf>
    <xf numFmtId="0" fontId="2" fillId="0" borderId="1" xfId="0" applyFont="1" applyBorder="1" applyAlignment="1">
      <alignment vertical="top"/>
    </xf>
    <xf numFmtId="0" fontId="7" fillId="0" borderId="1" xfId="0" applyFont="1" applyBorder="1" applyAlignment="1">
      <alignment horizontal="left" wrapText="1" indent="2"/>
    </xf>
    <xf numFmtId="0" fontId="5" fillId="0" borderId="1" xfId="0" applyFont="1" applyBorder="1" applyAlignment="1">
      <alignment wrapText="1"/>
    </xf>
    <xf numFmtId="0" fontId="9" fillId="0" borderId="1" xfId="0" applyFont="1" applyBorder="1" applyAlignment="1">
      <alignment horizontal="left" wrapText="1" indent="4"/>
    </xf>
    <xf numFmtId="0" fontId="14" fillId="0" borderId="0" xfId="0" applyFont="1"/>
    <xf numFmtId="0" fontId="8" fillId="0" borderId="16" xfId="0" applyFont="1" applyBorder="1" applyAlignment="1">
      <alignment vertical="top" wrapText="1"/>
    </xf>
    <xf numFmtId="0" fontId="0" fillId="0" borderId="17" xfId="0" applyBorder="1"/>
    <xf numFmtId="0" fontId="6" fillId="0" borderId="18" xfId="0" applyFont="1" applyBorder="1" applyAlignment="1">
      <alignment vertical="top" wrapText="1"/>
    </xf>
    <xf numFmtId="6" fontId="0" fillId="0" borderId="0" xfId="0" applyNumberFormat="1"/>
    <xf numFmtId="6" fontId="7" fillId="0" borderId="0" xfId="0" applyNumberFormat="1" applyFont="1"/>
    <xf numFmtId="0" fontId="13" fillId="5" borderId="8" xfId="0" applyFont="1" applyFill="1" applyBorder="1"/>
    <xf numFmtId="0" fontId="1" fillId="5" borderId="7" xfId="0" applyFont="1" applyFill="1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10" fillId="6" borderId="13" xfId="0" applyFont="1" applyFill="1" applyBorder="1" applyAlignment="1">
      <alignment wrapText="1"/>
    </xf>
    <xf numFmtId="0" fontId="10" fillId="6" borderId="14" xfId="0" applyFont="1" applyFill="1" applyBorder="1" applyAlignment="1">
      <alignment wrapText="1"/>
    </xf>
    <xf numFmtId="0" fontId="10" fillId="6" borderId="15" xfId="0" applyFont="1" applyFill="1" applyBorder="1" applyAlignment="1">
      <alignment wrapText="1"/>
    </xf>
    <xf numFmtId="0" fontId="10" fillId="6" borderId="7" xfId="0" applyFont="1" applyFill="1" applyBorder="1" applyAlignment="1">
      <alignment wrapText="1"/>
    </xf>
    <xf numFmtId="0" fontId="10" fillId="6" borderId="3" xfId="0" applyFont="1" applyFill="1" applyBorder="1"/>
    <xf numFmtId="6" fontId="15" fillId="0" borderId="1" xfId="0" applyNumberFormat="1" applyFont="1" applyBorder="1" applyAlignment="1">
      <alignment wrapText="1"/>
    </xf>
    <xf numFmtId="0" fontId="13" fillId="2" borderId="8" xfId="0" applyFont="1" applyFill="1" applyBorder="1"/>
    <xf numFmtId="0" fontId="1" fillId="2" borderId="7" xfId="0" applyFont="1" applyFill="1" applyBorder="1" applyAlignment="1">
      <alignment wrapText="1"/>
    </xf>
    <xf numFmtId="0" fontId="10" fillId="3" borderId="13" xfId="0" applyFont="1" applyFill="1" applyBorder="1" applyAlignment="1">
      <alignment wrapText="1"/>
    </xf>
    <xf numFmtId="0" fontId="10" fillId="3" borderId="14" xfId="0" applyFont="1" applyFill="1" applyBorder="1" applyAlignment="1">
      <alignment wrapText="1"/>
    </xf>
    <xf numFmtId="0" fontId="10" fillId="3" borderId="15" xfId="0" applyFont="1" applyFill="1" applyBorder="1" applyAlignment="1">
      <alignment wrapText="1"/>
    </xf>
    <xf numFmtId="0" fontId="10" fillId="3" borderId="7" xfId="0" applyFont="1" applyFill="1" applyBorder="1" applyAlignment="1">
      <alignment wrapText="1"/>
    </xf>
    <xf numFmtId="0" fontId="7" fillId="7" borderId="1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wrapText="1"/>
    </xf>
    <xf numFmtId="0" fontId="7" fillId="8" borderId="0" xfId="0" applyFont="1" applyFill="1"/>
    <xf numFmtId="6" fontId="10" fillId="0" borderId="19" xfId="0" applyNumberFormat="1" applyFont="1" applyBorder="1" applyAlignment="1">
      <alignment wrapText="1"/>
    </xf>
    <xf numFmtId="0" fontId="10" fillId="0" borderId="0" xfId="0" applyFont="1"/>
    <xf numFmtId="0" fontId="10" fillId="3" borderId="20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horizontal="left" vertical="top" wrapText="1"/>
    </xf>
    <xf numFmtId="6" fontId="9" fillId="7" borderId="8" xfId="0" applyNumberFormat="1" applyFont="1" applyFill="1" applyBorder="1" applyAlignment="1">
      <alignment wrapText="1"/>
    </xf>
    <xf numFmtId="6" fontId="7" fillId="4" borderId="1" xfId="0" applyNumberFormat="1" applyFont="1" applyFill="1" applyBorder="1" applyAlignment="1">
      <alignment wrapText="1"/>
    </xf>
    <xf numFmtId="6" fontId="16" fillId="0" borderId="1" xfId="0" applyNumberFormat="1" applyFont="1" applyBorder="1" applyAlignment="1">
      <alignment wrapText="1"/>
    </xf>
    <xf numFmtId="0" fontId="17" fillId="0" borderId="0" xfId="0" applyFont="1" applyAlignment="1">
      <alignment wrapText="1"/>
    </xf>
    <xf numFmtId="6" fontId="9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0" fontId="18" fillId="0" borderId="0" xfId="0" applyFont="1"/>
    <xf numFmtId="0" fontId="10" fillId="0" borderId="21" xfId="0" applyFont="1" applyBorder="1" applyAlignment="1">
      <alignment wrapText="1"/>
    </xf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wrapText="1"/>
    </xf>
    <xf numFmtId="0" fontId="10" fillId="3" borderId="1" xfId="0" applyFont="1" applyFill="1" applyBorder="1"/>
    <xf numFmtId="6" fontId="10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vertical="top" wrapText="1"/>
    </xf>
    <xf numFmtId="0" fontId="9" fillId="0" borderId="1" xfId="0" applyFont="1" applyBorder="1" applyAlignment="1">
      <alignment horizontal="left" wrapText="1"/>
    </xf>
    <xf numFmtId="0" fontId="7" fillId="7" borderId="1" xfId="0" applyFont="1" applyFill="1" applyBorder="1" applyAlignment="1">
      <alignment horizontal="left" wrapText="1"/>
    </xf>
    <xf numFmtId="0" fontId="20" fillId="0" borderId="24" xfId="0" applyFont="1" applyBorder="1" applyAlignment="1">
      <alignment readingOrder="1"/>
    </xf>
    <xf numFmtId="0" fontId="21" fillId="0" borderId="22" xfId="0" applyFont="1" applyBorder="1" applyAlignment="1">
      <alignment wrapText="1" readingOrder="1"/>
    </xf>
    <xf numFmtId="6" fontId="21" fillId="0" borderId="23" xfId="0" applyNumberFormat="1" applyFont="1" applyBorder="1" applyAlignment="1">
      <alignment wrapText="1" readingOrder="1"/>
    </xf>
    <xf numFmtId="0" fontId="15" fillId="0" borderId="0" xfId="0" applyFont="1"/>
    <xf numFmtId="0" fontId="22" fillId="0" borderId="24" xfId="0" applyFont="1" applyBorder="1" applyAlignment="1">
      <alignment readingOrder="1"/>
    </xf>
    <xf numFmtId="0" fontId="21" fillId="0" borderId="25" xfId="0" applyFont="1" applyBorder="1" applyAlignment="1">
      <alignment wrapText="1" readingOrder="1"/>
    </xf>
    <xf numFmtId="6" fontId="21" fillId="0" borderId="4" xfId="0" applyNumberFormat="1" applyFont="1" applyBorder="1" applyAlignment="1">
      <alignment readingOrder="1"/>
    </xf>
    <xf numFmtId="0" fontId="9" fillId="0" borderId="8" xfId="0" applyFont="1" applyBorder="1" applyAlignment="1">
      <alignment horizontal="left" wrapText="1"/>
    </xf>
    <xf numFmtId="0" fontId="9" fillId="0" borderId="26" xfId="0" applyFont="1" applyBorder="1" applyAlignment="1">
      <alignment horizontal="left" wrapText="1"/>
    </xf>
    <xf numFmtId="6" fontId="9" fillId="0" borderId="3" xfId="0" applyNumberFormat="1" applyFont="1" applyBorder="1" applyAlignment="1">
      <alignment wrapText="1"/>
    </xf>
    <xf numFmtId="0" fontId="25" fillId="0" borderId="1" xfId="0" applyFont="1" applyBorder="1" applyAlignment="1">
      <alignment horizontal="left" wrapText="1"/>
    </xf>
    <xf numFmtId="0" fontId="9" fillId="0" borderId="0" xfId="0" applyFont="1"/>
    <xf numFmtId="6" fontId="9" fillId="7" borderId="1" xfId="0" applyNumberFormat="1" applyFont="1" applyFill="1" applyBorder="1"/>
    <xf numFmtId="0" fontId="7" fillId="4" borderId="6" xfId="0" applyFont="1" applyFill="1" applyBorder="1" applyAlignment="1">
      <alignment wrapText="1"/>
    </xf>
    <xf numFmtId="0" fontId="9" fillId="0" borderId="22" xfId="0" applyFont="1" applyBorder="1" applyAlignment="1">
      <alignment wrapText="1"/>
    </xf>
    <xf numFmtId="0" fontId="10" fillId="0" borderId="2" xfId="0" applyFont="1" applyBorder="1" applyAlignment="1">
      <alignment wrapText="1"/>
    </xf>
    <xf numFmtId="0" fontId="9" fillId="0" borderId="3" xfId="0" applyFont="1" applyBorder="1" applyAlignment="1">
      <alignment horizontal="left" wrapText="1"/>
    </xf>
    <xf numFmtId="3" fontId="9" fillId="0" borderId="6" xfId="0" applyNumberFormat="1" applyFont="1" applyBorder="1" applyAlignment="1">
      <alignment wrapText="1"/>
    </xf>
    <xf numFmtId="0" fontId="26" fillId="0" borderId="22" xfId="0" applyFont="1" applyBorder="1" applyAlignment="1">
      <alignment wrapText="1"/>
    </xf>
    <xf numFmtId="0" fontId="10" fillId="8" borderId="1" xfId="0" applyFont="1" applyFill="1" applyBorder="1" applyAlignment="1">
      <alignment wrapText="1"/>
    </xf>
    <xf numFmtId="6" fontId="9" fillId="8" borderId="1" xfId="0" applyNumberFormat="1" applyFont="1" applyFill="1" applyBorder="1" applyAlignment="1">
      <alignment wrapText="1"/>
    </xf>
    <xf numFmtId="0" fontId="10" fillId="7" borderId="1" xfId="0" applyFont="1" applyFill="1" applyBorder="1" applyAlignment="1">
      <alignment wrapText="1"/>
    </xf>
    <xf numFmtId="6" fontId="9" fillId="0" borderId="29" xfId="0" applyNumberFormat="1" applyFont="1" applyBorder="1" applyAlignment="1">
      <alignment wrapText="1"/>
    </xf>
    <xf numFmtId="6" fontId="9" fillId="0" borderId="28" xfId="0" applyNumberFormat="1" applyFont="1" applyBorder="1" applyAlignment="1">
      <alignment wrapText="1"/>
    </xf>
    <xf numFmtId="0" fontId="7" fillId="0" borderId="28" xfId="0" applyFont="1" applyBorder="1"/>
    <xf numFmtId="6" fontId="9" fillId="8" borderId="3" xfId="0" applyNumberFormat="1" applyFont="1" applyFill="1" applyBorder="1" applyAlignment="1">
      <alignment wrapText="1"/>
    </xf>
    <xf numFmtId="0" fontId="15" fillId="0" borderId="1" xfId="0" applyFont="1" applyBorder="1" applyAlignment="1">
      <alignment wrapText="1"/>
    </xf>
    <xf numFmtId="0" fontId="9" fillId="8" borderId="1" xfId="0" applyFont="1" applyFill="1" applyBorder="1" applyAlignment="1">
      <alignment wrapText="1"/>
    </xf>
    <xf numFmtId="0" fontId="7" fillId="4" borderId="22" xfId="0" applyFont="1" applyFill="1" applyBorder="1" applyAlignment="1">
      <alignment wrapText="1"/>
    </xf>
    <xf numFmtId="0" fontId="10" fillId="0" borderId="22" xfId="0" applyFont="1" applyBorder="1" applyAlignment="1">
      <alignment wrapText="1"/>
    </xf>
    <xf numFmtId="0" fontId="10" fillId="8" borderId="2" xfId="0" applyFont="1" applyFill="1" applyBorder="1" applyAlignment="1">
      <alignment wrapText="1"/>
    </xf>
    <xf numFmtId="8" fontId="21" fillId="0" borderId="4" xfId="0" applyNumberFormat="1" applyFont="1" applyBorder="1" applyAlignment="1">
      <alignment readingOrder="1"/>
    </xf>
    <xf numFmtId="8" fontId="22" fillId="0" borderId="24" xfId="0" applyNumberFormat="1" applyFont="1" applyBorder="1" applyAlignment="1">
      <alignment readingOrder="1"/>
    </xf>
    <xf numFmtId="8" fontId="21" fillId="0" borderId="23" xfId="0" applyNumberFormat="1" applyFont="1" applyBorder="1" applyAlignment="1">
      <alignment wrapText="1" readingOrder="1"/>
    </xf>
    <xf numFmtId="8" fontId="9" fillId="0" borderId="1" xfId="0" applyNumberFormat="1" applyFont="1" applyBorder="1" applyAlignment="1">
      <alignment wrapText="1"/>
    </xf>
    <xf numFmtId="8" fontId="7" fillId="0" borderId="1" xfId="0" applyNumberFormat="1" applyFont="1" applyBorder="1" applyAlignment="1">
      <alignment wrapText="1"/>
    </xf>
    <xf numFmtId="8" fontId="7" fillId="0" borderId="0" xfId="0" applyNumberFormat="1" applyFont="1"/>
    <xf numFmtId="8" fontId="9" fillId="4" borderId="1" xfId="0" applyNumberFormat="1" applyFont="1" applyFill="1" applyBorder="1" applyAlignment="1">
      <alignment wrapText="1"/>
    </xf>
    <xf numFmtId="8" fontId="7" fillId="0" borderId="1" xfId="0" applyNumberFormat="1" applyFont="1" applyBorder="1"/>
    <xf numFmtId="8" fontId="20" fillId="0" borderId="24" xfId="0" applyNumberFormat="1" applyFont="1" applyBorder="1" applyAlignment="1">
      <alignment readingOrder="1"/>
    </xf>
    <xf numFmtId="8" fontId="9" fillId="0" borderId="6" xfId="0" applyNumberFormat="1" applyFont="1" applyBorder="1" applyAlignment="1">
      <alignment wrapText="1"/>
    </xf>
    <xf numFmtId="8" fontId="9" fillId="4" borderId="4" xfId="0" applyNumberFormat="1" applyFont="1" applyFill="1" applyBorder="1" applyAlignment="1">
      <alignment wrapText="1"/>
    </xf>
    <xf numFmtId="8" fontId="9" fillId="0" borderId="3" xfId="0" applyNumberFormat="1" applyFont="1" applyBorder="1" applyAlignment="1">
      <alignment wrapText="1"/>
    </xf>
    <xf numFmtId="8" fontId="15" fillId="0" borderId="0" xfId="0" applyNumberFormat="1" applyFont="1"/>
    <xf numFmtId="8" fontId="9" fillId="4" borderId="6" xfId="0" applyNumberFormat="1" applyFont="1" applyFill="1" applyBorder="1" applyAlignment="1">
      <alignment wrapText="1"/>
    </xf>
    <xf numFmtId="8" fontId="22" fillId="0" borderId="23" xfId="0" applyNumberFormat="1" applyFont="1" applyBorder="1" applyAlignment="1">
      <alignment readingOrder="1"/>
    </xf>
    <xf numFmtId="8" fontId="0" fillId="0" borderId="0" xfId="0" applyNumberFormat="1"/>
    <xf numFmtId="8" fontId="0" fillId="0" borderId="1" xfId="0" applyNumberFormat="1" applyBorder="1"/>
    <xf numFmtId="6" fontId="22" fillId="0" borderId="24" xfId="0" applyNumberFormat="1" applyFont="1" applyBorder="1" applyAlignment="1">
      <alignment readingOrder="1"/>
    </xf>
    <xf numFmtId="6" fontId="7" fillId="0" borderId="1" xfId="0" applyNumberFormat="1" applyFont="1" applyBorder="1"/>
    <xf numFmtId="6" fontId="20" fillId="0" borderId="24" xfId="0" applyNumberFormat="1" applyFont="1" applyBorder="1" applyAlignment="1">
      <alignment readingOrder="1"/>
    </xf>
    <xf numFmtId="6" fontId="9" fillId="0" borderId="6" xfId="0" applyNumberFormat="1" applyFont="1" applyBorder="1" applyAlignment="1">
      <alignment wrapText="1"/>
    </xf>
    <xf numFmtId="6" fontId="7" fillId="0" borderId="2" xfId="0" applyNumberFormat="1" applyFont="1" applyBorder="1" applyAlignment="1">
      <alignment wrapText="1"/>
    </xf>
    <xf numFmtId="6" fontId="9" fillId="0" borderId="8" xfId="0" applyNumberFormat="1" applyFont="1" applyBorder="1" applyAlignment="1">
      <alignment wrapText="1"/>
    </xf>
    <xf numFmtId="6" fontId="0" fillId="0" borderId="22" xfId="1" applyNumberFormat="1" applyFont="1" applyBorder="1"/>
    <xf numFmtId="6" fontId="0" fillId="0" borderId="22" xfId="0" applyNumberFormat="1" applyBorder="1"/>
    <xf numFmtId="6" fontId="9" fillId="0" borderId="22" xfId="0" applyNumberFormat="1" applyFont="1" applyBorder="1" applyAlignment="1">
      <alignment wrapText="1"/>
    </xf>
    <xf numFmtId="6" fontId="9" fillId="0" borderId="2" xfId="0" applyNumberFormat="1" applyFont="1" applyBorder="1" applyAlignment="1">
      <alignment wrapText="1"/>
    </xf>
    <xf numFmtId="6" fontId="19" fillId="8" borderId="22" xfId="0" applyNumberFormat="1" applyFont="1" applyFill="1" applyBorder="1"/>
    <xf numFmtId="6" fontId="24" fillId="0" borderId="22" xfId="0" applyNumberFormat="1" applyFont="1" applyBorder="1"/>
    <xf numFmtId="6" fontId="7" fillId="8" borderId="0" xfId="0" applyNumberFormat="1" applyFont="1" applyFill="1"/>
    <xf numFmtId="6" fontId="19" fillId="0" borderId="22" xfId="0" applyNumberFormat="1" applyFont="1" applyBorder="1"/>
    <xf numFmtId="6" fontId="23" fillId="0" borderId="22" xfId="0" applyNumberFormat="1" applyFont="1" applyBorder="1"/>
    <xf numFmtId="6" fontId="0" fillId="0" borderId="1" xfId="0" applyNumberFormat="1" applyBorder="1"/>
    <xf numFmtId="0" fontId="3" fillId="0" borderId="0" xfId="0" applyFont="1" applyAlignment="1">
      <alignment horizontal="left" wrapText="1"/>
    </xf>
    <xf numFmtId="9" fontId="9" fillId="7" borderId="1" xfId="2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 wrapText="1"/>
    </xf>
    <xf numFmtId="0" fontId="2" fillId="0" borderId="27" xfId="0" applyFont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2" fillId="0" borderId="28" xfId="0" applyFont="1" applyBorder="1" applyAlignment="1">
      <alignment horizontal="center" vertical="top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28229</xdr:colOff>
      <xdr:row>0</xdr:row>
      <xdr:rowOff>83389</xdr:rowOff>
    </xdr:from>
    <xdr:to>
      <xdr:col>14</xdr:col>
      <xdr:colOff>95250</xdr:colOff>
      <xdr:row>10</xdr:row>
      <xdr:rowOff>169334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FD1992C7-AA22-4941-9568-B6DA7EAA81E5}"/>
            </a:ext>
          </a:extLst>
        </xdr:cNvPr>
        <xdr:cNvSpPr/>
      </xdr:nvSpPr>
      <xdr:spPr>
        <a:xfrm>
          <a:off x="155229" y="83389"/>
          <a:ext cx="10523354" cy="132066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Introduction: </a:t>
          </a:r>
          <a:endParaRPr lang="en-US" sz="1800" b="0"/>
        </a:p>
        <a:p>
          <a:pPr algn="l"/>
          <a:r>
            <a:rPr lang="en-US" sz="1400" b="0"/>
            <a:t>This Excel Spreadsheet is provided </a:t>
          </a:r>
          <a:r>
            <a:rPr lang="en-US" sz="1400"/>
            <a:t>to aid Climate Pollution Reduction Grant</a:t>
          </a:r>
          <a:r>
            <a:rPr lang="en-US" sz="1400" baseline="0"/>
            <a:t> implementation grant </a:t>
          </a:r>
          <a:r>
            <a:rPr lang="en-US" sz="1400"/>
            <a:t>applicants in developing the required budget table(s) within the budget narrative.  </a:t>
          </a:r>
          <a:r>
            <a:rPr lang="en-US" sz="14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Applicants may submit a budget spreadsheet (no page limit) with their application.</a:t>
          </a:r>
          <a:endParaRPr lang="en-US" sz="1400"/>
        </a:p>
        <a:p>
          <a:pPr algn="l"/>
          <a:endParaRPr lang="en-US" sz="1400"/>
        </a:p>
        <a:p>
          <a:pPr algn="l"/>
          <a:r>
            <a:rPr lang="en-US" sz="1400"/>
            <a:t>The</a:t>
          </a:r>
          <a:r>
            <a:rPr lang="en-US" sz="1400" baseline="0"/>
            <a:t> individual worksheets are formatted for 1 page width of 8.5" x 11" landscape orientation.</a:t>
          </a:r>
          <a:endParaRPr lang="en-US" sz="1400" b="0"/>
        </a:p>
      </xdr:txBody>
    </xdr:sp>
    <xdr:clientData/>
  </xdr:twoCellAnchor>
  <xdr:twoCellAnchor>
    <xdr:from>
      <xdr:col>1</xdr:col>
      <xdr:colOff>41787</xdr:colOff>
      <xdr:row>9</xdr:row>
      <xdr:rowOff>174298</xdr:rowOff>
    </xdr:from>
    <xdr:to>
      <xdr:col>14</xdr:col>
      <xdr:colOff>86391</xdr:colOff>
      <xdr:row>40</xdr:row>
      <xdr:rowOff>142875</xdr:rowOff>
    </xdr:to>
    <xdr:sp macro="" textlink="">
      <xdr:nvSpPr>
        <xdr:cNvPr id="294" name="Rectangle 2">
          <a:extLst>
            <a:ext uri="{FF2B5EF4-FFF2-40B4-BE49-F238E27FC236}">
              <a16:creationId xmlns:a16="http://schemas.microsoft.com/office/drawing/2014/main" id="{C2E9A354-A79D-41A6-AB37-77B1C72CD66E}"/>
            </a:ext>
          </a:extLst>
        </xdr:cNvPr>
        <xdr:cNvSpPr/>
      </xdr:nvSpPr>
      <xdr:spPr>
        <a:xfrm>
          <a:off x="168787" y="1222048"/>
          <a:ext cx="10522104" cy="574707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Instructions:  </a:t>
          </a:r>
        </a:p>
        <a:p>
          <a:pPr algn="l"/>
          <a:r>
            <a:rPr lang="en-US" sz="1400" b="0" baseline="0"/>
            <a:t>The template contains 5 tabs (titled "Measure 1 Budget" through "Measure 5 Budget") where applicants can create budgets for up to 5 discrete GHG measures contained in their application. Applicants should leave excess tabs blank (ie,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</a:p>
        <a:p>
          <a:pPr algn="l"/>
          <a:endParaRPr lang="en-US" sz="1400" b="1" baseline="0"/>
        </a:p>
        <a:p>
          <a:pPr algn="l"/>
          <a:r>
            <a:rPr lang="en-US" sz="1400" b="1" baseline="0"/>
            <a:t>Measure Tab Instructions:</a:t>
          </a:r>
        </a:p>
        <a:p>
          <a:pPr algn="l"/>
          <a:r>
            <a:rPr lang="en-US" sz="1400" b="0" baseline="0"/>
            <a:t>Below is a description of the steps an applicant should complete to finish each measure tab of the template. </a:t>
          </a:r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 C,</a:t>
          </a:r>
          <a:r>
            <a:rPr lang="en-US" sz="1400" b="0" baseline="0"/>
            <a:t> provide itemized costs descriptions in each cost category. Insert or delete rows as needed.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columns D through H,</a:t>
          </a:r>
          <a:r>
            <a:rPr lang="en-US" sz="1400" b="0" baseline="0"/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Column J </a:t>
          </a:r>
          <a:r>
            <a:rPr lang="en-US" sz="1400" b="0" baseline="0"/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Please check all formulas and calculations before finalizing your budget tables.</a:t>
          </a:r>
        </a:p>
        <a:p>
          <a:pPr algn="l"/>
          <a:endParaRPr lang="en-US" sz="1400" b="0" baseline="0"/>
        </a:p>
        <a:p>
          <a:pPr algn="l"/>
          <a:r>
            <a:rPr lang="en-US" sz="1400" b="1" baseline="0"/>
            <a:t>Consolidated Budget Instructions:</a:t>
          </a:r>
        </a:p>
        <a:p>
          <a:pPr algn="l"/>
          <a:r>
            <a:rPr lang="en-US" sz="1400" b="0" baseline="0"/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5BF4F-A53F-426F-B2F9-1F2AFC00110F}">
  <dimension ref="D1:R28"/>
  <sheetViews>
    <sheetView showGridLines="0" topLeftCell="A65" zoomScale="90" zoomScaleNormal="90" workbookViewId="0">
      <selection activeCell="F58" sqref="F58"/>
    </sheetView>
  </sheetViews>
  <sheetFormatPr baseColWidth="10" defaultColWidth="8.83203125" defaultRowHeight="15" x14ac:dyDescent="0.2"/>
  <cols>
    <col min="1" max="1" width="1.83203125" customWidth="1"/>
    <col min="5" max="5" width="13.5" bestFit="1" customWidth="1"/>
    <col min="6" max="6" width="14.5" bestFit="1" customWidth="1"/>
    <col min="7" max="9" width="14.5" customWidth="1"/>
    <col min="10" max="10" width="10.83203125" bestFit="1" customWidth="1"/>
    <col min="11" max="11" width="15.5" customWidth="1"/>
    <col min="18" max="18" width="37.5" customWidth="1"/>
  </cols>
  <sheetData>
    <row r="1" spans="4:11" ht="10.5" customHeight="1" x14ac:dyDescent="0.2"/>
    <row r="2" spans="4:11" x14ac:dyDescent="0.2">
      <c r="D2" s="3"/>
      <c r="E2" s="3"/>
      <c r="J2" s="33"/>
      <c r="K2" s="3"/>
    </row>
    <row r="3" spans="4:11" x14ac:dyDescent="0.2">
      <c r="D3" s="3"/>
      <c r="E3" s="3"/>
      <c r="J3" s="31"/>
      <c r="K3" s="32"/>
    </row>
    <row r="4" spans="4:11" x14ac:dyDescent="0.2">
      <c r="D4" s="4"/>
      <c r="E4" s="3"/>
    </row>
    <row r="9" spans="4:11" x14ac:dyDescent="0.2">
      <c r="J9" s="21"/>
    </row>
    <row r="17" spans="5:18" x14ac:dyDescent="0.2">
      <c r="E17" s="34"/>
      <c r="F17" s="34"/>
      <c r="G17" s="34"/>
      <c r="H17" s="34"/>
      <c r="I17" s="34"/>
    </row>
    <row r="18" spans="5:18" x14ac:dyDescent="0.2">
      <c r="E18" s="34"/>
      <c r="F18" s="34"/>
      <c r="G18" s="34"/>
      <c r="H18" s="34"/>
      <c r="I18" s="34"/>
    </row>
    <row r="27" spans="5:18" ht="24" x14ac:dyDescent="0.3">
      <c r="Q27" s="30"/>
    </row>
    <row r="28" spans="5:18" x14ac:dyDescent="0.2">
      <c r="Q28" s="62"/>
      <c r="R28" s="63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6326-4914-48E0-ADF2-3E1029E57328}">
  <sheetPr>
    <tabColor theme="9" tint="-0.249977111117893"/>
    <pageSetUpPr fitToPage="1"/>
  </sheetPr>
  <dimension ref="B2:AM28"/>
  <sheetViews>
    <sheetView showGridLines="0" tabSelected="1" topLeftCell="A4" zoomScale="83" zoomScaleNormal="85" workbookViewId="0">
      <selection activeCell="J23" sqref="J23"/>
    </sheetView>
  </sheetViews>
  <sheetFormatPr baseColWidth="10" defaultColWidth="9.1640625" defaultRowHeight="15" customHeight="1" x14ac:dyDescent="0.2"/>
  <cols>
    <col min="1" max="1" width="3.1640625" customWidth="1"/>
    <col min="2" max="2" width="12.1640625" customWidth="1"/>
    <col min="3" max="3" width="29.1640625" customWidth="1"/>
    <col min="4" max="4" width="12.83203125" style="6" bestFit="1" customWidth="1"/>
    <col min="5" max="5" width="13.5" style="2" customWidth="1"/>
    <col min="6" max="6" width="14.5" customWidth="1"/>
    <col min="7" max="7" width="13.33203125" customWidth="1"/>
    <col min="8" max="8" width="12" style="2" customWidth="1"/>
    <col min="9" max="9" width="3.5" style="7" customWidth="1"/>
    <col min="10" max="10" width="15.5" customWidth="1"/>
    <col min="11" max="11" width="18.83203125" customWidth="1"/>
  </cols>
  <sheetData>
    <row r="2" spans="2:39" ht="24" x14ac:dyDescent="0.3">
      <c r="B2" s="30" t="s">
        <v>0</v>
      </c>
    </row>
    <row r="3" spans="2:39" ht="26.5" customHeight="1" x14ac:dyDescent="0.2">
      <c r="B3" s="137" t="s">
        <v>1</v>
      </c>
      <c r="C3" s="137"/>
      <c r="D3" s="137"/>
      <c r="E3" s="137"/>
      <c r="F3" s="137"/>
      <c r="G3" s="137"/>
      <c r="H3" s="137"/>
      <c r="I3" s="137"/>
      <c r="J3" s="137"/>
    </row>
    <row r="4" spans="2:39" ht="15" customHeight="1" x14ac:dyDescent="0.2">
      <c r="B4" s="5"/>
    </row>
    <row r="5" spans="2:39" ht="19" x14ac:dyDescent="0.25">
      <c r="B5" s="45" t="s">
        <v>2</v>
      </c>
      <c r="C5" s="46"/>
      <c r="D5" s="46"/>
      <c r="E5" s="46"/>
      <c r="F5" s="46"/>
      <c r="G5" s="46"/>
      <c r="H5" s="46"/>
      <c r="I5" s="46"/>
      <c r="J5" s="67"/>
    </row>
    <row r="6" spans="2:39" ht="17" customHeight="1" x14ac:dyDescent="0.2">
      <c r="B6" s="47" t="s">
        <v>3</v>
      </c>
      <c r="C6" s="47" t="s">
        <v>4</v>
      </c>
      <c r="D6" s="47" t="s">
        <v>5</v>
      </c>
      <c r="E6" s="48" t="s">
        <v>6</v>
      </c>
      <c r="F6" s="48" t="s">
        <v>7</v>
      </c>
      <c r="G6" s="48" t="s">
        <v>8</v>
      </c>
      <c r="H6" s="49" t="s">
        <v>9</v>
      </c>
      <c r="I6" s="50"/>
      <c r="J6" s="68" t="s">
        <v>10</v>
      </c>
    </row>
    <row r="7" spans="2:39" s="5" customFormat="1" ht="16" x14ac:dyDescent="0.2">
      <c r="B7" s="22" t="s">
        <v>11</v>
      </c>
      <c r="C7" s="51" t="s">
        <v>12</v>
      </c>
      <c r="D7" s="52">
        <f>'EV Fleet Transition'!D10+'Mass Transit Expansion'!D9+'Bicycle &amp; Pedestrian Programs'!D10+'Measure 4 Budget'!D11+'Measure 5 Budget'!D11</f>
        <v>90399.040000000008</v>
      </c>
      <c r="E7" s="52">
        <f>'EV Fleet Transition'!E10+'Mass Transit Expansion'!E9+'Bicycle &amp; Pedestrian Programs'!E10+'Measure 4 Budget'!E11+'Measure 5 Budget'!E11</f>
        <v>93111.423200000019</v>
      </c>
      <c r="F7" s="52">
        <f>'EV Fleet Transition'!F10+'Mass Transit Expansion'!F9+'Bicycle &amp; Pedestrian Programs'!F10+'Measure 4 Budget'!F11+'Measure 5 Budget'!F11</f>
        <v>95904.765896000012</v>
      </c>
      <c r="G7" s="52">
        <f>'EV Fleet Transition'!G10+'Mass Transit Expansion'!G9+'Bicycle &amp; Pedestrian Programs'!G10+'Measure 4 Budget'!G11+'Measure 5 Budget'!G11</f>
        <v>98781.908872880027</v>
      </c>
      <c r="H7" s="52">
        <f>'EV Fleet Transition'!H10+'Mass Transit Expansion'!H9+'Bicycle &amp; Pedestrian Programs'!H10+'Measure 4 Budget'!H11+'Measure 5 Budget'!H11</f>
        <v>101745.36613906641</v>
      </c>
      <c r="I7" s="53"/>
      <c r="J7" s="52">
        <f>SUM(D7:I7)</f>
        <v>479942.50410794647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16" x14ac:dyDescent="0.2">
      <c r="B8" s="23"/>
      <c r="C8" s="72" t="s">
        <v>13</v>
      </c>
      <c r="D8" s="52">
        <f>'EV Fleet Transition'!D13+'Mass Transit Expansion'!D12+'Bicycle &amp; Pedestrian Programs'!D14+'Measure 4 Budget'!D16+'Measure 5 Budget'!D16</f>
        <v>29599.792800000003</v>
      </c>
      <c r="E8" s="52">
        <f>'EV Fleet Transition'!E13+'Mass Transit Expansion'!E12+'Bicycle &amp; Pedestrian Programs'!E14+'Measure 4 Budget'!E16</f>
        <v>30487.786584000001</v>
      </c>
      <c r="F8" s="52">
        <f>'EV Fleet Transition'!F13+'Mass Transit Expansion'!F12+'Bicycle &amp; Pedestrian Programs'!F14+'Measure 4 Budget'!F16</f>
        <v>32251.134240480005</v>
      </c>
      <c r="G8" s="52">
        <f>'EV Fleet Transition'!G13+'Mass Transit Expansion'!G12+'Bicycle &amp; Pedestrian Programs'!G14+'Measure 4 Budget'!G16</f>
        <v>33218.668267694404</v>
      </c>
      <c r="H8" s="52">
        <f>'EV Fleet Transition'!H13+'Mass Transit Expansion'!H12+'Bicycle &amp; Pedestrian Programs'!H14+'Measure 4 Budget'!H16</f>
        <v>34215.228315725239</v>
      </c>
      <c r="I8" s="53"/>
      <c r="J8" s="52">
        <f t="shared" ref="J8:J14" si="0">SUM(D8:I8)</f>
        <v>159772.61020789965</v>
      </c>
    </row>
    <row r="9" spans="2:39" ht="16" x14ac:dyDescent="0.2">
      <c r="B9" s="23"/>
      <c r="C9" s="72" t="s">
        <v>14</v>
      </c>
      <c r="D9" s="52">
        <f>'EV Fleet Transition'!D17+'Mass Transit Expansion'!D17+'Bicycle &amp; Pedestrian Programs'!D18+'Measure 4 Budget'!D27+'Measure 5 Budget'!D27</f>
        <v>7113.3333333333339</v>
      </c>
      <c r="E9" s="52">
        <f>'EV Fleet Transition'!E17+'Mass Transit Expansion'!E17+'Bicycle &amp; Pedestrian Programs'!E18+'Measure 4 Budget'!E27</f>
        <v>7113.3333333333339</v>
      </c>
      <c r="F9" s="52">
        <f>'EV Fleet Transition'!F17+'Mass Transit Expansion'!F17+'Bicycle &amp; Pedestrian Programs'!F18+'Measure 4 Budget'!F27</f>
        <v>7113.3333333333339</v>
      </c>
      <c r="G9" s="52">
        <f>'EV Fleet Transition'!G17+'Mass Transit Expansion'!G17+'Bicycle &amp; Pedestrian Programs'!G18+'Measure 4 Budget'!G27</f>
        <v>7113.3333333333339</v>
      </c>
      <c r="H9" s="52">
        <f>'EV Fleet Transition'!H17+'Mass Transit Expansion'!H17+'Bicycle &amp; Pedestrian Programs'!H18+'Measure 4 Budget'!H27</f>
        <v>7113.3333333333339</v>
      </c>
      <c r="I9" s="53"/>
      <c r="J9" s="52">
        <f t="shared" si="0"/>
        <v>35566.666666666672</v>
      </c>
    </row>
    <row r="10" spans="2:39" ht="16" x14ac:dyDescent="0.2">
      <c r="B10" s="23"/>
      <c r="C10" s="72" t="s">
        <v>15</v>
      </c>
      <c r="D10" s="52">
        <v>2499</v>
      </c>
      <c r="E10" s="52">
        <f>'EV Fleet Transition'!E20+'Mass Transit Expansion'!E20+'Bicycle &amp; Pedestrian Programs'!E21+'Measure 4 Budget'!E31</f>
        <v>0</v>
      </c>
      <c r="F10" s="52">
        <f>'EV Fleet Transition'!F20+'Mass Transit Expansion'!F20+'Bicycle &amp; Pedestrian Programs'!F21+'Measure 4 Budget'!F31</f>
        <v>0</v>
      </c>
      <c r="G10" s="52">
        <f>'EV Fleet Transition'!G20+'Mass Transit Expansion'!G20+'Bicycle &amp; Pedestrian Programs'!G21+'Measure 4 Budget'!G31</f>
        <v>0</v>
      </c>
      <c r="H10" s="52">
        <f>'EV Fleet Transition'!H20+'Mass Transit Expansion'!H20+'Bicycle &amp; Pedestrian Programs'!H21+'Measure 4 Budget'!H31</f>
        <v>0</v>
      </c>
      <c r="I10" s="53"/>
      <c r="J10" s="52">
        <v>2499</v>
      </c>
    </row>
    <row r="11" spans="2:39" ht="16" x14ac:dyDescent="0.2">
      <c r="B11" s="23"/>
      <c r="C11" s="72" t="s">
        <v>16</v>
      </c>
      <c r="D11" s="52">
        <f>'EV Fleet Transition'!D23+'Mass Transit Expansion'!D23+'Bicycle &amp; Pedestrian Programs'!D24+'Measure 4 Budget'!D35+'Measure 5 Budget'!D35</f>
        <v>0</v>
      </c>
      <c r="E11" s="52">
        <f>'EV Fleet Transition'!E23+'Mass Transit Expansion'!E23+'Bicycle &amp; Pedestrian Programs'!E24+'Measure 4 Budget'!E35</f>
        <v>0</v>
      </c>
      <c r="F11" s="52">
        <f>'EV Fleet Transition'!F23+'Mass Transit Expansion'!F23+'Bicycle &amp; Pedestrian Programs'!F24+'Measure 4 Budget'!F35</f>
        <v>0</v>
      </c>
      <c r="G11" s="52">
        <f>'EV Fleet Transition'!G23+'Mass Transit Expansion'!G23+'Bicycle &amp; Pedestrian Programs'!G24+'Measure 4 Budget'!G35</f>
        <v>0</v>
      </c>
      <c r="H11" s="52">
        <f>'EV Fleet Transition'!H23+'Mass Transit Expansion'!H23+'Bicycle &amp; Pedestrian Programs'!H24+'Measure 4 Budget'!H35</f>
        <v>0</v>
      </c>
      <c r="I11" s="53"/>
      <c r="J11" s="52">
        <f t="shared" si="0"/>
        <v>0</v>
      </c>
    </row>
    <row r="12" spans="2:39" ht="16" x14ac:dyDescent="0.2">
      <c r="B12" s="23"/>
      <c r="C12" s="72" t="s">
        <v>17</v>
      </c>
      <c r="D12" s="52">
        <f>'EV Fleet Transition'!D30+'Mass Transit Expansion'!D27+'Bicycle &amp; Pedestrian Programs'!D33+'Measure 4 Budget'!D41+'Measure 5 Budget'!D41</f>
        <v>9562582.5</v>
      </c>
      <c r="E12" s="52">
        <f>'EV Fleet Transition'!E30+'Mass Transit Expansion'!E27+'Bicycle &amp; Pedestrian Programs'!E33+'Measure 4 Budget'!E41</f>
        <v>8810000.5</v>
      </c>
      <c r="F12" s="52">
        <f>'EV Fleet Transition'!F30+'Mass Transit Expansion'!F27+'Bicycle &amp; Pedestrian Programs'!F33+'Measure 4 Budget'!F41</f>
        <v>1321520</v>
      </c>
      <c r="G12" s="52">
        <f>'EV Fleet Transition'!G30+'Mass Transit Expansion'!G27+'Bicycle &amp; Pedestrian Programs'!G33+'Measure 4 Budget'!G41</f>
        <v>1321520</v>
      </c>
      <c r="H12" s="52">
        <f>'EV Fleet Transition'!H30+'Mass Transit Expansion'!H27+'Bicycle &amp; Pedestrian Programs'!H33+'Measure 4 Budget'!H41</f>
        <v>1321520</v>
      </c>
      <c r="I12" s="53"/>
      <c r="J12" s="52">
        <f t="shared" si="0"/>
        <v>22337143</v>
      </c>
    </row>
    <row r="13" spans="2:39" ht="16" x14ac:dyDescent="0.2">
      <c r="B13" s="23"/>
      <c r="C13" s="72" t="s">
        <v>18</v>
      </c>
      <c r="D13" s="52">
        <f>'EV Fleet Transition'!D36+'Mass Transit Expansion'!D34+'Bicycle &amp; Pedestrian Programs'!D36</f>
        <v>4982500</v>
      </c>
      <c r="E13" s="52">
        <f>'EV Fleet Transition'!E36+'Mass Transit Expansion'!E34+'Bicycle &amp; Pedestrian Programs'!E36</f>
        <v>7149318.333333334</v>
      </c>
      <c r="F13" s="52">
        <f>'EV Fleet Transition'!F36+'Mass Transit Expansion'!F34+'Bicycle &amp; Pedestrian Programs'!F36</f>
        <v>6421818.333333334</v>
      </c>
      <c r="G13" s="52">
        <f>'EV Fleet Transition'!G36+'Mass Transit Expansion'!G34+'Bicycle &amp; Pedestrian Programs'!G36</f>
        <v>6421818.333333334</v>
      </c>
      <c r="H13" s="52">
        <f>'EV Fleet Transition'!H36+'Mass Transit Expansion'!H34+'Bicycle &amp; Pedestrian Programs'!H36</f>
        <v>2000000</v>
      </c>
      <c r="I13" s="53"/>
      <c r="J13" s="52">
        <f t="shared" si="0"/>
        <v>26975455</v>
      </c>
    </row>
    <row r="14" spans="2:39" ht="16" x14ac:dyDescent="0.2">
      <c r="B14" s="23"/>
      <c r="C14" s="51" t="s">
        <v>19</v>
      </c>
      <c r="D14" s="52">
        <f>'EV Fleet Transition'!D39+'Mass Transit Expansion'!D37+'Bicycle &amp; Pedestrian Programs'!D39+'Measure 4 Budget'!D49+'Measure 5 Budget'!D49</f>
        <v>2019</v>
      </c>
      <c r="E14" s="52">
        <f>'EV Fleet Transition'!E39+'Mass Transit Expansion'!E37+'Bicycle &amp; Pedestrian Programs'!E39+'Measure 4 Budget'!E49</f>
        <v>1900</v>
      </c>
      <c r="F14" s="52">
        <f>'EV Fleet Transition'!F39+'Mass Transit Expansion'!F37+'Bicycle &amp; Pedestrian Programs'!F39+'Measure 4 Budget'!F49</f>
        <v>1900</v>
      </c>
      <c r="G14" s="52">
        <f>'EV Fleet Transition'!G39+'Mass Transit Expansion'!G37+'Bicycle &amp; Pedestrian Programs'!G39+'Measure 4 Budget'!G49</f>
        <v>1900</v>
      </c>
      <c r="H14" s="52">
        <f>'EV Fleet Transition'!H39+'Mass Transit Expansion'!H37+'Bicycle &amp; Pedestrian Programs'!H39+'Measure 4 Budget'!H49</f>
        <v>1900</v>
      </c>
      <c r="I14" s="53"/>
      <c r="J14" s="52">
        <f t="shared" si="0"/>
        <v>9619</v>
      </c>
    </row>
    <row r="15" spans="2:39" ht="16" x14ac:dyDescent="0.2">
      <c r="B15" s="24"/>
      <c r="C15" s="9" t="s">
        <v>20</v>
      </c>
      <c r="D15" s="16">
        <f>D14+D13+D12+D11+D10+D9+D8+D7</f>
        <v>14676712.666133333</v>
      </c>
      <c r="E15" s="16">
        <f t="shared" ref="E15:H15" si="1">E14+E13+E12+E11+E10+E9+E8+E7</f>
        <v>16091931.376450667</v>
      </c>
      <c r="F15" s="16">
        <f t="shared" si="1"/>
        <v>7880507.5668031471</v>
      </c>
      <c r="G15" s="16">
        <f t="shared" si="1"/>
        <v>7884352.2438072413</v>
      </c>
      <c r="H15" s="16">
        <f t="shared" si="1"/>
        <v>3466493.9277881254</v>
      </c>
      <c r="J15" s="16">
        <v>49999999</v>
      </c>
    </row>
    <row r="16" spans="2:39" x14ac:dyDescent="0.2">
      <c r="B16" s="66"/>
      <c r="D16"/>
      <c r="E16"/>
      <c r="H16"/>
      <c r="I16"/>
      <c r="J16" s="18" t="s">
        <v>21</v>
      </c>
    </row>
    <row r="17" spans="2:11" ht="20" customHeight="1" x14ac:dyDescent="0.2">
      <c r="B17" s="66"/>
      <c r="C17" s="9" t="s">
        <v>22</v>
      </c>
      <c r="D17" s="59">
        <f>'EV Fleet Transition'!D44+'Mass Transit Expansion'!D42+'Bicycle &amp; Pedestrian Programs'!D44+'Measure 4 Budget'!D55+'Measure 5 Budget'!D55</f>
        <v>0</v>
      </c>
      <c r="E17" s="59">
        <f>'EV Fleet Transition'!E44+'Mass Transit Expansion'!E42+'Bicycle &amp; Pedestrian Programs'!E44+'Measure 4 Budget'!E55</f>
        <v>0</v>
      </c>
      <c r="F17" s="59">
        <f>'EV Fleet Transition'!F44+'Mass Transit Expansion'!F42+'Bicycle &amp; Pedestrian Programs'!F44+'Measure 4 Budget'!F55</f>
        <v>0</v>
      </c>
      <c r="G17" s="59">
        <f>'EV Fleet Transition'!G44+'Mass Transit Expansion'!G42+'Bicycle &amp; Pedestrian Programs'!G44+'Measure 4 Budget'!G55</f>
        <v>0</v>
      </c>
      <c r="H17" s="59">
        <f>'EV Fleet Transition'!H44+'Mass Transit Expansion'!H42+'Bicycle &amp; Pedestrian Programs'!H44+'Measure 4 Budget'!H55</f>
        <v>0</v>
      </c>
      <c r="J17" s="9">
        <f>SUM(D17:H17)</f>
        <v>0</v>
      </c>
    </row>
    <row r="18" spans="2:11" ht="16" thickBot="1" x14ac:dyDescent="0.25">
      <c r="B18" s="66"/>
      <c r="D18"/>
      <c r="E18"/>
      <c r="H18"/>
      <c r="I18"/>
      <c r="J18" s="18" t="s">
        <v>21</v>
      </c>
    </row>
    <row r="19" spans="2:11" ht="31" customHeight="1" thickBot="1" x14ac:dyDescent="0.25">
      <c r="B19" s="65" t="s">
        <v>23</v>
      </c>
      <c r="C19" s="19"/>
      <c r="D19" s="54">
        <f>D15+D17</f>
        <v>14676712.666133333</v>
      </c>
      <c r="E19" s="54">
        <f>E15+E17</f>
        <v>16091931.376450667</v>
      </c>
      <c r="F19" s="54">
        <f>F15+F17</f>
        <v>7880507.5668031471</v>
      </c>
      <c r="G19" s="54">
        <f>G15+G17</f>
        <v>7884352.2438072413</v>
      </c>
      <c r="H19" s="54">
        <f>H15+H17</f>
        <v>3466493.9277881254</v>
      </c>
      <c r="I19" s="55"/>
      <c r="J19" s="69">
        <f>J15+J17</f>
        <v>49999999</v>
      </c>
    </row>
    <row r="20" spans="2:11" s="1" customFormat="1" x14ac:dyDescent="0.2">
      <c r="B20" s="6"/>
      <c r="C20"/>
      <c r="D20" s="6"/>
      <c r="E20" s="2"/>
      <c r="F20"/>
      <c r="G20"/>
      <c r="H20" s="2"/>
      <c r="I20" s="7"/>
      <c r="J20"/>
    </row>
    <row r="21" spans="2:11" ht="15" customHeight="1" x14ac:dyDescent="0.2">
      <c r="B21" s="6"/>
    </row>
    <row r="22" spans="2:11" ht="15" customHeight="1" x14ac:dyDescent="0.25">
      <c r="B22" s="45" t="s">
        <v>24</v>
      </c>
      <c r="C22" s="46"/>
      <c r="D22" s="46"/>
      <c r="E22" s="139"/>
      <c r="F22" s="139"/>
      <c r="H22"/>
      <c r="I22"/>
    </row>
    <row r="23" spans="2:11" ht="29" customHeight="1" x14ac:dyDescent="0.2">
      <c r="B23" s="47" t="s">
        <v>25</v>
      </c>
      <c r="C23" s="47" t="s">
        <v>26</v>
      </c>
      <c r="D23" s="56" t="s">
        <v>27</v>
      </c>
      <c r="E23" s="140" t="s">
        <v>28</v>
      </c>
      <c r="F23" s="140"/>
      <c r="H23"/>
      <c r="I23"/>
      <c r="J23" s="34"/>
      <c r="K23" s="34"/>
    </row>
    <row r="24" spans="2:11" ht="15" customHeight="1" x14ac:dyDescent="0.2">
      <c r="B24" s="51">
        <v>1</v>
      </c>
      <c r="C24" s="57" t="s">
        <v>29</v>
      </c>
      <c r="D24" s="58">
        <v>16702702</v>
      </c>
      <c r="E24" s="138">
        <f>D24/D$27</f>
        <v>0.33405404722158605</v>
      </c>
      <c r="F24" s="138"/>
      <c r="H24"/>
      <c r="I24"/>
    </row>
    <row r="25" spans="2:11" ht="15" customHeight="1" x14ac:dyDescent="0.2">
      <c r="B25" s="51">
        <v>2</v>
      </c>
      <c r="C25" s="85" t="s">
        <v>30</v>
      </c>
      <c r="D25" s="58">
        <f>'Mass Transit Expansion'!J44</f>
        <v>13219832.91612602</v>
      </c>
      <c r="E25" s="138">
        <f>D25/D$27</f>
        <v>0.26439666403825196</v>
      </c>
      <c r="F25" s="138"/>
      <c r="H25"/>
      <c r="I25"/>
    </row>
    <row r="26" spans="2:11" ht="15" customHeight="1" x14ac:dyDescent="0.2">
      <c r="B26" s="51">
        <v>3</v>
      </c>
      <c r="C26" s="52" t="s">
        <v>31</v>
      </c>
      <c r="D26" s="58">
        <f>'Bicycle &amp; Pedestrian Programs'!J46</f>
        <v>20077464.002973136</v>
      </c>
      <c r="E26" s="138">
        <f>D26/D$27</f>
        <v>0.40154928874016205</v>
      </c>
      <c r="F26" s="138"/>
      <c r="H26"/>
      <c r="I26"/>
    </row>
    <row r="27" spans="2:11" ht="15" customHeight="1" x14ac:dyDescent="0.2">
      <c r="B27" s="94" t="s">
        <v>32</v>
      </c>
      <c r="C27" s="52"/>
      <c r="D27" s="58">
        <f>SUM(D24:D26)</f>
        <v>49999998.919099152</v>
      </c>
      <c r="E27" s="138">
        <f>SUM(E24:E26)</f>
        <v>1</v>
      </c>
      <c r="F27" s="138"/>
      <c r="H27"/>
      <c r="I27"/>
    </row>
    <row r="28" spans="2:11" ht="15" customHeight="1" x14ac:dyDescent="0.2">
      <c r="H28"/>
      <c r="I28"/>
    </row>
  </sheetData>
  <mergeCells count="7">
    <mergeCell ref="B3:J3"/>
    <mergeCell ref="E27:F27"/>
    <mergeCell ref="E22:F22"/>
    <mergeCell ref="E23:F23"/>
    <mergeCell ref="E24:F24"/>
    <mergeCell ref="E25:F25"/>
    <mergeCell ref="E26:F26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EF061-994A-491E-9E6F-D4F79E80F3BF}">
  <sheetPr codeName="Sheet11">
    <tabColor theme="9" tint="0.39997558519241921"/>
    <pageSetUpPr fitToPage="1"/>
  </sheetPr>
  <dimension ref="B2:AM56"/>
  <sheetViews>
    <sheetView showGridLines="0" topLeftCell="A26" zoomScale="85" zoomScaleNormal="85" workbookViewId="0">
      <selection activeCell="J46" sqref="J46"/>
    </sheetView>
  </sheetViews>
  <sheetFormatPr baseColWidth="10" defaultColWidth="9.1640625" defaultRowHeight="15" x14ac:dyDescent="0.2"/>
  <cols>
    <col min="1" max="1" width="3.1640625" customWidth="1"/>
    <col min="2" max="2" width="10.1640625" customWidth="1"/>
    <col min="3" max="3" width="35.5" customWidth="1"/>
    <col min="4" max="4" width="12.5" style="6" customWidth="1"/>
    <col min="5" max="5" width="14.1640625" style="2" customWidth="1"/>
    <col min="6" max="6" width="14.1640625" customWidth="1"/>
    <col min="7" max="7" width="13" customWidth="1"/>
    <col min="8" max="8" width="12.5" style="2" customWidth="1"/>
    <col min="9" max="9" width="1.6640625" style="7" customWidth="1"/>
    <col min="10" max="10" width="16.83203125" customWidth="1"/>
    <col min="11" max="11" width="18" customWidth="1"/>
  </cols>
  <sheetData>
    <row r="2" spans="2:39" ht="24" x14ac:dyDescent="0.3">
      <c r="B2" s="30" t="s">
        <v>33</v>
      </c>
    </row>
    <row r="3" spans="2:39" x14ac:dyDescent="0.2">
      <c r="B3" s="5" t="s">
        <v>34</v>
      </c>
    </row>
    <row r="4" spans="2:39" x14ac:dyDescent="0.2">
      <c r="B4" s="5"/>
    </row>
    <row r="5" spans="2:39" ht="19" x14ac:dyDescent="0.2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16" x14ac:dyDescent="0.2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ht="17.25" customHeight="1" x14ac:dyDescent="0.2">
      <c r="B7" s="70" t="s">
        <v>11</v>
      </c>
      <c r="C7" s="26" t="s">
        <v>35</v>
      </c>
      <c r="D7" s="10" t="s">
        <v>36</v>
      </c>
      <c r="E7" s="10" t="s">
        <v>36</v>
      </c>
      <c r="F7" s="10" t="s">
        <v>36</v>
      </c>
      <c r="G7" s="10"/>
      <c r="H7" s="10" t="s">
        <v>36</v>
      </c>
      <c r="I7" s="7"/>
      <c r="J7" s="8" t="s">
        <v>36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46.5" customHeight="1" x14ac:dyDescent="0.2">
      <c r="B8" s="23"/>
      <c r="C8" s="74" t="s">
        <v>37</v>
      </c>
      <c r="D8" s="75">
        <v>10400</v>
      </c>
      <c r="E8" s="75">
        <f>D8*1.03</f>
        <v>10712</v>
      </c>
      <c r="F8" s="75">
        <f t="shared" ref="F8:H9" si="0">E8*1.03</f>
        <v>11033.36</v>
      </c>
      <c r="G8" s="75">
        <f t="shared" si="0"/>
        <v>11364.3608</v>
      </c>
      <c r="H8" s="75">
        <f t="shared" si="0"/>
        <v>11705.291624000001</v>
      </c>
      <c r="I8" s="121"/>
      <c r="J8" s="75">
        <f>SUM(D8:H8)</f>
        <v>55215.012424</v>
      </c>
    </row>
    <row r="9" spans="2:39" ht="32" x14ac:dyDescent="0.2">
      <c r="B9" s="23"/>
      <c r="C9" s="78" t="s">
        <v>38</v>
      </c>
      <c r="D9" s="79">
        <f>80000*0.33333</f>
        <v>26666.400000000001</v>
      </c>
      <c r="E9" s="79">
        <f>D9*1.03</f>
        <v>27466.392000000003</v>
      </c>
      <c r="F9" s="79">
        <f t="shared" si="0"/>
        <v>28290.383760000004</v>
      </c>
      <c r="G9" s="79">
        <f t="shared" si="0"/>
        <v>29139.095272800005</v>
      </c>
      <c r="H9" s="79">
        <f t="shared" si="0"/>
        <v>30013.268130984005</v>
      </c>
      <c r="I9" s="121"/>
      <c r="J9" s="75">
        <f>SUM(D9:H9)</f>
        <v>141575.53916378404</v>
      </c>
    </row>
    <row r="10" spans="2:39" ht="16" x14ac:dyDescent="0.2">
      <c r="B10" s="23"/>
      <c r="C10" s="9" t="s">
        <v>12</v>
      </c>
      <c r="D10" s="16">
        <v>37066</v>
      </c>
      <c r="E10" s="16">
        <f>SUM(E8:E9)</f>
        <v>38178.392000000007</v>
      </c>
      <c r="F10" s="16">
        <f>SUM(F8:F9)</f>
        <v>39323.743760000005</v>
      </c>
      <c r="G10" s="16">
        <f>SUM(G8:G9)</f>
        <v>40503.456072800007</v>
      </c>
      <c r="H10" s="16">
        <f>SUM(H8:H9)</f>
        <v>41718.559754984002</v>
      </c>
      <c r="I10" s="35"/>
      <c r="J10" s="16">
        <f>SUM(J8:J9)</f>
        <v>196790.55158778402</v>
      </c>
    </row>
    <row r="11" spans="2:39" ht="16" x14ac:dyDescent="0.2">
      <c r="B11" s="23"/>
      <c r="C11" s="14" t="s">
        <v>39</v>
      </c>
      <c r="D11" s="15" t="s">
        <v>36</v>
      </c>
      <c r="E11" s="11"/>
      <c r="F11" s="11"/>
      <c r="G11" s="11"/>
      <c r="H11" s="11"/>
      <c r="I11" s="35"/>
      <c r="J11" s="122" t="s">
        <v>36</v>
      </c>
    </row>
    <row r="12" spans="2:39" ht="16" x14ac:dyDescent="0.2">
      <c r="B12" s="23"/>
      <c r="C12" s="74" t="s">
        <v>40</v>
      </c>
      <c r="D12" s="75">
        <f>D9*0.37</f>
        <v>9866.5680000000011</v>
      </c>
      <c r="E12" s="75">
        <f>E9*0.37</f>
        <v>10162.565040000001</v>
      </c>
      <c r="F12" s="75">
        <f>F9*0.38</f>
        <v>10750.345828800002</v>
      </c>
      <c r="G12" s="75">
        <f>G9*0.38</f>
        <v>11072.856203664001</v>
      </c>
      <c r="H12" s="75">
        <f>H9*0.38</f>
        <v>11405.041889773922</v>
      </c>
      <c r="I12" s="123"/>
      <c r="J12" s="75">
        <f>SUM(D12:H12)</f>
        <v>53257.376962237926</v>
      </c>
    </row>
    <row r="13" spans="2:39" ht="16" x14ac:dyDescent="0.2">
      <c r="B13" s="23"/>
      <c r="C13" s="9" t="s">
        <v>13</v>
      </c>
      <c r="D13" s="16">
        <f>SUM(D12:D12)</f>
        <v>9866.5680000000011</v>
      </c>
      <c r="E13" s="16">
        <f>SUM(E12:E12)</f>
        <v>10162.565040000001</v>
      </c>
      <c r="F13" s="16">
        <f>SUM(F12:F12)</f>
        <v>10750.345828800002</v>
      </c>
      <c r="G13" s="16">
        <f>SUM(G12:G12)</f>
        <v>11072.856203664001</v>
      </c>
      <c r="H13" s="16">
        <f>SUM(H12:H12)</f>
        <v>11405.041889773922</v>
      </c>
      <c r="I13" s="35"/>
      <c r="J13" s="16">
        <f>SUM(J12:J12)</f>
        <v>53257.376962237926</v>
      </c>
    </row>
    <row r="14" spans="2:39" ht="16" x14ac:dyDescent="0.2">
      <c r="B14" s="23"/>
      <c r="C14" s="14" t="s">
        <v>41</v>
      </c>
      <c r="D14" s="15" t="s">
        <v>36</v>
      </c>
      <c r="E14" s="11"/>
      <c r="F14" s="11"/>
      <c r="G14" s="11"/>
      <c r="H14" s="11"/>
      <c r="I14" s="35"/>
      <c r="J14" s="122" t="s">
        <v>36</v>
      </c>
    </row>
    <row r="15" spans="2:39" ht="34" x14ac:dyDescent="0.2">
      <c r="B15" s="23"/>
      <c r="C15" s="91" t="s">
        <v>42</v>
      </c>
      <c r="D15" s="124">
        <f>2500*4/3</f>
        <v>3333.3333333333335</v>
      </c>
      <c r="E15" s="124">
        <f>D15</f>
        <v>3333.3333333333335</v>
      </c>
      <c r="F15" s="124">
        <f t="shared" ref="F15:H15" si="1">E15</f>
        <v>3333.3333333333335</v>
      </c>
      <c r="G15" s="124">
        <f t="shared" si="1"/>
        <v>3333.3333333333335</v>
      </c>
      <c r="H15" s="124">
        <f t="shared" si="1"/>
        <v>3333.3333333333335</v>
      </c>
      <c r="I15" s="35"/>
      <c r="J15" s="15">
        <f t="shared" ref="J15:J16" si="2">SUM(D15:H15)</f>
        <v>16666.666666666668</v>
      </c>
    </row>
    <row r="16" spans="2:39" ht="48" x14ac:dyDescent="0.2">
      <c r="B16" s="23"/>
      <c r="C16" s="89" t="s">
        <v>43</v>
      </c>
      <c r="D16" s="15">
        <f>(1000*0.67)/3</f>
        <v>223.33333333333334</v>
      </c>
      <c r="E16" s="15">
        <f>(1000*0.67)/3</f>
        <v>223.33333333333334</v>
      </c>
      <c r="F16" s="15">
        <f>(1000*0.67)/3</f>
        <v>223.33333333333334</v>
      </c>
      <c r="G16" s="15">
        <f>(1000*0.67)/3</f>
        <v>223.33333333333334</v>
      </c>
      <c r="H16" s="15">
        <f>(1000*0.67)/3</f>
        <v>223.33333333333334</v>
      </c>
      <c r="I16" s="35"/>
      <c r="J16" s="15">
        <f t="shared" si="2"/>
        <v>1116.6666666666667</v>
      </c>
    </row>
    <row r="17" spans="2:10" ht="16" x14ac:dyDescent="0.2">
      <c r="B17" s="23"/>
      <c r="C17" s="9" t="s">
        <v>14</v>
      </c>
      <c r="D17" s="16">
        <f>SUM(D15:D16)</f>
        <v>3556.666666666667</v>
      </c>
      <c r="E17" s="16">
        <f>SUM(E15:E16)</f>
        <v>3556.666666666667</v>
      </c>
      <c r="F17" s="16">
        <f>SUM(F15:F16)</f>
        <v>3556.666666666667</v>
      </c>
      <c r="G17" s="16">
        <f>SUM(G15:G16)</f>
        <v>3556.666666666667</v>
      </c>
      <c r="H17" s="16">
        <f>SUM(H15:H16)</f>
        <v>3556.666666666667</v>
      </c>
      <c r="I17" s="35"/>
      <c r="J17" s="16">
        <f>SUM(J15:J16)</f>
        <v>17783.333333333336</v>
      </c>
    </row>
    <row r="18" spans="2:10" ht="16" x14ac:dyDescent="0.2">
      <c r="B18" s="23"/>
      <c r="C18" s="14" t="s">
        <v>44</v>
      </c>
      <c r="D18" s="15"/>
      <c r="E18" s="125"/>
      <c r="F18" s="125"/>
      <c r="G18" s="125"/>
      <c r="H18" s="125"/>
      <c r="I18" s="35"/>
      <c r="J18" s="15" t="s">
        <v>21</v>
      </c>
    </row>
    <row r="19" spans="2:10" ht="16" x14ac:dyDescent="0.2">
      <c r="B19" s="23"/>
      <c r="C19" s="75" t="s">
        <v>45</v>
      </c>
      <c r="D19" s="126">
        <v>2499</v>
      </c>
      <c r="E19" s="127"/>
      <c r="F19" s="128"/>
      <c r="G19" s="129"/>
      <c r="H19" s="129"/>
      <c r="I19" s="35"/>
      <c r="J19" s="15">
        <f>SUM(D19:H19)</f>
        <v>2499</v>
      </c>
    </row>
    <row r="20" spans="2:10" ht="16" x14ac:dyDescent="0.2">
      <c r="B20" s="23"/>
      <c r="C20" s="9" t="s">
        <v>15</v>
      </c>
      <c r="D20" s="12">
        <f>SUM(D19:D19)</f>
        <v>2499</v>
      </c>
      <c r="E20" s="12">
        <f>SUM(E19:E19)</f>
        <v>0</v>
      </c>
      <c r="F20" s="12">
        <f>SUM(F19:F19)</f>
        <v>0</v>
      </c>
      <c r="G20" s="12">
        <f>SUM(G19:G19)</f>
        <v>0</v>
      </c>
      <c r="H20" s="12">
        <f>SUM(H19:H19)</f>
        <v>0</v>
      </c>
      <c r="I20" s="35"/>
      <c r="J20" s="16">
        <f>SUM(J19:J19)</f>
        <v>2499</v>
      </c>
    </row>
    <row r="21" spans="2:10" ht="16" x14ac:dyDescent="0.2">
      <c r="B21" s="23"/>
      <c r="C21" s="14" t="s">
        <v>46</v>
      </c>
      <c r="D21" s="15" t="s">
        <v>36</v>
      </c>
      <c r="E21" s="11"/>
      <c r="F21" s="11"/>
      <c r="G21" s="11"/>
      <c r="H21" s="11"/>
      <c r="I21" s="35"/>
      <c r="J21" s="15"/>
    </row>
    <row r="22" spans="2:10" x14ac:dyDescent="0.2">
      <c r="B22" s="23"/>
      <c r="C22" s="25"/>
      <c r="D22" s="15"/>
      <c r="E22" s="15"/>
      <c r="F22" s="11"/>
      <c r="G22" s="11"/>
      <c r="H22" s="11"/>
      <c r="I22" s="35"/>
      <c r="J22" s="15">
        <f t="shared" ref="J22:J38" si="3">SUM(D22:H22)</f>
        <v>0</v>
      </c>
    </row>
    <row r="23" spans="2:10" ht="16" x14ac:dyDescent="0.2">
      <c r="B23" s="23"/>
      <c r="C23" s="9" t="s">
        <v>16</v>
      </c>
      <c r="D23" s="16">
        <f>SUM(D22:D22)</f>
        <v>0</v>
      </c>
      <c r="E23" s="16">
        <f>SUM(E22:E22)</f>
        <v>0</v>
      </c>
      <c r="F23" s="16">
        <f>SUM(F22:F22)</f>
        <v>0</v>
      </c>
      <c r="G23" s="16">
        <f>SUM(G22:G22)</f>
        <v>0</v>
      </c>
      <c r="H23" s="16">
        <f>SUM(H22:H22)</f>
        <v>0</v>
      </c>
      <c r="I23" s="35"/>
      <c r="J23" s="16">
        <f>SUM(J22:J22)</f>
        <v>0</v>
      </c>
    </row>
    <row r="24" spans="2:10" ht="16" x14ac:dyDescent="0.2">
      <c r="B24" s="23"/>
      <c r="C24" s="14" t="s">
        <v>47</v>
      </c>
      <c r="D24" s="130" t="s">
        <v>36</v>
      </c>
      <c r="E24" s="125"/>
      <c r="F24" s="125"/>
      <c r="G24" s="125"/>
      <c r="H24" s="125"/>
      <c r="I24" s="35"/>
      <c r="J24" s="15"/>
    </row>
    <row r="25" spans="2:10" ht="32" x14ac:dyDescent="0.2">
      <c r="B25" s="23"/>
      <c r="C25" s="80" t="s">
        <v>48</v>
      </c>
      <c r="D25" s="129">
        <f>807600/5</f>
        <v>161520</v>
      </c>
      <c r="E25" s="129">
        <f>D25</f>
        <v>161520</v>
      </c>
      <c r="F25" s="129">
        <f t="shared" ref="F25:H25" si="4">E25</f>
        <v>161520</v>
      </c>
      <c r="G25" s="129">
        <f t="shared" si="4"/>
        <v>161520</v>
      </c>
      <c r="H25" s="129">
        <f t="shared" si="4"/>
        <v>161520</v>
      </c>
      <c r="I25" s="35"/>
      <c r="J25" s="15">
        <f>SUM(D25:H25)</f>
        <v>807600</v>
      </c>
    </row>
    <row r="26" spans="2:10" ht="18" customHeight="1" x14ac:dyDescent="0.2">
      <c r="B26" s="23"/>
      <c r="C26" s="80" t="s">
        <v>49</v>
      </c>
      <c r="D26" s="129">
        <f>300000*8</f>
        <v>2400000</v>
      </c>
      <c r="E26" s="129">
        <f>300000*8</f>
        <v>2400000</v>
      </c>
      <c r="F26" s="129"/>
      <c r="G26" s="129"/>
      <c r="H26" s="129"/>
      <c r="I26" s="35"/>
      <c r="J26" s="15">
        <f t="shared" ref="J26:J29" si="5">SUM(D26:H26)</f>
        <v>4800000</v>
      </c>
    </row>
    <row r="27" spans="2:10" ht="32" x14ac:dyDescent="0.2">
      <c r="B27" s="23"/>
      <c r="C27" s="81" t="s">
        <v>50</v>
      </c>
      <c r="D27" s="131">
        <v>3379900</v>
      </c>
      <c r="E27" s="132">
        <v>3454871</v>
      </c>
      <c r="F27" s="129"/>
      <c r="G27" s="129"/>
      <c r="H27" s="129"/>
      <c r="I27" s="35"/>
      <c r="J27" s="15">
        <f t="shared" si="5"/>
        <v>6834771</v>
      </c>
    </row>
    <row r="28" spans="2:10" x14ac:dyDescent="0.2">
      <c r="B28" s="23"/>
      <c r="C28" s="84" t="s">
        <v>51</v>
      </c>
      <c r="D28" s="129">
        <f>26*15000</f>
        <v>390000</v>
      </c>
      <c r="E28" s="129">
        <f>D28</f>
        <v>390000</v>
      </c>
      <c r="F28" s="129"/>
      <c r="G28" s="129"/>
      <c r="H28" s="129"/>
      <c r="I28" s="35"/>
      <c r="J28" s="15">
        <f t="shared" si="5"/>
        <v>780000</v>
      </c>
    </row>
    <row r="29" spans="2:10" ht="16" x14ac:dyDescent="0.2">
      <c r="B29" s="23"/>
      <c r="C29" s="83" t="s">
        <v>52</v>
      </c>
      <c r="D29" s="82">
        <v>100000</v>
      </c>
      <c r="E29" s="82">
        <v>100000</v>
      </c>
      <c r="F29" s="82">
        <v>100000</v>
      </c>
      <c r="G29" s="82">
        <v>100000</v>
      </c>
      <c r="H29" s="82">
        <v>100000</v>
      </c>
      <c r="I29" s="35"/>
      <c r="J29" s="15">
        <f t="shared" si="5"/>
        <v>500000</v>
      </c>
    </row>
    <row r="30" spans="2:10" ht="16" x14ac:dyDescent="0.2">
      <c r="B30" s="24"/>
      <c r="C30" s="9" t="s">
        <v>17</v>
      </c>
      <c r="D30" s="16">
        <f>SUM(D25:D29)</f>
        <v>6431420</v>
      </c>
      <c r="E30" s="16">
        <f>SUM(E25:E29)</f>
        <v>6506391</v>
      </c>
      <c r="F30" s="16">
        <f>SUM(F25:F29)</f>
        <v>261520</v>
      </c>
      <c r="G30" s="16">
        <f>SUM(G25:G29)</f>
        <v>261520</v>
      </c>
      <c r="H30" s="16">
        <f>SUM(H25:H29)</f>
        <v>261520</v>
      </c>
      <c r="I30" s="35"/>
      <c r="J30" s="16">
        <f>SUM(J25:J29)</f>
        <v>13722371</v>
      </c>
    </row>
    <row r="31" spans="2:10" ht="16" x14ac:dyDescent="0.2">
      <c r="B31" s="24"/>
      <c r="C31" s="92" t="s">
        <v>53</v>
      </c>
      <c r="D31" s="93"/>
      <c r="E31" s="93"/>
      <c r="F31" s="93"/>
      <c r="G31" s="93"/>
      <c r="H31" s="93"/>
      <c r="I31" s="133"/>
      <c r="J31" s="93"/>
    </row>
    <row r="32" spans="2:10" ht="32" x14ac:dyDescent="0.2">
      <c r="B32" s="24"/>
      <c r="C32" s="80" t="s">
        <v>54</v>
      </c>
      <c r="D32" s="129">
        <f>75/3*15000*0.5</f>
        <v>187500</v>
      </c>
      <c r="E32" s="129">
        <f>D32</f>
        <v>187500</v>
      </c>
      <c r="F32" s="129"/>
      <c r="G32" s="129"/>
      <c r="H32" s="129"/>
      <c r="I32" s="35"/>
      <c r="J32" s="15">
        <f>SUM(D32:H32)</f>
        <v>375000</v>
      </c>
    </row>
    <row r="33" spans="2:11" ht="32" x14ac:dyDescent="0.2">
      <c r="B33" s="24"/>
      <c r="C33" s="80" t="s">
        <v>55</v>
      </c>
      <c r="D33" s="129">
        <f>140000*4</f>
        <v>560000</v>
      </c>
      <c r="E33" s="129">
        <f>140000*4</f>
        <v>560000</v>
      </c>
      <c r="F33" s="129"/>
      <c r="G33" s="129"/>
      <c r="H33" s="129"/>
      <c r="I33" s="35"/>
      <c r="J33" s="15">
        <f>SUM(D33:H33)</f>
        <v>1120000</v>
      </c>
    </row>
    <row r="34" spans="2:11" ht="16" x14ac:dyDescent="0.2">
      <c r="B34" s="24"/>
      <c r="C34" s="81" t="s">
        <v>56</v>
      </c>
      <c r="D34" s="134">
        <f>96/3*15000</f>
        <v>480000</v>
      </c>
      <c r="E34" s="135">
        <f>96/3*15000</f>
        <v>480000</v>
      </c>
      <c r="F34" s="129"/>
      <c r="G34" s="129"/>
      <c r="H34" s="129"/>
      <c r="I34" s="35"/>
      <c r="J34" s="15">
        <f>SUM(D34:H34)</f>
        <v>960000</v>
      </c>
    </row>
    <row r="35" spans="2:11" ht="32" x14ac:dyDescent="0.2">
      <c r="B35" s="24"/>
      <c r="C35" s="80" t="s">
        <v>57</v>
      </c>
      <c r="D35" s="129">
        <f>51/3*15000</f>
        <v>255000</v>
      </c>
      <c r="E35" s="129"/>
      <c r="F35" s="129"/>
      <c r="G35" s="129"/>
      <c r="H35" s="129"/>
      <c r="I35" s="35"/>
      <c r="J35" s="15">
        <f>SUM(D35:H35)</f>
        <v>255000</v>
      </c>
    </row>
    <row r="36" spans="2:11" ht="16" x14ac:dyDescent="0.2">
      <c r="B36" s="24"/>
      <c r="C36" s="9" t="s">
        <v>18</v>
      </c>
      <c r="D36" s="16">
        <f>SUM(D32:D35)</f>
        <v>1482500</v>
      </c>
      <c r="E36" s="16">
        <f t="shared" ref="E36:H36" si="6">SUM(E32:E35)</f>
        <v>1227500</v>
      </c>
      <c r="F36" s="16">
        <f t="shared" si="6"/>
        <v>0</v>
      </c>
      <c r="G36" s="16">
        <f t="shared" si="6"/>
        <v>0</v>
      </c>
      <c r="H36" s="16">
        <f t="shared" si="6"/>
        <v>0</v>
      </c>
      <c r="I36" s="35"/>
      <c r="J36" s="16">
        <f>SUM(D36:H36)</f>
        <v>2710000</v>
      </c>
      <c r="K36" s="34"/>
    </row>
    <row r="37" spans="2:11" ht="16" x14ac:dyDescent="0.2">
      <c r="B37" s="24"/>
      <c r="C37" s="14" t="s">
        <v>58</v>
      </c>
      <c r="D37" s="15" t="s">
        <v>36</v>
      </c>
      <c r="E37" s="11"/>
      <c r="F37" s="11"/>
      <c r="G37" s="11"/>
      <c r="H37" s="11"/>
      <c r="I37" s="35"/>
      <c r="J37" s="15"/>
    </row>
    <row r="38" spans="2:11" x14ac:dyDescent="0.2">
      <c r="B38" s="23"/>
      <c r="C38" s="10"/>
      <c r="D38" s="15"/>
      <c r="E38" s="11"/>
      <c r="F38" s="11"/>
      <c r="G38" s="11"/>
      <c r="H38" s="11"/>
      <c r="I38" s="35"/>
      <c r="J38" s="15">
        <f t="shared" si="3"/>
        <v>0</v>
      </c>
    </row>
    <row r="39" spans="2:11" ht="16" x14ac:dyDescent="0.2">
      <c r="B39" s="23"/>
      <c r="C39" s="9" t="s">
        <v>19</v>
      </c>
      <c r="D39" s="16">
        <f>SUM(D38:D38)</f>
        <v>0</v>
      </c>
      <c r="E39" s="16">
        <f>SUM(E38:E38)</f>
        <v>0</v>
      </c>
      <c r="F39" s="16">
        <f>SUM(F38:F38)</f>
        <v>0</v>
      </c>
      <c r="G39" s="16">
        <f>SUM(G38:G38)</f>
        <v>0</v>
      </c>
      <c r="H39" s="16">
        <f>SUM(H38:H38)</f>
        <v>0</v>
      </c>
      <c r="I39" s="35"/>
      <c r="J39" s="16">
        <f>SUM(J38:J38)</f>
        <v>0</v>
      </c>
    </row>
    <row r="40" spans="2:11" ht="16" x14ac:dyDescent="0.2">
      <c r="B40" s="24"/>
      <c r="C40" s="9" t="s">
        <v>20</v>
      </c>
      <c r="D40" s="16">
        <f>SUM(D39,D36,D30,D23,D20,D17,D13,D10)</f>
        <v>7966908.2346666669</v>
      </c>
      <c r="E40" s="16">
        <f t="shared" ref="E40:H40" si="7">SUM(E39,E36,E30,E23,E20,E17,E13,E10)</f>
        <v>7785788.6237066668</v>
      </c>
      <c r="F40" s="16">
        <f t="shared" si="7"/>
        <v>315150.75625546667</v>
      </c>
      <c r="G40" s="16">
        <f t="shared" si="7"/>
        <v>316652.9789431307</v>
      </c>
      <c r="H40" s="16">
        <f t="shared" si="7"/>
        <v>318200.26831142459</v>
      </c>
      <c r="I40" s="35"/>
      <c r="J40" s="16">
        <f>SUM(D40:H40)</f>
        <v>16702700.861883353</v>
      </c>
    </row>
    <row r="41" spans="2:11" ht="16" thickBot="1" x14ac:dyDescent="0.25">
      <c r="B41" s="6"/>
      <c r="D41" s="34"/>
      <c r="E41" s="34"/>
      <c r="F41" s="34"/>
      <c r="G41" s="34"/>
      <c r="H41" s="34"/>
      <c r="I41" s="34"/>
      <c r="J41" s="34" t="s">
        <v>21</v>
      </c>
    </row>
    <row r="42" spans="2:11" s="1" customFormat="1" ht="32" x14ac:dyDescent="0.2">
      <c r="B42" s="19" t="s">
        <v>23</v>
      </c>
      <c r="C42" s="17" t="s">
        <v>59</v>
      </c>
      <c r="D42" s="136"/>
      <c r="E42" s="136"/>
      <c r="F42" s="136"/>
      <c r="G42" s="136"/>
      <c r="H42" s="136"/>
      <c r="I42" s="34"/>
      <c r="J42" s="136" t="s">
        <v>21</v>
      </c>
    </row>
    <row r="43" spans="2:11" x14ac:dyDescent="0.2">
      <c r="B43" s="6"/>
      <c r="C43" s="25"/>
      <c r="D43" s="15"/>
      <c r="E43" s="11"/>
      <c r="F43" s="11"/>
      <c r="G43" s="11"/>
      <c r="H43" s="11"/>
      <c r="I43" s="35"/>
      <c r="J43" s="15">
        <f t="shared" ref="J43" si="8">SUM(D43:H43)</f>
        <v>0</v>
      </c>
    </row>
    <row r="44" spans="2:11" ht="16" x14ac:dyDescent="0.2">
      <c r="B44" s="6"/>
      <c r="C44" s="9" t="s">
        <v>22</v>
      </c>
      <c r="D44" s="16">
        <f>SUM(D43:D43)</f>
        <v>0</v>
      </c>
      <c r="E44" s="16">
        <f>SUM(E43:E43)</f>
        <v>0</v>
      </c>
      <c r="F44" s="16">
        <f>SUM(F43:F43)</f>
        <v>0</v>
      </c>
      <c r="G44" s="16">
        <f>SUM(G43:G43)</f>
        <v>0</v>
      </c>
      <c r="H44" s="16">
        <f>SUM(H43:H43)</f>
        <v>0</v>
      </c>
      <c r="I44" s="35"/>
      <c r="J44" s="16">
        <f>SUM(J43:J43)</f>
        <v>0</v>
      </c>
    </row>
    <row r="45" spans="2:11" x14ac:dyDescent="0.2">
      <c r="B45" s="6"/>
      <c r="D45" s="34"/>
      <c r="E45" s="34"/>
      <c r="F45" s="34"/>
      <c r="G45" s="34"/>
      <c r="H45" s="34"/>
      <c r="I45" s="34"/>
      <c r="J45" s="34" t="s">
        <v>21</v>
      </c>
    </row>
    <row r="46" spans="2:11" x14ac:dyDescent="0.2">
      <c r="B46" s="6"/>
      <c r="C46" s="19"/>
      <c r="D46" s="20">
        <f>SUM(D44,D40)</f>
        <v>7966908.2346666669</v>
      </c>
      <c r="E46" s="20">
        <f>SUM(E44,E40)</f>
        <v>7785788.6237066668</v>
      </c>
      <c r="F46" s="20">
        <f>SUM(F44,F40)</f>
        <v>315150.75625546667</v>
      </c>
      <c r="G46" s="20">
        <f>SUM(G44,G40)</f>
        <v>316652.9789431307</v>
      </c>
      <c r="H46" s="20">
        <f>SUM(H44,H40)</f>
        <v>318200.26831142459</v>
      </c>
      <c r="I46" s="35"/>
      <c r="J46" s="20">
        <f>SUM(J44,J40)</f>
        <v>16702700.861883353</v>
      </c>
    </row>
    <row r="47" spans="2:11" x14ac:dyDescent="0.2">
      <c r="B47" s="6"/>
    </row>
    <row r="48" spans="2:11" x14ac:dyDescent="0.2">
      <c r="B48" s="6"/>
    </row>
    <row r="49" spans="2:2" x14ac:dyDescent="0.2">
      <c r="B49" s="6"/>
    </row>
    <row r="50" spans="2:2" x14ac:dyDescent="0.2">
      <c r="B50" s="6"/>
    </row>
    <row r="51" spans="2:2" x14ac:dyDescent="0.2">
      <c r="B51" s="6"/>
    </row>
    <row r="52" spans="2:2" x14ac:dyDescent="0.2">
      <c r="B52" s="6"/>
    </row>
    <row r="53" spans="2:2" x14ac:dyDescent="0.2">
      <c r="B53" s="6"/>
    </row>
    <row r="54" spans="2:2" x14ac:dyDescent="0.2">
      <c r="B54" s="6"/>
    </row>
    <row r="55" spans="2:2" x14ac:dyDescent="0.2">
      <c r="B55" s="6"/>
    </row>
    <row r="56" spans="2:2" x14ac:dyDescent="0.2">
      <c r="B56" s="6"/>
    </row>
  </sheetData>
  <pageMargins left="0.7" right="0.7" top="0.75" bottom="0.75" header="0.3" footer="0.3"/>
  <pageSetup scale="9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7590D-4C23-44B0-B6B9-2EA12DF57FEF}">
  <sheetPr>
    <tabColor theme="9" tint="0.39997558519241921"/>
    <pageSetUpPr fitToPage="1"/>
  </sheetPr>
  <dimension ref="B2:AM58"/>
  <sheetViews>
    <sheetView showGridLines="0" zoomScale="85" zoomScaleNormal="85" workbookViewId="0">
      <pane xSplit="3" ySplit="6" topLeftCell="E7" activePane="bottomRight" state="frozen"/>
      <selection pane="topRight" activeCell="R20" sqref="R20:W20"/>
      <selection pane="bottomLeft" activeCell="R20" sqref="R20:W20"/>
      <selection pane="bottomRight" activeCell="G27" sqref="G27"/>
    </sheetView>
  </sheetViews>
  <sheetFormatPr baseColWidth="10" defaultColWidth="9.1640625" defaultRowHeight="15" x14ac:dyDescent="0.2"/>
  <cols>
    <col min="1" max="1" width="3.1640625" customWidth="1"/>
    <col min="2" max="2" width="9.6640625" customWidth="1"/>
    <col min="3" max="3" width="44.5" customWidth="1"/>
    <col min="4" max="4" width="12.83203125" style="6" customWidth="1"/>
    <col min="5" max="5" width="12.5" style="2" customWidth="1"/>
    <col min="6" max="6" width="12.6640625" customWidth="1"/>
    <col min="7" max="7" width="12.83203125" customWidth="1"/>
    <col min="8" max="8" width="13.5" style="2" customWidth="1"/>
    <col min="9" max="9" width="0.83203125" style="7" customWidth="1"/>
    <col min="10" max="10" width="14.5" customWidth="1"/>
    <col min="11" max="11" width="10.1640625" customWidth="1"/>
  </cols>
  <sheetData>
    <row r="2" spans="2:39" ht="24" x14ac:dyDescent="0.3">
      <c r="B2" s="30" t="s">
        <v>33</v>
      </c>
    </row>
    <row r="3" spans="2:39" x14ac:dyDescent="0.2">
      <c r="B3" s="5" t="s">
        <v>34</v>
      </c>
    </row>
    <row r="4" spans="2:39" x14ac:dyDescent="0.2">
      <c r="B4" s="5"/>
    </row>
    <row r="5" spans="2:39" ht="19" x14ac:dyDescent="0.2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16" x14ac:dyDescent="0.2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ht="16" x14ac:dyDescent="0.2">
      <c r="B7" s="22" t="s">
        <v>11</v>
      </c>
      <c r="C7" s="26" t="s">
        <v>60</v>
      </c>
      <c r="D7" s="10" t="s">
        <v>36</v>
      </c>
      <c r="E7" s="10" t="s">
        <v>36</v>
      </c>
      <c r="F7" s="10" t="s">
        <v>36</v>
      </c>
      <c r="G7" s="10"/>
      <c r="H7" s="10" t="s">
        <v>36</v>
      </c>
      <c r="I7" s="7"/>
      <c r="J7" s="8" t="s">
        <v>36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3.75" customHeight="1" x14ac:dyDescent="0.2">
      <c r="B8" s="23"/>
      <c r="C8" s="78" t="s">
        <v>61</v>
      </c>
      <c r="D8" s="79">
        <f>80000*0.33333</f>
        <v>26666.400000000001</v>
      </c>
      <c r="E8" s="79">
        <f>D8*1.03</f>
        <v>27466.392000000003</v>
      </c>
      <c r="F8" s="79">
        <f t="shared" ref="F8:H8" si="0">E8*1.03</f>
        <v>28290.383760000004</v>
      </c>
      <c r="G8" s="79">
        <f t="shared" si="0"/>
        <v>29139.095272800005</v>
      </c>
      <c r="H8" s="79">
        <f t="shared" si="0"/>
        <v>30013.268130984005</v>
      </c>
      <c r="I8" s="77"/>
      <c r="J8" s="75">
        <f>SUM(D8:H8)</f>
        <v>141575.53916378404</v>
      </c>
    </row>
    <row r="9" spans="2:39" ht="16" x14ac:dyDescent="0.2">
      <c r="B9" s="23"/>
      <c r="C9" s="9" t="s">
        <v>12</v>
      </c>
      <c r="D9" s="16">
        <f t="shared" ref="D9:J9" si="1">SUM(D8:D8)</f>
        <v>26666.400000000001</v>
      </c>
      <c r="E9" s="16">
        <f t="shared" si="1"/>
        <v>27466.392000000003</v>
      </c>
      <c r="F9" s="16">
        <f t="shared" si="1"/>
        <v>28290.383760000004</v>
      </c>
      <c r="G9" s="16">
        <f t="shared" si="1"/>
        <v>29139.095272800005</v>
      </c>
      <c r="H9" s="16">
        <f t="shared" si="1"/>
        <v>30013.268130984005</v>
      </c>
      <c r="I9" s="7">
        <f t="shared" si="1"/>
        <v>0</v>
      </c>
      <c r="J9" s="16">
        <f t="shared" si="1"/>
        <v>141575.53916378404</v>
      </c>
    </row>
    <row r="10" spans="2:39" ht="16" x14ac:dyDescent="0.2">
      <c r="B10" s="23"/>
      <c r="C10" s="14" t="s">
        <v>39</v>
      </c>
      <c r="D10" s="13" t="s">
        <v>36</v>
      </c>
      <c r="E10" s="10"/>
      <c r="F10" s="10"/>
      <c r="G10" s="10"/>
      <c r="H10" s="10"/>
      <c r="J10" s="8" t="s">
        <v>36</v>
      </c>
    </row>
    <row r="11" spans="2:39" ht="15.75" customHeight="1" x14ac:dyDescent="0.2">
      <c r="B11" s="23"/>
      <c r="C11" s="74" t="s">
        <v>62</v>
      </c>
      <c r="D11" s="75">
        <f>D8*0.37</f>
        <v>9866.5680000000011</v>
      </c>
      <c r="E11" s="75">
        <f>E8*0.37</f>
        <v>10162.565040000001</v>
      </c>
      <c r="F11" s="75">
        <f>F8*0.38</f>
        <v>10750.345828800002</v>
      </c>
      <c r="G11" s="75">
        <f>G8*0.38</f>
        <v>11072.856203664001</v>
      </c>
      <c r="H11" s="75">
        <f>H8*0.38</f>
        <v>11405.041889773922</v>
      </c>
      <c r="I11" s="73"/>
      <c r="J11" s="75">
        <f>SUM(D11:H11)</f>
        <v>53257.376962237926</v>
      </c>
    </row>
    <row r="12" spans="2:39" ht="16" x14ac:dyDescent="0.2">
      <c r="B12" s="23"/>
      <c r="C12" s="9" t="s">
        <v>13</v>
      </c>
      <c r="D12" s="16">
        <f t="shared" ref="D12:J12" si="2">SUM(D11:D11)</f>
        <v>9866.5680000000011</v>
      </c>
      <c r="E12" s="16">
        <f t="shared" si="2"/>
        <v>10162.565040000001</v>
      </c>
      <c r="F12" s="16">
        <f t="shared" si="2"/>
        <v>10750.345828800002</v>
      </c>
      <c r="G12" s="16">
        <f t="shared" si="2"/>
        <v>11072.856203664001</v>
      </c>
      <c r="H12" s="16">
        <f t="shared" si="2"/>
        <v>11405.041889773922</v>
      </c>
      <c r="I12" s="7">
        <f t="shared" si="2"/>
        <v>0</v>
      </c>
      <c r="J12" s="16">
        <f t="shared" si="2"/>
        <v>53257.376962237926</v>
      </c>
    </row>
    <row r="13" spans="2:39" ht="16" x14ac:dyDescent="0.2">
      <c r="B13" s="23"/>
      <c r="C13" s="14" t="s">
        <v>41</v>
      </c>
      <c r="D13" s="13" t="s">
        <v>36</v>
      </c>
      <c r="E13" s="10"/>
      <c r="F13" s="10"/>
      <c r="G13" s="10"/>
      <c r="H13" s="10"/>
      <c r="J13" s="8" t="s">
        <v>36</v>
      </c>
    </row>
    <row r="14" spans="2:39" ht="34" x14ac:dyDescent="0.2">
      <c r="B14" s="23"/>
      <c r="C14" s="91" t="s">
        <v>42</v>
      </c>
      <c r="D14" s="90">
        <f>2500*4/3</f>
        <v>3333.3333333333335</v>
      </c>
      <c r="E14" s="90">
        <f>D14</f>
        <v>3333.3333333333335</v>
      </c>
      <c r="F14" s="90">
        <f t="shared" ref="F14:H14" si="3">E14</f>
        <v>3333.3333333333335</v>
      </c>
      <c r="G14" s="90">
        <f t="shared" si="3"/>
        <v>3333.3333333333335</v>
      </c>
      <c r="H14" s="90">
        <f t="shared" si="3"/>
        <v>3333.3333333333335</v>
      </c>
      <c r="J14" s="15">
        <f>SUM(D14:H14)</f>
        <v>16666.666666666668</v>
      </c>
    </row>
    <row r="15" spans="2:39" ht="33.75" customHeight="1" x14ac:dyDescent="0.2">
      <c r="B15" s="23"/>
      <c r="C15" s="89" t="s">
        <v>43</v>
      </c>
      <c r="D15" s="15">
        <f>(1000*0.67)/3</f>
        <v>223.33333333333334</v>
      </c>
      <c r="E15" s="15">
        <f>(1000*0.67)/3</f>
        <v>223.33333333333334</v>
      </c>
      <c r="F15" s="15">
        <f>(1000*0.67)/3</f>
        <v>223.33333333333334</v>
      </c>
      <c r="G15" s="15">
        <f>(1000*0.67)/3</f>
        <v>223.33333333333334</v>
      </c>
      <c r="H15" s="15">
        <f>(1000*0.67)/3</f>
        <v>223.33333333333334</v>
      </c>
      <c r="I15" s="35"/>
      <c r="J15" s="15">
        <f>SUM(D15:H15)</f>
        <v>1116.6666666666667</v>
      </c>
    </row>
    <row r="16" spans="2:39" x14ac:dyDescent="0.2">
      <c r="B16" s="23"/>
      <c r="C16" s="25"/>
      <c r="D16" s="15"/>
      <c r="E16" s="15"/>
      <c r="F16" s="15"/>
      <c r="G16" s="15"/>
      <c r="H16" s="15"/>
      <c r="I16" s="35">
        <v>1638</v>
      </c>
      <c r="J16" s="15">
        <f t="shared" ref="J16" si="4">SUM(D16:H16)</f>
        <v>0</v>
      </c>
    </row>
    <row r="17" spans="2:10" ht="16" x14ac:dyDescent="0.2">
      <c r="B17" s="23"/>
      <c r="C17" s="9" t="s">
        <v>14</v>
      </c>
      <c r="D17" s="16">
        <f>SUM(D16:D16)</f>
        <v>0</v>
      </c>
      <c r="E17" s="16">
        <f>SUM(E16:E16)</f>
        <v>0</v>
      </c>
      <c r="F17" s="16">
        <f>SUM(F16:F16)</f>
        <v>0</v>
      </c>
      <c r="G17" s="16">
        <f>SUM(G16:G16)</f>
        <v>0</v>
      </c>
      <c r="H17" s="16">
        <f>SUM(H16:H16)</f>
        <v>0</v>
      </c>
      <c r="J17" s="16">
        <f>SUM(J14:J16)</f>
        <v>17783.333333333336</v>
      </c>
    </row>
    <row r="18" spans="2:10" ht="16" x14ac:dyDescent="0.2">
      <c r="B18" s="23"/>
      <c r="C18" s="14" t="s">
        <v>44</v>
      </c>
      <c r="D18" s="15"/>
      <c r="E18" s="10"/>
      <c r="F18" s="10"/>
      <c r="G18" s="10"/>
      <c r="H18" s="10"/>
      <c r="J18" s="15" t="s">
        <v>21</v>
      </c>
    </row>
    <row r="19" spans="2:10" ht="16" x14ac:dyDescent="0.2">
      <c r="B19" s="23" t="s">
        <v>63</v>
      </c>
      <c r="C19" s="28" t="s">
        <v>63</v>
      </c>
      <c r="D19" s="13" t="s">
        <v>36</v>
      </c>
      <c r="E19" s="10"/>
      <c r="F19" s="10"/>
      <c r="G19" s="10"/>
      <c r="H19" s="10"/>
      <c r="J19" s="15">
        <f t="shared" ref="J19:J22" si="5">SUM(D19:H19)</f>
        <v>0</v>
      </c>
    </row>
    <row r="20" spans="2:10" ht="16" x14ac:dyDescent="0.2">
      <c r="B20" s="23"/>
      <c r="C20" s="9" t="s">
        <v>15</v>
      </c>
      <c r="D20" s="12">
        <f>SUM(D19:D19)</f>
        <v>0</v>
      </c>
      <c r="E20" s="12">
        <f>SUM(E19:E19)</f>
        <v>0</v>
      </c>
      <c r="F20" s="12">
        <f>SUM(F19:F19)</f>
        <v>0</v>
      </c>
      <c r="G20" s="12">
        <f>SUM(G19:G19)</f>
        <v>0</v>
      </c>
      <c r="H20" s="12">
        <f>SUM(H19:H19)</f>
        <v>0</v>
      </c>
      <c r="J20" s="16">
        <f>SUM(J19:J19)</f>
        <v>0</v>
      </c>
    </row>
    <row r="21" spans="2:10" ht="16" x14ac:dyDescent="0.2">
      <c r="B21" s="23"/>
      <c r="C21" s="14" t="s">
        <v>46</v>
      </c>
      <c r="D21" s="13" t="s">
        <v>36</v>
      </c>
      <c r="E21" s="10"/>
      <c r="F21" s="10"/>
      <c r="G21" s="10"/>
      <c r="H21" s="10"/>
      <c r="J21" s="15"/>
    </row>
    <row r="22" spans="2:10" x14ac:dyDescent="0.2">
      <c r="B22" s="23"/>
      <c r="C22" s="25"/>
      <c r="D22" s="15"/>
      <c r="E22" s="11"/>
      <c r="F22" s="11"/>
      <c r="G22" s="11"/>
      <c r="H22" s="11"/>
      <c r="J22" s="15">
        <f t="shared" si="5"/>
        <v>0</v>
      </c>
    </row>
    <row r="23" spans="2:10" ht="16" x14ac:dyDescent="0.2">
      <c r="B23" s="23"/>
      <c r="C23" s="9" t="s">
        <v>16</v>
      </c>
      <c r="D23" s="16">
        <f>SUM(D22:D22)</f>
        <v>0</v>
      </c>
      <c r="E23" s="16">
        <f>SUM(E22:E22)</f>
        <v>0</v>
      </c>
      <c r="F23" s="16">
        <f>SUM(F22:F22)</f>
        <v>0</v>
      </c>
      <c r="G23" s="16">
        <f>SUM(G22:G22)</f>
        <v>0</v>
      </c>
      <c r="H23" s="16">
        <f>SUM(H22:H22)</f>
        <v>0</v>
      </c>
      <c r="J23" s="16">
        <f>SUM(J22:J22)</f>
        <v>0</v>
      </c>
    </row>
    <row r="24" spans="2:10" ht="16" x14ac:dyDescent="0.2">
      <c r="B24" s="23"/>
      <c r="C24" s="14" t="s">
        <v>47</v>
      </c>
      <c r="D24" s="13" t="s">
        <v>36</v>
      </c>
      <c r="E24" s="10"/>
      <c r="F24" s="10"/>
      <c r="G24" s="10"/>
      <c r="H24" s="10"/>
      <c r="J24" s="15"/>
    </row>
    <row r="25" spans="2:10" ht="16" x14ac:dyDescent="0.2">
      <c r="B25" s="23"/>
      <c r="C25" s="74" t="s">
        <v>64</v>
      </c>
      <c r="D25" s="75">
        <v>5000</v>
      </c>
      <c r="E25" s="75">
        <v>5000</v>
      </c>
      <c r="F25" s="75">
        <v>5000</v>
      </c>
      <c r="G25" s="75">
        <v>5000</v>
      </c>
      <c r="H25" s="75">
        <v>5000</v>
      </c>
      <c r="I25" s="76"/>
      <c r="J25" s="15">
        <f>SUM(D25:H25)</f>
        <v>25000</v>
      </c>
    </row>
    <row r="26" spans="2:10" ht="16" x14ac:dyDescent="0.2">
      <c r="B26" s="23"/>
      <c r="C26" s="83" t="s">
        <v>52</v>
      </c>
      <c r="D26" s="82">
        <v>100000</v>
      </c>
      <c r="E26" s="82">
        <v>100000</v>
      </c>
      <c r="F26" s="82">
        <v>100000</v>
      </c>
      <c r="G26" s="82">
        <v>100000</v>
      </c>
      <c r="H26" s="82">
        <v>100000</v>
      </c>
      <c r="I26" s="35"/>
      <c r="J26" s="15">
        <f>SUM(D26:H26)</f>
        <v>500000</v>
      </c>
    </row>
    <row r="27" spans="2:10" ht="16" x14ac:dyDescent="0.2">
      <c r="B27" s="23"/>
      <c r="C27" s="9" t="s">
        <v>17</v>
      </c>
      <c r="D27" s="16">
        <f>SUM(D25:D26)</f>
        <v>105000</v>
      </c>
      <c r="E27" s="16">
        <f>SUM(E25:E26)</f>
        <v>105000</v>
      </c>
      <c r="F27" s="16">
        <f>SUM(F25:F26)</f>
        <v>105000</v>
      </c>
      <c r="G27" s="16">
        <f>SUM(G25:G26)</f>
        <v>105000</v>
      </c>
      <c r="H27" s="16">
        <f>SUM(H25:H26)</f>
        <v>105000</v>
      </c>
      <c r="J27" s="16">
        <f>SUM(J25:J26)</f>
        <v>525000</v>
      </c>
    </row>
    <row r="28" spans="2:10" ht="16" x14ac:dyDescent="0.2">
      <c r="B28" s="23"/>
      <c r="C28" s="92" t="s">
        <v>53</v>
      </c>
      <c r="D28" s="95"/>
      <c r="E28" s="96"/>
      <c r="F28" s="95"/>
      <c r="G28" s="95"/>
      <c r="H28" s="95"/>
      <c r="I28" s="97"/>
      <c r="J28" s="95"/>
    </row>
    <row r="29" spans="2:10" ht="16" x14ac:dyDescent="0.2">
      <c r="B29" s="23"/>
      <c r="C29" s="99" t="s">
        <v>65</v>
      </c>
      <c r="D29" s="98">
        <v>2500000</v>
      </c>
      <c r="F29" s="98"/>
      <c r="G29" s="98"/>
      <c r="H29" s="98"/>
      <c r="I29" s="53"/>
      <c r="J29" s="82">
        <f t="shared" ref="J29:J33" si="6">SUM(D29:H29)</f>
        <v>2500000</v>
      </c>
    </row>
    <row r="30" spans="2:10" ht="16" x14ac:dyDescent="0.2">
      <c r="B30" s="23"/>
      <c r="C30" s="100" t="s">
        <v>66</v>
      </c>
      <c r="D30" s="93">
        <v>500000</v>
      </c>
      <c r="E30" s="93">
        <v>2000000</v>
      </c>
      <c r="F30" s="93"/>
      <c r="G30" s="93"/>
      <c r="H30" s="93"/>
      <c r="I30" s="53"/>
      <c r="J30" s="15">
        <f t="shared" si="6"/>
        <v>2500000</v>
      </c>
    </row>
    <row r="31" spans="2:10" ht="16" x14ac:dyDescent="0.2">
      <c r="B31" s="23"/>
      <c r="C31" s="100" t="s">
        <v>67</v>
      </c>
      <c r="D31" s="93">
        <v>500000</v>
      </c>
      <c r="E31" s="93"/>
      <c r="F31" s="93">
        <v>2000000</v>
      </c>
      <c r="G31" s="93"/>
      <c r="H31" s="93"/>
      <c r="I31" s="53"/>
      <c r="J31" s="15">
        <f t="shared" si="6"/>
        <v>2500000</v>
      </c>
    </row>
    <row r="32" spans="2:10" ht="16" x14ac:dyDescent="0.2">
      <c r="B32" s="23"/>
      <c r="C32" s="100" t="s">
        <v>68</v>
      </c>
      <c r="D32" s="93"/>
      <c r="E32" s="93"/>
      <c r="F32" s="15">
        <v>500000</v>
      </c>
      <c r="G32" s="15">
        <v>2000000</v>
      </c>
      <c r="H32" s="93"/>
      <c r="I32" s="53"/>
      <c r="J32" s="15">
        <f t="shared" si="6"/>
        <v>2500000</v>
      </c>
    </row>
    <row r="33" spans="2:10" ht="16" x14ac:dyDescent="0.2">
      <c r="B33" s="23"/>
      <c r="C33" s="100" t="s">
        <v>69</v>
      </c>
      <c r="D33" s="93"/>
      <c r="E33" s="93"/>
      <c r="F33" s="93"/>
      <c r="G33" s="15">
        <v>500000</v>
      </c>
      <c r="H33" s="15">
        <v>2000000</v>
      </c>
      <c r="I33" s="53"/>
      <c r="J33" s="15">
        <f t="shared" si="6"/>
        <v>2500000</v>
      </c>
    </row>
    <row r="34" spans="2:10" ht="16" x14ac:dyDescent="0.2">
      <c r="B34" s="23"/>
      <c r="C34" s="9" t="s">
        <v>18</v>
      </c>
      <c r="D34" s="16">
        <f>SUM(D29:D33)</f>
        <v>3500000</v>
      </c>
      <c r="E34" s="16">
        <f t="shared" ref="E34:H34" si="7">SUM(E29:E33)</f>
        <v>2000000</v>
      </c>
      <c r="F34" s="16">
        <f t="shared" si="7"/>
        <v>2500000</v>
      </c>
      <c r="G34" s="16">
        <f t="shared" si="7"/>
        <v>2500000</v>
      </c>
      <c r="H34" s="16">
        <f t="shared" si="7"/>
        <v>2000000</v>
      </c>
      <c r="J34" s="16">
        <f>SUM(D34:H34)</f>
        <v>12500000</v>
      </c>
    </row>
    <row r="35" spans="2:10" ht="16" x14ac:dyDescent="0.2">
      <c r="B35" s="23"/>
      <c r="C35" s="14" t="s">
        <v>58</v>
      </c>
      <c r="D35" s="13" t="s">
        <v>36</v>
      </c>
      <c r="E35" s="10"/>
      <c r="F35" s="10"/>
      <c r="G35" s="10"/>
      <c r="H35" s="10"/>
      <c r="J35" s="15"/>
    </row>
    <row r="36" spans="2:10" x14ac:dyDescent="0.2">
      <c r="B36" s="24"/>
      <c r="C36" s="10"/>
      <c r="D36" s="15"/>
      <c r="E36" s="11"/>
      <c r="F36" s="11"/>
      <c r="G36" s="11"/>
      <c r="H36" s="11"/>
      <c r="J36" s="15">
        <f>SUM(D36:H36)</f>
        <v>0</v>
      </c>
    </row>
    <row r="37" spans="2:10" ht="16" x14ac:dyDescent="0.2">
      <c r="B37" s="24"/>
      <c r="C37" s="9" t="s">
        <v>19</v>
      </c>
      <c r="D37" s="16">
        <f>SUM(D36:D36)</f>
        <v>0</v>
      </c>
      <c r="E37" s="16">
        <f>SUM(E36:E36)</f>
        <v>0</v>
      </c>
      <c r="F37" s="16">
        <f>SUM(F36:F36)</f>
        <v>0</v>
      </c>
      <c r="G37" s="16">
        <f>SUM(G36:G36)</f>
        <v>0</v>
      </c>
      <c r="H37" s="16">
        <f>SUM(H36:H36)</f>
        <v>0</v>
      </c>
      <c r="J37" s="16">
        <f>SUM(J36:J36)</f>
        <v>0</v>
      </c>
    </row>
    <row r="38" spans="2:10" ht="16" x14ac:dyDescent="0.2">
      <c r="B38" s="6"/>
      <c r="C38" s="9" t="s">
        <v>20</v>
      </c>
      <c r="D38" s="16">
        <f>SUM(D37,D34,D27,D23,D20,D17,D12,D9)</f>
        <v>3641532.9679999999</v>
      </c>
      <c r="E38" s="16">
        <f t="shared" ref="E38:H38" si="8">SUM(E37,E34,E27,E23,E20,E17,E12,E9)</f>
        <v>2142628.9570399998</v>
      </c>
      <c r="F38" s="16">
        <f t="shared" si="8"/>
        <v>2644040.7295888001</v>
      </c>
      <c r="G38" s="16">
        <f t="shared" si="8"/>
        <v>2645211.951476464</v>
      </c>
      <c r="H38" s="16">
        <f t="shared" si="8"/>
        <v>2146418.3100207583</v>
      </c>
      <c r="J38" s="16">
        <f>SUM(D38:H38)</f>
        <v>13219832.91612602</v>
      </c>
    </row>
    <row r="39" spans="2:10" x14ac:dyDescent="0.2">
      <c r="B39" s="22" t="s">
        <v>59</v>
      </c>
      <c r="D39"/>
      <c r="E39"/>
      <c r="H39"/>
      <c r="I39"/>
      <c r="J39" t="s">
        <v>21</v>
      </c>
    </row>
    <row r="40" spans="2:10" x14ac:dyDescent="0.2">
      <c r="B40" s="23"/>
      <c r="C40" s="17" t="s">
        <v>59</v>
      </c>
      <c r="D40" s="18"/>
      <c r="E40" s="18"/>
      <c r="F40" s="18"/>
      <c r="G40" s="18"/>
      <c r="H40" s="18"/>
      <c r="I40"/>
      <c r="J40" s="18" t="s">
        <v>21</v>
      </c>
    </row>
    <row r="41" spans="2:10" x14ac:dyDescent="0.2">
      <c r="B41" s="24"/>
      <c r="C41" s="25"/>
      <c r="D41" s="13"/>
      <c r="E41" s="10"/>
      <c r="F41" s="10"/>
      <c r="G41" s="10"/>
      <c r="H41" s="10"/>
      <c r="J41" s="15">
        <f t="shared" ref="J41:J42" si="9">SUM(D41:H41)</f>
        <v>0</v>
      </c>
    </row>
    <row r="42" spans="2:10" ht="17" thickBot="1" x14ac:dyDescent="0.25">
      <c r="B42" s="6"/>
      <c r="C42" s="9" t="s">
        <v>22</v>
      </c>
      <c r="D42" s="16">
        <f>SUM(D41:D41)</f>
        <v>0</v>
      </c>
      <c r="E42" s="16">
        <f>SUM(E41:E41)</f>
        <v>0</v>
      </c>
      <c r="F42" s="16">
        <f>SUM(F41:F41)</f>
        <v>0</v>
      </c>
      <c r="G42" s="16">
        <f>SUM(G41:G41)</f>
        <v>0</v>
      </c>
      <c r="H42" s="16">
        <f>SUM(H41:H41)</f>
        <v>0</v>
      </c>
      <c r="J42" s="16">
        <f t="shared" si="9"/>
        <v>0</v>
      </c>
    </row>
    <row r="43" spans="2:10" s="1" customFormat="1" ht="32" x14ac:dyDescent="0.2">
      <c r="B43" s="19" t="s">
        <v>23</v>
      </c>
      <c r="C43"/>
      <c r="D43"/>
      <c r="E43"/>
      <c r="F43"/>
      <c r="G43"/>
      <c r="H43"/>
      <c r="I43"/>
      <c r="J43" t="s">
        <v>21</v>
      </c>
    </row>
    <row r="44" spans="2:10" x14ac:dyDescent="0.2">
      <c r="B44" s="6"/>
      <c r="C44" s="19"/>
      <c r="D44" s="20">
        <f t="shared" ref="D44:J44" si="10">SUM(D42,D38)</f>
        <v>3641532.9679999999</v>
      </c>
      <c r="E44" s="20">
        <f t="shared" si="10"/>
        <v>2142628.9570399998</v>
      </c>
      <c r="F44" s="20">
        <f t="shared" si="10"/>
        <v>2644040.7295888001</v>
      </c>
      <c r="G44" s="20">
        <f t="shared" si="10"/>
        <v>2645211.951476464</v>
      </c>
      <c r="H44" s="20">
        <f t="shared" si="10"/>
        <v>2146418.3100207583</v>
      </c>
      <c r="I44" s="7">
        <f t="shared" si="10"/>
        <v>0</v>
      </c>
      <c r="J44" s="20">
        <f t="shared" si="10"/>
        <v>13219832.91612602</v>
      </c>
    </row>
    <row r="45" spans="2:10" x14ac:dyDescent="0.2">
      <c r="B45" s="6"/>
    </row>
    <row r="46" spans="2:10" x14ac:dyDescent="0.2">
      <c r="B46" s="6"/>
    </row>
    <row r="47" spans="2:10" x14ac:dyDescent="0.2">
      <c r="B47" s="6"/>
    </row>
    <row r="48" spans="2:10" x14ac:dyDescent="0.2">
      <c r="B48" s="6"/>
    </row>
    <row r="49" spans="2:2" x14ac:dyDescent="0.2">
      <c r="B49" s="6"/>
    </row>
    <row r="50" spans="2:2" x14ac:dyDescent="0.2">
      <c r="B50" s="6"/>
    </row>
    <row r="51" spans="2:2" x14ac:dyDescent="0.2">
      <c r="B51" s="6"/>
    </row>
    <row r="52" spans="2:2" x14ac:dyDescent="0.2">
      <c r="B52" s="6"/>
    </row>
    <row r="53" spans="2:2" x14ac:dyDescent="0.2">
      <c r="B53" s="6"/>
    </row>
    <row r="54" spans="2:2" x14ac:dyDescent="0.2">
      <c r="B54" s="6"/>
    </row>
    <row r="55" spans="2:2" x14ac:dyDescent="0.2">
      <c r="B55" s="6"/>
    </row>
    <row r="56" spans="2:2" x14ac:dyDescent="0.2">
      <c r="B56" s="6"/>
    </row>
    <row r="57" spans="2:2" x14ac:dyDescent="0.2">
      <c r="B57" s="6"/>
    </row>
    <row r="58" spans="2:2" x14ac:dyDescent="0.2">
      <c r="B58" s="6"/>
    </row>
  </sheetData>
  <pageMargins left="0.7" right="0.7" top="0.75" bottom="0.75" header="0.3" footer="0.3"/>
  <pageSetup scale="89" fitToHeight="0" orientation="landscape" r:id="rId1"/>
  <ignoredErrors>
    <ignoredError sqref="J16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A2F6B-0E17-4DEC-91FE-233D04B5BDA4}">
  <sheetPr>
    <tabColor theme="9" tint="0.39997558519241921"/>
    <pageSetUpPr fitToPage="1"/>
  </sheetPr>
  <dimension ref="B2:AM59"/>
  <sheetViews>
    <sheetView showGridLines="0" zoomScale="85" zoomScaleNormal="85" workbookViewId="0">
      <pane xSplit="3" ySplit="6" topLeftCell="D7" activePane="bottomRight" state="frozen"/>
      <selection pane="topRight" activeCell="R20" sqref="R20:W20"/>
      <selection pane="bottomLeft" activeCell="R20" sqref="R20:W20"/>
      <selection pane="bottomRight" activeCell="J51" sqref="J51"/>
    </sheetView>
  </sheetViews>
  <sheetFormatPr baseColWidth="10" defaultColWidth="9.1640625" defaultRowHeight="15" x14ac:dyDescent="0.2"/>
  <cols>
    <col min="1" max="1" width="3.1640625" customWidth="1"/>
    <col min="2" max="2" width="10.6640625" customWidth="1"/>
    <col min="3" max="3" width="45.5" customWidth="1"/>
    <col min="4" max="4" width="12.6640625" style="6" customWidth="1"/>
    <col min="5" max="5" width="17" style="2" customWidth="1"/>
    <col min="6" max="6" width="17.5" customWidth="1"/>
    <col min="7" max="7" width="18" customWidth="1"/>
    <col min="8" max="8" width="12.5" style="2" customWidth="1"/>
    <col min="9" max="9" width="4.5" style="7" customWidth="1"/>
    <col min="10" max="10" width="17" customWidth="1"/>
    <col min="11" max="11" width="12.1640625" customWidth="1"/>
  </cols>
  <sheetData>
    <row r="2" spans="2:39" ht="24" x14ac:dyDescent="0.3">
      <c r="B2" s="30" t="s">
        <v>33</v>
      </c>
    </row>
    <row r="3" spans="2:39" x14ac:dyDescent="0.2">
      <c r="B3" s="64" t="s">
        <v>34</v>
      </c>
    </row>
    <row r="4" spans="2:39" x14ac:dyDescent="0.2">
      <c r="B4" s="5"/>
    </row>
    <row r="5" spans="2:39" ht="19" x14ac:dyDescent="0.2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16" x14ac:dyDescent="0.2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ht="14.75" customHeight="1" x14ac:dyDescent="0.2">
      <c r="B7" s="141" t="s">
        <v>11</v>
      </c>
      <c r="C7" s="26" t="s">
        <v>60</v>
      </c>
      <c r="D7" s="10" t="s">
        <v>36</v>
      </c>
      <c r="E7" s="10" t="s">
        <v>36</v>
      </c>
      <c r="F7" s="10" t="s">
        <v>36</v>
      </c>
      <c r="G7" s="10"/>
      <c r="H7" s="10" t="s">
        <v>36</v>
      </c>
      <c r="I7" s="7"/>
      <c r="J7" s="8" t="s">
        <v>36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.75" customHeight="1" x14ac:dyDescent="0.2">
      <c r="B8" s="142"/>
      <c r="C8" s="78" t="s">
        <v>70</v>
      </c>
      <c r="D8" s="104">
        <f>80000*0.333333</f>
        <v>26666.639999999999</v>
      </c>
      <c r="E8" s="104">
        <f>D8*1.03</f>
        <v>27466.639200000001</v>
      </c>
      <c r="F8" s="104">
        <f t="shared" ref="F8:H8" si="0">E8*1.03</f>
        <v>28290.638376000003</v>
      </c>
      <c r="G8" s="104">
        <f t="shared" si="0"/>
        <v>29139.357527280004</v>
      </c>
      <c r="H8" s="104">
        <f t="shared" si="0"/>
        <v>30013.538253098406</v>
      </c>
      <c r="I8" s="105"/>
      <c r="J8" s="106">
        <f>SUM(D8:H8)</f>
        <v>141576.81335637841</v>
      </c>
    </row>
    <row r="9" spans="2:39" ht="14.75" customHeight="1" x14ac:dyDescent="0.2">
      <c r="B9" s="142"/>
      <c r="C9" s="27"/>
      <c r="D9" s="107"/>
      <c r="E9" s="108"/>
      <c r="F9" s="108"/>
      <c r="G9" s="108"/>
      <c r="H9" s="108"/>
      <c r="I9" s="109"/>
      <c r="J9" s="107">
        <f>SUM(D9:H9)</f>
        <v>0</v>
      </c>
    </row>
    <row r="10" spans="2:39" ht="16" x14ac:dyDescent="0.2">
      <c r="B10" s="142"/>
      <c r="C10" s="9" t="s">
        <v>12</v>
      </c>
      <c r="D10" s="110">
        <f t="shared" ref="D10:J10" si="1">SUM(D8:D9)</f>
        <v>26666.639999999999</v>
      </c>
      <c r="E10" s="110">
        <f t="shared" si="1"/>
        <v>27466.639200000001</v>
      </c>
      <c r="F10" s="110">
        <f t="shared" si="1"/>
        <v>28290.638376000003</v>
      </c>
      <c r="G10" s="110">
        <f t="shared" si="1"/>
        <v>29139.357527280004</v>
      </c>
      <c r="H10" s="110">
        <f t="shared" si="1"/>
        <v>30013.538253098406</v>
      </c>
      <c r="I10" s="109">
        <f t="shared" si="1"/>
        <v>0</v>
      </c>
      <c r="J10" s="110">
        <f t="shared" si="1"/>
        <v>141576.81335637841</v>
      </c>
    </row>
    <row r="11" spans="2:39" ht="14.75" customHeight="1" x14ac:dyDescent="0.2">
      <c r="B11" s="142"/>
      <c r="C11" s="14" t="s">
        <v>39</v>
      </c>
      <c r="D11" s="107" t="s">
        <v>36</v>
      </c>
      <c r="E11" s="108"/>
      <c r="F11" s="108"/>
      <c r="G11" s="108"/>
      <c r="H11" s="108"/>
      <c r="I11" s="109"/>
      <c r="J11" s="111" t="s">
        <v>36</v>
      </c>
    </row>
    <row r="12" spans="2:39" ht="16" x14ac:dyDescent="0.2">
      <c r="B12" s="142"/>
      <c r="C12" s="74" t="s">
        <v>62</v>
      </c>
      <c r="D12" s="106">
        <f>D8*0.37</f>
        <v>9866.6567999999988</v>
      </c>
      <c r="E12" s="106">
        <f>E8*0.37</f>
        <v>10162.656504</v>
      </c>
      <c r="F12" s="106">
        <f>F8*0.38</f>
        <v>10750.442582880001</v>
      </c>
      <c r="G12" s="106">
        <f>G8*0.38</f>
        <v>11072.955860366403</v>
      </c>
      <c r="H12" s="106">
        <f t="shared" ref="H12" si="2">H8*0.38</f>
        <v>11405.144536177395</v>
      </c>
      <c r="I12" s="112"/>
      <c r="J12" s="106">
        <f>SUM(D12:H12)</f>
        <v>53257.856283423796</v>
      </c>
    </row>
    <row r="13" spans="2:39" ht="14.75" customHeight="1" x14ac:dyDescent="0.2">
      <c r="B13" s="142"/>
      <c r="C13" s="10"/>
      <c r="D13" s="107"/>
      <c r="E13" s="108"/>
      <c r="F13" s="108"/>
      <c r="G13" s="108"/>
      <c r="H13" s="108"/>
      <c r="I13" s="109"/>
      <c r="J13" s="107">
        <f t="shared" ref="J13" si="3">SUM(D13:H13)</f>
        <v>0</v>
      </c>
    </row>
    <row r="14" spans="2:39" ht="14.75" customHeight="1" x14ac:dyDescent="0.2">
      <c r="B14" s="142"/>
      <c r="C14" s="9" t="s">
        <v>13</v>
      </c>
      <c r="D14" s="110">
        <f t="shared" ref="D14:J14" si="4">SUM(D12:D13)</f>
        <v>9866.6567999999988</v>
      </c>
      <c r="E14" s="110">
        <f t="shared" si="4"/>
        <v>10162.656504</v>
      </c>
      <c r="F14" s="110">
        <f t="shared" si="4"/>
        <v>10750.442582880001</v>
      </c>
      <c r="G14" s="110">
        <f t="shared" si="4"/>
        <v>11072.955860366403</v>
      </c>
      <c r="H14" s="110">
        <f t="shared" si="4"/>
        <v>11405.144536177395</v>
      </c>
      <c r="I14" s="109">
        <f t="shared" si="4"/>
        <v>0</v>
      </c>
      <c r="J14" s="110">
        <f t="shared" si="4"/>
        <v>53257.856283423796</v>
      </c>
    </row>
    <row r="15" spans="2:39" ht="14.75" customHeight="1" x14ac:dyDescent="0.2">
      <c r="B15" s="142"/>
      <c r="C15" s="88" t="s">
        <v>41</v>
      </c>
      <c r="D15" s="107" t="s">
        <v>36</v>
      </c>
      <c r="E15" s="108"/>
      <c r="F15" s="108"/>
      <c r="G15" s="108"/>
      <c r="H15" s="108"/>
      <c r="I15" s="109"/>
      <c r="J15" s="111" t="s">
        <v>36</v>
      </c>
    </row>
    <row r="16" spans="2:39" ht="32.25" customHeight="1" x14ac:dyDescent="0.2">
      <c r="B16" s="142"/>
      <c r="C16" s="91" t="s">
        <v>42</v>
      </c>
      <c r="D16" s="113">
        <f>2500*4/3</f>
        <v>3333.3333333333335</v>
      </c>
      <c r="E16" s="113">
        <f>D16</f>
        <v>3333.3333333333335</v>
      </c>
      <c r="F16" s="113">
        <f t="shared" ref="F16:H16" si="5">E16</f>
        <v>3333.3333333333335</v>
      </c>
      <c r="G16" s="113">
        <f t="shared" si="5"/>
        <v>3333.3333333333335</v>
      </c>
      <c r="H16" s="113">
        <f t="shared" si="5"/>
        <v>3333.3333333333335</v>
      </c>
      <c r="I16" s="109"/>
      <c r="J16" s="107">
        <f>SUM(D16:H16)</f>
        <v>16666.666666666668</v>
      </c>
    </row>
    <row r="17" spans="2:11" ht="34.5" customHeight="1" x14ac:dyDescent="0.2">
      <c r="B17" s="142"/>
      <c r="C17" s="89" t="s">
        <v>43</v>
      </c>
      <c r="D17" s="107">
        <f>(1000*0.67)/3</f>
        <v>223.33333333333334</v>
      </c>
      <c r="E17" s="107">
        <f>(1000*0.67)/3</f>
        <v>223.33333333333334</v>
      </c>
      <c r="F17" s="107">
        <f>(1000*0.67)/3</f>
        <v>223.33333333333334</v>
      </c>
      <c r="G17" s="107">
        <f>(1000*0.67)/3</f>
        <v>223.33333333333334</v>
      </c>
      <c r="H17" s="107">
        <f>(1000*0.67)/3</f>
        <v>223.33333333333334</v>
      </c>
      <c r="I17" s="109"/>
      <c r="J17" s="107">
        <f>SUM(D17:H17)</f>
        <v>1116.6666666666667</v>
      </c>
    </row>
    <row r="18" spans="2:11" ht="14.75" customHeight="1" x14ac:dyDescent="0.2">
      <c r="B18" s="142"/>
      <c r="C18" s="9" t="s">
        <v>14</v>
      </c>
      <c r="D18" s="110">
        <f>SUM(D16:D17)</f>
        <v>3556.666666666667</v>
      </c>
      <c r="E18" s="110">
        <f t="shared" ref="E18:H18" si="6">SUM(E16:E17)</f>
        <v>3556.666666666667</v>
      </c>
      <c r="F18" s="110">
        <f t="shared" si="6"/>
        <v>3556.666666666667</v>
      </c>
      <c r="G18" s="110">
        <f t="shared" si="6"/>
        <v>3556.666666666667</v>
      </c>
      <c r="H18" s="110">
        <f t="shared" si="6"/>
        <v>3556.666666666667</v>
      </c>
      <c r="I18" s="109"/>
      <c r="J18" s="110">
        <f>SUM(D18:H18)</f>
        <v>17783.333333333336</v>
      </c>
    </row>
    <row r="19" spans="2:11" ht="14.75" customHeight="1" x14ac:dyDescent="0.2">
      <c r="B19" s="142"/>
      <c r="C19" s="14" t="s">
        <v>44</v>
      </c>
      <c r="D19" s="107"/>
      <c r="E19" s="108"/>
      <c r="F19" s="108"/>
      <c r="G19" s="108"/>
      <c r="H19" s="108"/>
      <c r="I19" s="109"/>
      <c r="J19" s="107" t="s">
        <v>21</v>
      </c>
    </row>
    <row r="20" spans="2:11" ht="16" x14ac:dyDescent="0.2">
      <c r="B20" s="142"/>
      <c r="C20" s="28" t="s">
        <v>63</v>
      </c>
      <c r="D20" s="107" t="s">
        <v>36</v>
      </c>
      <c r="E20" s="108"/>
      <c r="F20" s="108"/>
      <c r="G20" s="108"/>
      <c r="H20" s="108"/>
      <c r="I20" s="109"/>
      <c r="J20" s="107">
        <f t="shared" ref="J20:J39" si="7">SUM(D20:H20)</f>
        <v>0</v>
      </c>
    </row>
    <row r="21" spans="2:11" ht="14.75" customHeight="1" x14ac:dyDescent="0.2">
      <c r="B21" s="142"/>
      <c r="C21" s="9" t="s">
        <v>15</v>
      </c>
      <c r="D21" s="114">
        <f>SUM(D20:D20)</f>
        <v>0</v>
      </c>
      <c r="E21" s="114">
        <f>SUM(E20:E20)</f>
        <v>0</v>
      </c>
      <c r="F21" s="114">
        <f>SUM(F20:F20)</f>
        <v>0</v>
      </c>
      <c r="G21" s="114">
        <f>SUM(G20:G20)</f>
        <v>0</v>
      </c>
      <c r="H21" s="114">
        <f>SUM(H20:H20)</f>
        <v>0</v>
      </c>
      <c r="I21" s="109"/>
      <c r="J21" s="110">
        <f t="shared" si="7"/>
        <v>0</v>
      </c>
    </row>
    <row r="22" spans="2:11" ht="14.75" customHeight="1" x14ac:dyDescent="0.2">
      <c r="B22" s="142"/>
      <c r="C22" s="14" t="s">
        <v>46</v>
      </c>
      <c r="D22" s="107" t="s">
        <v>36</v>
      </c>
      <c r="E22" s="108"/>
      <c r="F22" s="108"/>
      <c r="G22" s="108"/>
      <c r="H22" s="108"/>
      <c r="I22" s="109"/>
      <c r="J22" s="107"/>
    </row>
    <row r="23" spans="2:11" x14ac:dyDescent="0.2">
      <c r="B23" s="142"/>
      <c r="C23" s="25"/>
      <c r="D23" s="107"/>
      <c r="E23" s="108"/>
      <c r="F23" s="108"/>
      <c r="G23" s="108"/>
      <c r="H23" s="108"/>
      <c r="I23" s="109"/>
      <c r="J23" s="107">
        <f t="shared" si="7"/>
        <v>0</v>
      </c>
    </row>
    <row r="24" spans="2:11" ht="14.75" customHeight="1" x14ac:dyDescent="0.2">
      <c r="B24" s="142"/>
      <c r="C24" s="9" t="s">
        <v>16</v>
      </c>
      <c r="D24" s="110">
        <f>SUM(D23:D23)</f>
        <v>0</v>
      </c>
      <c r="E24" s="110">
        <f>SUM(E23:E23)</f>
        <v>0</v>
      </c>
      <c r="F24" s="110">
        <f>SUM(F23:F23)</f>
        <v>0</v>
      </c>
      <c r="G24" s="110">
        <f>SUM(G23:G23)</f>
        <v>0</v>
      </c>
      <c r="H24" s="110">
        <f>SUM(H23:H23)</f>
        <v>0</v>
      </c>
      <c r="I24" s="109"/>
      <c r="J24" s="110">
        <f t="shared" si="7"/>
        <v>0</v>
      </c>
    </row>
    <row r="25" spans="2:11" ht="14.75" customHeight="1" x14ac:dyDescent="0.2">
      <c r="B25" s="142"/>
      <c r="C25" s="88" t="s">
        <v>47</v>
      </c>
      <c r="D25" s="107" t="s">
        <v>36</v>
      </c>
      <c r="E25" s="108"/>
      <c r="F25" s="108"/>
      <c r="G25" s="108"/>
      <c r="H25" s="108"/>
      <c r="I25" s="109"/>
      <c r="J25" s="107"/>
    </row>
    <row r="26" spans="2:11" ht="32" x14ac:dyDescent="0.2">
      <c r="B26" s="142"/>
      <c r="C26" s="87" t="s">
        <v>71</v>
      </c>
      <c r="D26" s="113">
        <f>2487219/2</f>
        <v>1243609.5</v>
      </c>
      <c r="E26" s="107">
        <f>D26</f>
        <v>1243609.5</v>
      </c>
      <c r="F26" s="107"/>
      <c r="G26" s="107"/>
      <c r="H26" s="107"/>
      <c r="I26" s="109"/>
      <c r="J26" s="107">
        <f>SUM(D26:H26)</f>
        <v>2487219</v>
      </c>
    </row>
    <row r="27" spans="2:11" ht="16" x14ac:dyDescent="0.2">
      <c r="B27" s="142"/>
      <c r="C27" s="89" t="s">
        <v>72</v>
      </c>
      <c r="D27" s="107">
        <v>150000</v>
      </c>
      <c r="E27" s="107">
        <v>250000</v>
      </c>
      <c r="F27" s="107">
        <v>250000</v>
      </c>
      <c r="G27" s="107">
        <v>250000</v>
      </c>
      <c r="H27" s="107">
        <v>250000</v>
      </c>
      <c r="I27" s="109">
        <v>22500000</v>
      </c>
      <c r="J27" s="107">
        <f t="shared" si="7"/>
        <v>1150000</v>
      </c>
    </row>
    <row r="28" spans="2:11" ht="16" x14ac:dyDescent="0.2">
      <c r="B28" s="142"/>
      <c r="C28" s="71" t="s">
        <v>73</v>
      </c>
      <c r="D28" s="107">
        <v>660000</v>
      </c>
      <c r="E28" s="107"/>
      <c r="F28" s="107"/>
      <c r="G28" s="107"/>
      <c r="H28" s="107"/>
      <c r="I28" s="109">
        <v>75000000</v>
      </c>
      <c r="J28" s="107">
        <f t="shared" si="7"/>
        <v>660000</v>
      </c>
    </row>
    <row r="29" spans="2:11" ht="16" x14ac:dyDescent="0.2">
      <c r="B29" s="142"/>
      <c r="C29" s="83" t="s">
        <v>52</v>
      </c>
      <c r="D29" s="115">
        <v>100000</v>
      </c>
      <c r="E29" s="115">
        <v>100000</v>
      </c>
      <c r="F29" s="115">
        <v>100000</v>
      </c>
      <c r="G29" s="115">
        <v>100000</v>
      </c>
      <c r="H29" s="115">
        <v>100000</v>
      </c>
      <c r="I29" s="109"/>
      <c r="J29" s="107">
        <f t="shared" si="7"/>
        <v>500000</v>
      </c>
    </row>
    <row r="30" spans="2:11" ht="18" customHeight="1" x14ac:dyDescent="0.2">
      <c r="B30" s="142"/>
      <c r="C30" s="74" t="s">
        <v>64</v>
      </c>
      <c r="D30" s="106">
        <v>5000</v>
      </c>
      <c r="E30" s="106">
        <v>5000</v>
      </c>
      <c r="F30" s="106">
        <v>5000</v>
      </c>
      <c r="G30" s="106">
        <v>5000</v>
      </c>
      <c r="H30" s="106">
        <v>5000</v>
      </c>
      <c r="I30" s="116"/>
      <c r="J30" s="107">
        <f>SUM(D30:H30)</f>
        <v>25000</v>
      </c>
    </row>
    <row r="31" spans="2:11" ht="30" customHeight="1" x14ac:dyDescent="0.2">
      <c r="B31" s="142"/>
      <c r="C31" s="74" t="s">
        <v>74</v>
      </c>
      <c r="D31" s="106">
        <f>1500000/5</f>
        <v>300000</v>
      </c>
      <c r="E31" s="106">
        <f>D31</f>
        <v>300000</v>
      </c>
      <c r="F31" s="106">
        <f t="shared" ref="F31:H32" si="8">E31</f>
        <v>300000</v>
      </c>
      <c r="G31" s="106">
        <f t="shared" si="8"/>
        <v>300000</v>
      </c>
      <c r="H31" s="106">
        <f t="shared" si="8"/>
        <v>300000</v>
      </c>
      <c r="I31" s="116"/>
      <c r="J31" s="107">
        <f>SUM(D31:H31)</f>
        <v>1500000</v>
      </c>
    </row>
    <row r="32" spans="2:11" ht="64" x14ac:dyDescent="0.2">
      <c r="B32" s="142"/>
      <c r="C32" s="74" t="s">
        <v>75</v>
      </c>
      <c r="D32" s="106">
        <f>SUM(1500000/5)+267553</f>
        <v>567553</v>
      </c>
      <c r="E32" s="106">
        <f>SUM(1500000/5)</f>
        <v>300000</v>
      </c>
      <c r="F32" s="106">
        <f t="shared" si="8"/>
        <v>300000</v>
      </c>
      <c r="G32" s="106">
        <f t="shared" si="8"/>
        <v>300000</v>
      </c>
      <c r="H32" s="106">
        <f t="shared" si="8"/>
        <v>300000</v>
      </c>
      <c r="I32" s="116"/>
      <c r="J32" s="107">
        <f>SUM(D32:H32)</f>
        <v>1767553</v>
      </c>
      <c r="K32" s="34"/>
    </row>
    <row r="33" spans="2:11" ht="16" x14ac:dyDescent="0.2">
      <c r="B33" s="142"/>
      <c r="C33" s="9" t="s">
        <v>17</v>
      </c>
      <c r="D33" s="110">
        <f>SUM(D26:D32)</f>
        <v>3026162.5</v>
      </c>
      <c r="E33" s="110">
        <f>SUM(E26:E32)</f>
        <v>2198609.5</v>
      </c>
      <c r="F33" s="110">
        <f>SUM(F26:F32)</f>
        <v>955000</v>
      </c>
      <c r="G33" s="110">
        <f>SUM(G26:G32)</f>
        <v>955000</v>
      </c>
      <c r="H33" s="110">
        <f>SUM(H26:H32)</f>
        <v>955000</v>
      </c>
      <c r="I33" s="109"/>
      <c r="J33" s="110">
        <f>SUM(J26:J32)</f>
        <v>8089772</v>
      </c>
      <c r="K33" s="34"/>
    </row>
    <row r="34" spans="2:11" ht="16" x14ac:dyDescent="0.2">
      <c r="B34" s="142"/>
      <c r="C34" s="103" t="s">
        <v>53</v>
      </c>
      <c r="D34" s="107"/>
      <c r="E34" s="107"/>
      <c r="F34" s="107"/>
      <c r="G34" s="107"/>
      <c r="H34" s="107"/>
      <c r="I34" s="109"/>
      <c r="J34" s="107"/>
      <c r="K34" s="34"/>
    </row>
    <row r="35" spans="2:11" ht="32" x14ac:dyDescent="0.2">
      <c r="B35" s="142"/>
      <c r="C35" s="87" t="s">
        <v>76</v>
      </c>
      <c r="D35" s="113"/>
      <c r="E35" s="107">
        <f>11765455/3</f>
        <v>3921818.3333333335</v>
      </c>
      <c r="F35" s="107">
        <f>E35</f>
        <v>3921818.3333333335</v>
      </c>
      <c r="G35" s="107">
        <f>F35</f>
        <v>3921818.3333333335</v>
      </c>
      <c r="H35" s="107"/>
      <c r="I35" s="109"/>
      <c r="J35" s="107">
        <f>SUM(D35:H35)</f>
        <v>11765455</v>
      </c>
      <c r="K35" s="34"/>
    </row>
    <row r="36" spans="2:11" ht="16" x14ac:dyDescent="0.2">
      <c r="B36" s="142"/>
      <c r="C36" s="101" t="s">
        <v>18</v>
      </c>
      <c r="D36" s="117">
        <f>SUM(D34:D35)</f>
        <v>0</v>
      </c>
      <c r="E36" s="110">
        <f t="shared" ref="E36:H36" si="9">SUM(E34:E35)</f>
        <v>3921818.3333333335</v>
      </c>
      <c r="F36" s="110">
        <f t="shared" si="9"/>
        <v>3921818.3333333335</v>
      </c>
      <c r="G36" s="110">
        <f t="shared" si="9"/>
        <v>3921818.3333333335</v>
      </c>
      <c r="H36" s="110">
        <f t="shared" si="9"/>
        <v>0</v>
      </c>
      <c r="I36" s="109"/>
      <c r="J36" s="110">
        <f>SUM(J35)</f>
        <v>11765455</v>
      </c>
      <c r="K36" s="34"/>
    </row>
    <row r="37" spans="2:11" ht="16" x14ac:dyDescent="0.2">
      <c r="B37" s="142"/>
      <c r="C37" s="102" t="s">
        <v>58</v>
      </c>
      <c r="D37" s="113" t="s">
        <v>36</v>
      </c>
      <c r="E37" s="108"/>
      <c r="F37" s="108"/>
      <c r="G37" s="108"/>
      <c r="H37" s="108"/>
      <c r="I37" s="109"/>
      <c r="J37" s="107"/>
    </row>
    <row r="38" spans="2:11" ht="32" x14ac:dyDescent="0.2">
      <c r="B38" s="142"/>
      <c r="C38" s="78" t="s">
        <v>77</v>
      </c>
      <c r="D38" s="118">
        <f>1900+119</f>
        <v>2019</v>
      </c>
      <c r="E38" s="118">
        <f>1900</f>
        <v>1900</v>
      </c>
      <c r="F38" s="118">
        <f>E38</f>
        <v>1900</v>
      </c>
      <c r="G38" s="118">
        <f t="shared" ref="G38:H38" si="10">F38</f>
        <v>1900</v>
      </c>
      <c r="H38" s="118">
        <f t="shared" si="10"/>
        <v>1900</v>
      </c>
      <c r="I38" s="112"/>
      <c r="J38" s="107">
        <f>SUM(D38:H38)</f>
        <v>9619</v>
      </c>
    </row>
    <row r="39" spans="2:11" ht="16" x14ac:dyDescent="0.2">
      <c r="B39" s="142"/>
      <c r="C39" s="86" t="s">
        <v>19</v>
      </c>
      <c r="D39" s="110">
        <f>SUM(D38)</f>
        <v>2019</v>
      </c>
      <c r="E39" s="110">
        <f t="shared" ref="E39:H39" si="11">SUM(E38)</f>
        <v>1900</v>
      </c>
      <c r="F39" s="110">
        <f t="shared" si="11"/>
        <v>1900</v>
      </c>
      <c r="G39" s="110">
        <f t="shared" si="11"/>
        <v>1900</v>
      </c>
      <c r="H39" s="110">
        <f t="shared" si="11"/>
        <v>1900</v>
      </c>
      <c r="I39" s="109"/>
      <c r="J39" s="110">
        <f t="shared" si="7"/>
        <v>9619</v>
      </c>
    </row>
    <row r="40" spans="2:11" ht="16" x14ac:dyDescent="0.2">
      <c r="B40" s="143"/>
      <c r="C40" s="86" t="s">
        <v>20</v>
      </c>
      <c r="D40" s="110">
        <f>SUM(D39,D33,D24,D21,D18,D14,D10)</f>
        <v>3068271.4634666666</v>
      </c>
      <c r="E40" s="110">
        <f>SUM(E39,E33,E24,E21,E18,E14,E10)</f>
        <v>2241695.4623706667</v>
      </c>
      <c r="F40" s="110">
        <f>SUM(F39,F33,F24,F21,F18,F14,F10)</f>
        <v>999497.74762554665</v>
      </c>
      <c r="G40" s="110">
        <f>SUM(G39,G33,G24,G21,G18,G14,G10)</f>
        <v>1000668.980054313</v>
      </c>
      <c r="H40" s="110">
        <f>SUM(H39,H33,H24,H21,H18,H14,H10)</f>
        <v>1001875.3494559424</v>
      </c>
      <c r="I40" s="109"/>
      <c r="J40" s="110">
        <f>SUM(J10+J14+J18+J21+J24+J33+J36+J39)</f>
        <v>20077464.002973136</v>
      </c>
    </row>
    <row r="41" spans="2:11" x14ac:dyDescent="0.2">
      <c r="D41" s="119"/>
      <c r="E41" s="119"/>
      <c r="F41" s="119"/>
      <c r="G41" s="119"/>
      <c r="H41" s="119"/>
      <c r="I41" s="119"/>
      <c r="J41" s="119" t="s">
        <v>21</v>
      </c>
    </row>
    <row r="42" spans="2:11" ht="32" x14ac:dyDescent="0.2">
      <c r="B42" s="70" t="s">
        <v>59</v>
      </c>
      <c r="C42" s="17" t="s">
        <v>59</v>
      </c>
      <c r="D42" s="120"/>
      <c r="E42" s="120"/>
      <c r="F42" s="120"/>
      <c r="G42" s="120"/>
      <c r="H42" s="120"/>
      <c r="I42" s="119"/>
      <c r="J42" s="120" t="s">
        <v>21</v>
      </c>
    </row>
    <row r="43" spans="2:11" x14ac:dyDescent="0.2">
      <c r="B43" s="23"/>
      <c r="C43" s="25"/>
      <c r="D43" s="107"/>
      <c r="E43" s="108"/>
      <c r="F43" s="108"/>
      <c r="G43" s="108"/>
      <c r="H43" s="108"/>
      <c r="I43" s="109"/>
      <c r="J43" s="107">
        <f t="shared" ref="J43:J44" si="12">SUM(D43:H43)</f>
        <v>0</v>
      </c>
    </row>
    <row r="44" spans="2:11" s="1" customFormat="1" ht="16" x14ac:dyDescent="0.2">
      <c r="B44" s="24"/>
      <c r="C44" s="9" t="s">
        <v>22</v>
      </c>
      <c r="D44" s="110">
        <f>SUM(D43:D43)</f>
        <v>0</v>
      </c>
      <c r="E44" s="110">
        <f>SUM(E43:E43)</f>
        <v>0</v>
      </c>
      <c r="F44" s="110">
        <f>SUM(F43:F43)</f>
        <v>0</v>
      </c>
      <c r="G44" s="110">
        <f>SUM(G43:G43)</f>
        <v>0</v>
      </c>
      <c r="H44" s="110">
        <f>SUM(H43:H43)</f>
        <v>0</v>
      </c>
      <c r="I44" s="109"/>
      <c r="J44" s="110">
        <f t="shared" si="12"/>
        <v>0</v>
      </c>
    </row>
    <row r="45" spans="2:11" x14ac:dyDescent="0.2">
      <c r="B45" s="6"/>
      <c r="D45"/>
      <c r="E45"/>
      <c r="H45"/>
      <c r="I45"/>
      <c r="J45" t="s">
        <v>21</v>
      </c>
    </row>
    <row r="46" spans="2:11" ht="32" x14ac:dyDescent="0.2">
      <c r="B46" s="19" t="s">
        <v>23</v>
      </c>
      <c r="C46" s="19"/>
      <c r="D46" s="20">
        <f t="shared" ref="D46:J46" si="13">SUM(D44,D40)</f>
        <v>3068271.4634666666</v>
      </c>
      <c r="E46" s="20">
        <f t="shared" si="13"/>
        <v>2241695.4623706667</v>
      </c>
      <c r="F46" s="20">
        <f t="shared" si="13"/>
        <v>999497.74762554665</v>
      </c>
      <c r="G46" s="20">
        <f t="shared" si="13"/>
        <v>1000668.980054313</v>
      </c>
      <c r="H46" s="20">
        <f t="shared" si="13"/>
        <v>1001875.3494559424</v>
      </c>
      <c r="I46" s="7">
        <f t="shared" si="13"/>
        <v>0</v>
      </c>
      <c r="J46" s="20">
        <f t="shared" si="13"/>
        <v>20077464.002973136</v>
      </c>
    </row>
    <row r="47" spans="2:11" x14ac:dyDescent="0.2">
      <c r="B47" s="6"/>
    </row>
    <row r="48" spans="2:11" x14ac:dyDescent="0.2">
      <c r="B48" s="6"/>
    </row>
    <row r="49" spans="2:2" x14ac:dyDescent="0.2">
      <c r="B49" s="6"/>
    </row>
    <row r="50" spans="2:2" x14ac:dyDescent="0.2">
      <c r="B50" s="6"/>
    </row>
    <row r="51" spans="2:2" x14ac:dyDescent="0.2">
      <c r="B51" s="6"/>
    </row>
    <row r="52" spans="2:2" x14ac:dyDescent="0.2">
      <c r="B52" s="6"/>
    </row>
    <row r="53" spans="2:2" x14ac:dyDescent="0.2">
      <c r="B53" s="6"/>
    </row>
    <row r="54" spans="2:2" x14ac:dyDescent="0.2">
      <c r="B54" s="6"/>
    </row>
    <row r="55" spans="2:2" x14ac:dyDescent="0.2">
      <c r="B55" s="6"/>
    </row>
    <row r="56" spans="2:2" x14ac:dyDescent="0.2">
      <c r="B56" s="6"/>
    </row>
    <row r="57" spans="2:2" x14ac:dyDescent="0.2">
      <c r="B57" s="6"/>
    </row>
    <row r="58" spans="2:2" x14ac:dyDescent="0.2">
      <c r="B58" s="6"/>
    </row>
    <row r="59" spans="2:2" x14ac:dyDescent="0.2">
      <c r="B59" s="6"/>
    </row>
  </sheetData>
  <mergeCells count="1">
    <mergeCell ref="B7:B40"/>
  </mergeCells>
  <pageMargins left="0.7" right="0.7" top="0.75" bottom="0.75" header="0.3" footer="0.3"/>
  <pageSetup scale="89" fitToHeight="0" orientation="landscape" r:id="rId1"/>
  <ignoredErrors>
    <ignoredError sqref="J27:J28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34C37-1548-4AC3-B53B-961AC359D6B3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R22" activePane="bottomRight" state="frozen"/>
      <selection pane="topRight" activeCell="R20" sqref="R20:W20"/>
      <selection pane="bottomLeft" activeCell="R20" sqref="R20:W20"/>
      <selection pane="bottomRight" activeCell="W36" sqref="W36"/>
    </sheetView>
  </sheetViews>
  <sheetFormatPr baseColWidth="10" defaultColWidth="9.1640625" defaultRowHeight="15" x14ac:dyDescent="0.2"/>
  <cols>
    <col min="1" max="1" width="3.1640625" customWidth="1"/>
    <col min="2" max="2" width="10" customWidth="1"/>
    <col min="3" max="3" width="46.83203125" customWidth="1"/>
    <col min="4" max="4" width="12.6640625" style="6" customWidth="1"/>
    <col min="5" max="5" width="12.5" style="2" customWidth="1"/>
    <col min="6" max="6" width="12.83203125" customWidth="1"/>
    <col min="7" max="7" width="12.5" customWidth="1"/>
    <col min="8" max="8" width="12.6640625" style="2" customWidth="1"/>
    <col min="9" max="9" width="0.83203125" style="7" customWidth="1"/>
    <col min="10" max="10" width="12.6640625" bestFit="1" customWidth="1"/>
    <col min="11" max="11" width="10.1640625" customWidth="1"/>
  </cols>
  <sheetData>
    <row r="2" spans="2:39" ht="24" x14ac:dyDescent="0.3">
      <c r="B2" s="30" t="s">
        <v>33</v>
      </c>
    </row>
    <row r="3" spans="2:39" x14ac:dyDescent="0.2">
      <c r="B3" s="64" t="s">
        <v>34</v>
      </c>
    </row>
    <row r="4" spans="2:39" x14ac:dyDescent="0.2">
      <c r="B4" s="5"/>
    </row>
    <row r="5" spans="2:39" ht="19" x14ac:dyDescent="0.2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16" x14ac:dyDescent="0.2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ht="16" x14ac:dyDescent="0.2">
      <c r="B7" s="22" t="s">
        <v>11</v>
      </c>
      <c r="C7" s="26" t="s">
        <v>60</v>
      </c>
      <c r="D7" s="10" t="s">
        <v>36</v>
      </c>
      <c r="E7" s="10" t="s">
        <v>36</v>
      </c>
      <c r="F7" s="10" t="s">
        <v>36</v>
      </c>
      <c r="G7" s="10"/>
      <c r="H7" s="10" t="s">
        <v>36</v>
      </c>
      <c r="I7" s="7"/>
      <c r="J7" s="8" t="s">
        <v>36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ht="16" x14ac:dyDescent="0.2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ht="16" x14ac:dyDescent="0.2">
      <c r="B12" s="23"/>
      <c r="C12" s="14" t="s">
        <v>39</v>
      </c>
      <c r="D12" s="13" t="s">
        <v>36</v>
      </c>
      <c r="E12" s="10"/>
      <c r="F12" s="10"/>
      <c r="G12" s="10"/>
      <c r="H12" s="10"/>
      <c r="J12" s="8" t="s">
        <v>36</v>
      </c>
    </row>
    <row r="13" spans="2:39" x14ac:dyDescent="0.2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ht="16" x14ac:dyDescent="0.2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ht="16" x14ac:dyDescent="0.2">
      <c r="B17" s="23"/>
      <c r="C17" s="14" t="s">
        <v>41</v>
      </c>
      <c r="D17" s="13" t="s">
        <v>36</v>
      </c>
      <c r="E17" s="10"/>
      <c r="F17" s="10"/>
      <c r="G17" s="10"/>
      <c r="H17" s="10"/>
      <c r="J17" s="8" t="s">
        <v>36</v>
      </c>
    </row>
    <row r="18" spans="2:10" x14ac:dyDescent="0.2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ht="16" x14ac:dyDescent="0.2">
      <c r="B19" s="23"/>
      <c r="C19" s="29"/>
      <c r="D19" s="15" t="s">
        <v>63</v>
      </c>
      <c r="E19" s="11" t="s">
        <v>63</v>
      </c>
      <c r="F19" s="11" t="s">
        <v>63</v>
      </c>
      <c r="G19" s="11"/>
      <c r="H19" s="11"/>
      <c r="J19" s="15">
        <f t="shared" si="3"/>
        <v>0</v>
      </c>
    </row>
    <row r="20" spans="2:10" x14ac:dyDescent="0.2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2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2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2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2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2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ht="16" x14ac:dyDescent="0.2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ht="16" x14ac:dyDescent="0.2">
      <c r="B28" s="23"/>
      <c r="C28" s="14" t="s">
        <v>44</v>
      </c>
      <c r="D28" s="15"/>
      <c r="E28" s="10"/>
      <c r="F28" s="10"/>
      <c r="G28" s="10"/>
      <c r="H28" s="10"/>
      <c r="J28" s="15" t="s">
        <v>21</v>
      </c>
    </row>
    <row r="29" spans="2:10" x14ac:dyDescent="0.2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ht="16" x14ac:dyDescent="0.2">
      <c r="B30" s="23" t="s">
        <v>63</v>
      </c>
      <c r="C30" s="28" t="s">
        <v>63</v>
      </c>
      <c r="D30" s="13" t="s">
        <v>36</v>
      </c>
      <c r="E30" s="10"/>
      <c r="F30" s="10"/>
      <c r="G30" s="10"/>
      <c r="H30" s="10"/>
      <c r="J30" s="15">
        <f t="shared" ref="J30:J50" si="6">SUM(D30:H30)</f>
        <v>0</v>
      </c>
    </row>
    <row r="31" spans="2:10" ht="16" x14ac:dyDescent="0.2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ht="16" x14ac:dyDescent="0.2">
      <c r="B32" s="23"/>
      <c r="C32" s="14" t="s">
        <v>46</v>
      </c>
      <c r="D32" s="13" t="s">
        <v>36</v>
      </c>
      <c r="E32" s="10"/>
      <c r="F32" s="10"/>
      <c r="G32" s="10"/>
      <c r="H32" s="10"/>
      <c r="J32" s="15"/>
    </row>
    <row r="33" spans="2:10" x14ac:dyDescent="0.2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2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ht="16" x14ac:dyDescent="0.2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ht="16" x14ac:dyDescent="0.2">
      <c r="B36" s="23"/>
      <c r="C36" s="14" t="s">
        <v>47</v>
      </c>
      <c r="D36" s="13" t="s">
        <v>36</v>
      </c>
      <c r="E36" s="10"/>
      <c r="F36" s="10"/>
      <c r="G36" s="10"/>
      <c r="H36" s="10"/>
      <c r="J36" s="15"/>
    </row>
    <row r="37" spans="2:10" x14ac:dyDescent="0.2">
      <c r="B37" s="23"/>
      <c r="C37" s="25"/>
      <c r="D37" s="15"/>
      <c r="E37" s="15"/>
      <c r="F37" s="15"/>
      <c r="G37" s="15"/>
      <c r="H37" s="15"/>
      <c r="I37" s="35">
        <v>5106000</v>
      </c>
      <c r="J37" s="15">
        <f t="shared" si="6"/>
        <v>0</v>
      </c>
    </row>
    <row r="38" spans="2:10" x14ac:dyDescent="0.2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2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2">
      <c r="B40" s="23"/>
      <c r="C40" s="25"/>
      <c r="D40" s="15"/>
      <c r="E40" s="11"/>
      <c r="F40" s="11"/>
      <c r="G40" s="11"/>
      <c r="H40" s="11"/>
      <c r="J40" s="15">
        <f t="shared" si="6"/>
        <v>0</v>
      </c>
    </row>
    <row r="41" spans="2:10" ht="16" x14ac:dyDescent="0.2">
      <c r="B41" s="23"/>
      <c r="C41" s="9" t="s">
        <v>78</v>
      </c>
      <c r="D41" s="16">
        <f>SUM(D37:D40)</f>
        <v>0</v>
      </c>
      <c r="E41" s="16">
        <f t="shared" ref="E41:H41" si="9">SUM(E37:E40)</f>
        <v>0</v>
      </c>
      <c r="F41" s="16">
        <f t="shared" si="9"/>
        <v>0</v>
      </c>
      <c r="G41" s="16">
        <f t="shared" si="9"/>
        <v>0</v>
      </c>
      <c r="H41" s="16">
        <f t="shared" si="9"/>
        <v>0</v>
      </c>
      <c r="J41" s="16">
        <f t="shared" si="6"/>
        <v>0</v>
      </c>
    </row>
    <row r="42" spans="2:10" ht="16" x14ac:dyDescent="0.2">
      <c r="B42" s="23"/>
      <c r="C42" s="14" t="s">
        <v>79</v>
      </c>
      <c r="D42" s="13" t="s">
        <v>36</v>
      </c>
      <c r="E42" s="10"/>
      <c r="F42" s="10"/>
      <c r="G42" s="10"/>
      <c r="H42" s="10"/>
      <c r="J42" s="15"/>
    </row>
    <row r="43" spans="2:10" x14ac:dyDescent="0.2">
      <c r="B43" s="23"/>
      <c r="C43" s="25"/>
      <c r="D43" s="15"/>
      <c r="E43" s="15"/>
      <c r="F43" s="15"/>
      <c r="G43" s="15"/>
      <c r="H43" s="15"/>
      <c r="I43" s="35">
        <v>375000</v>
      </c>
      <c r="J43" s="15">
        <f t="shared" si="6"/>
        <v>0</v>
      </c>
    </row>
    <row r="44" spans="2:10" x14ac:dyDescent="0.2">
      <c r="B44" s="23"/>
      <c r="C44" s="25"/>
      <c r="D44" s="15"/>
      <c r="E44" s="15"/>
      <c r="F44" s="15"/>
      <c r="G44" s="15"/>
      <c r="H44" s="15"/>
      <c r="I44" s="35">
        <v>781250</v>
      </c>
      <c r="J44" s="15">
        <f t="shared" si="6"/>
        <v>0</v>
      </c>
    </row>
    <row r="45" spans="2:10" x14ac:dyDescent="0.2">
      <c r="B45" s="23"/>
      <c r="C45" s="25"/>
      <c r="D45" s="15"/>
      <c r="E45" s="15"/>
      <c r="F45" s="15"/>
      <c r="G45" s="15"/>
      <c r="H45" s="15"/>
      <c r="I45" s="35">
        <v>2083335</v>
      </c>
      <c r="J45" s="15">
        <f t="shared" si="6"/>
        <v>0</v>
      </c>
    </row>
    <row r="46" spans="2:10" x14ac:dyDescent="0.2">
      <c r="B46" s="23"/>
      <c r="C46" s="25"/>
      <c r="D46" s="15"/>
      <c r="E46" s="11"/>
      <c r="F46" s="11"/>
      <c r="G46" s="11"/>
      <c r="H46" s="11"/>
      <c r="J46" s="15">
        <f t="shared" si="6"/>
        <v>0</v>
      </c>
    </row>
    <row r="47" spans="2:10" x14ac:dyDescent="0.2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">
      <c r="B48" s="23"/>
      <c r="C48" s="10"/>
      <c r="D48" s="15"/>
      <c r="E48" s="11"/>
      <c r="F48" s="11"/>
      <c r="G48" s="11"/>
      <c r="H48" s="11"/>
      <c r="J48" s="15">
        <f t="shared" si="6"/>
        <v>0</v>
      </c>
    </row>
    <row r="49" spans="2:10" ht="16" x14ac:dyDescent="0.2">
      <c r="B49" s="24"/>
      <c r="C49" s="9" t="s">
        <v>19</v>
      </c>
      <c r="D49" s="16">
        <f>SUM(D43:D48)</f>
        <v>0</v>
      </c>
      <c r="E49" s="16">
        <f t="shared" ref="E49:H49" si="10">SUM(E43:E48)</f>
        <v>0</v>
      </c>
      <c r="F49" s="16">
        <f t="shared" si="10"/>
        <v>0</v>
      </c>
      <c r="G49" s="16">
        <f t="shared" si="10"/>
        <v>0</v>
      </c>
      <c r="H49" s="16">
        <f t="shared" si="10"/>
        <v>0</v>
      </c>
      <c r="J49" s="16">
        <f t="shared" si="6"/>
        <v>0</v>
      </c>
    </row>
    <row r="50" spans="2:10" ht="16" x14ac:dyDescent="0.2">
      <c r="B50" s="24"/>
      <c r="C50" s="9" t="s">
        <v>20</v>
      </c>
      <c r="D50" s="16">
        <f>SUM(D49,D41,D35,D31,D27,D16,D11)</f>
        <v>0</v>
      </c>
      <c r="E50" s="16">
        <f t="shared" ref="E50:H50" si="11">SUM(E49,E41,E35,E31,E27,E16,E11)</f>
        <v>0</v>
      </c>
      <c r="F50" s="16">
        <f t="shared" si="11"/>
        <v>0</v>
      </c>
      <c r="G50" s="16">
        <f t="shared" si="11"/>
        <v>0</v>
      </c>
      <c r="H50" s="16">
        <f t="shared" si="11"/>
        <v>0</v>
      </c>
      <c r="J50" s="16">
        <f t="shared" si="6"/>
        <v>0</v>
      </c>
    </row>
    <row r="51" spans="2:10" x14ac:dyDescent="0.2">
      <c r="B51" s="6"/>
      <c r="D51"/>
      <c r="E51"/>
      <c r="H51"/>
      <c r="I51"/>
      <c r="J51" t="s">
        <v>21</v>
      </c>
    </row>
    <row r="52" spans="2:10" ht="32" x14ac:dyDescent="0.2">
      <c r="B52" s="70" t="s">
        <v>59</v>
      </c>
      <c r="C52" s="17" t="s">
        <v>59</v>
      </c>
      <c r="D52" s="18"/>
      <c r="E52" s="18"/>
      <c r="F52" s="18"/>
      <c r="G52" s="18"/>
      <c r="H52" s="18"/>
      <c r="I52"/>
      <c r="J52" s="18" t="s">
        <v>21</v>
      </c>
    </row>
    <row r="53" spans="2:10" x14ac:dyDescent="0.2">
      <c r="B53" s="23"/>
      <c r="C53" s="25"/>
      <c r="D53" s="13"/>
      <c r="E53" s="10"/>
      <c r="F53" s="10"/>
      <c r="G53" s="10"/>
      <c r="H53" s="10"/>
      <c r="J53" s="15">
        <f>SUM(D53:H53)</f>
        <v>0</v>
      </c>
    </row>
    <row r="54" spans="2:10" x14ac:dyDescent="0.2">
      <c r="B54" s="23"/>
      <c r="C54" s="25"/>
      <c r="D54" s="13"/>
      <c r="E54" s="10"/>
      <c r="F54" s="10"/>
      <c r="G54" s="10"/>
      <c r="H54" s="10"/>
      <c r="J54" s="15">
        <f t="shared" ref="J54:J55" si="12">SUM(D54:H54)</f>
        <v>0</v>
      </c>
    </row>
    <row r="55" spans="2:10" ht="16" x14ac:dyDescent="0.2">
      <c r="B55" s="24"/>
      <c r="C55" s="9" t="s">
        <v>22</v>
      </c>
      <c r="D55" s="16">
        <f>SUM(D53:D54)</f>
        <v>0</v>
      </c>
      <c r="E55" s="16">
        <f t="shared" ref="E55:H55" si="13">SUM(E53:E54)</f>
        <v>0</v>
      </c>
      <c r="F55" s="16">
        <f t="shared" si="13"/>
        <v>0</v>
      </c>
      <c r="G55" s="16">
        <f t="shared" si="13"/>
        <v>0</v>
      </c>
      <c r="H55" s="16">
        <f t="shared" si="13"/>
        <v>0</v>
      </c>
      <c r="J55" s="16">
        <f t="shared" si="12"/>
        <v>0</v>
      </c>
    </row>
    <row r="56" spans="2:10" ht="16" thickBot="1" x14ac:dyDescent="0.25">
      <c r="B56" s="6"/>
      <c r="D56"/>
      <c r="E56"/>
      <c r="H56"/>
      <c r="I56"/>
      <c r="J56" t="s">
        <v>21</v>
      </c>
    </row>
    <row r="57" spans="2:10" s="1" customFormat="1" ht="33" thickBot="1" x14ac:dyDescent="0.25">
      <c r="B57" s="19" t="s">
        <v>23</v>
      </c>
      <c r="C57" s="19"/>
      <c r="D57" s="20">
        <f>SUM(D55,D50)</f>
        <v>0</v>
      </c>
      <c r="E57" s="20">
        <f t="shared" ref="E57:J57" si="14">SUM(E55,E50)</f>
        <v>0</v>
      </c>
      <c r="F57" s="20">
        <f t="shared" si="14"/>
        <v>0</v>
      </c>
      <c r="G57" s="20">
        <f t="shared" si="14"/>
        <v>0</v>
      </c>
      <c r="H57" s="20">
        <f t="shared" si="14"/>
        <v>0</v>
      </c>
      <c r="I57" s="7">
        <f>SUM(I55,I50)</f>
        <v>0</v>
      </c>
      <c r="J57" s="20">
        <f t="shared" si="14"/>
        <v>0</v>
      </c>
    </row>
    <row r="58" spans="2:10" x14ac:dyDescent="0.2">
      <c r="B58" s="6"/>
    </row>
    <row r="59" spans="2:10" x14ac:dyDescent="0.2">
      <c r="B59" s="6"/>
    </row>
    <row r="60" spans="2:10" x14ac:dyDescent="0.2">
      <c r="B60" s="6"/>
    </row>
    <row r="61" spans="2:10" x14ac:dyDescent="0.2">
      <c r="B61" s="6"/>
    </row>
    <row r="62" spans="2:10" x14ac:dyDescent="0.2">
      <c r="B62" s="6"/>
    </row>
    <row r="63" spans="2:10" x14ac:dyDescent="0.2">
      <c r="B63" s="6"/>
    </row>
    <row r="64" spans="2:10" x14ac:dyDescent="0.2">
      <c r="B64" s="6"/>
    </row>
    <row r="65" spans="2:2" x14ac:dyDescent="0.2">
      <c r="B65" s="6"/>
    </row>
    <row r="66" spans="2:2" x14ac:dyDescent="0.2">
      <c r="B66" s="6"/>
    </row>
    <row r="67" spans="2:2" x14ac:dyDescent="0.2">
      <c r="B67" s="6"/>
    </row>
    <row r="68" spans="2:2" x14ac:dyDescent="0.2">
      <c r="B68" s="6"/>
    </row>
    <row r="69" spans="2:2" x14ac:dyDescent="0.2">
      <c r="B69" s="6"/>
    </row>
    <row r="70" spans="2:2" x14ac:dyDescent="0.2">
      <c r="B70" s="6"/>
    </row>
    <row r="71" spans="2:2" x14ac:dyDescent="0.2">
      <c r="B71" s="6"/>
    </row>
    <row r="72" spans="2:2" x14ac:dyDescent="0.2">
      <c r="B72" s="6"/>
    </row>
  </sheetData>
  <pageMargins left="0.7" right="0.7" top="0.75" bottom="0.75" header="0.3" footer="0.3"/>
  <pageSetup scale="89" fitToHeight="0" orientation="landscape" r:id="rId1"/>
  <ignoredErrors>
    <ignoredError sqref="J8 J20:J26 J33 J37:J39 J43:J45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9BCA6-00E8-466E-B7CB-7CE5A657A5FA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R20" activePane="bottomRight" state="frozen"/>
      <selection pane="topRight" activeCell="R20" sqref="R20:W20"/>
      <selection pane="bottomLeft" activeCell="R20" sqref="R20:W20"/>
      <selection pane="bottomRight" activeCell="R20" sqref="R20:W20"/>
    </sheetView>
  </sheetViews>
  <sheetFormatPr baseColWidth="10" defaultColWidth="9.1640625" defaultRowHeight="15" x14ac:dyDescent="0.2"/>
  <cols>
    <col min="1" max="1" width="3.1640625" customWidth="1"/>
    <col min="2" max="2" width="11.1640625" customWidth="1"/>
    <col min="3" max="3" width="46.5" customWidth="1"/>
    <col min="4" max="4" width="13.33203125" style="6" customWidth="1"/>
    <col min="5" max="5" width="13.1640625" style="2" customWidth="1"/>
    <col min="6" max="7" width="13.1640625" customWidth="1"/>
    <col min="8" max="8" width="12.83203125" style="2" customWidth="1"/>
    <col min="9" max="9" width="0.83203125" style="7" customWidth="1"/>
    <col min="10" max="10" width="14.5" customWidth="1"/>
    <col min="11" max="11" width="10.1640625" customWidth="1"/>
  </cols>
  <sheetData>
    <row r="2" spans="2:39" ht="24" x14ac:dyDescent="0.3">
      <c r="B2" s="30" t="s">
        <v>33</v>
      </c>
    </row>
    <row r="3" spans="2:39" x14ac:dyDescent="0.2">
      <c r="B3" s="64" t="s">
        <v>34</v>
      </c>
    </row>
    <row r="4" spans="2:39" x14ac:dyDescent="0.2">
      <c r="B4" s="5"/>
    </row>
    <row r="5" spans="2:39" ht="19" x14ac:dyDescent="0.2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16" x14ac:dyDescent="0.2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ht="16" x14ac:dyDescent="0.2">
      <c r="B7" s="22" t="s">
        <v>11</v>
      </c>
      <c r="C7" s="26" t="s">
        <v>60</v>
      </c>
      <c r="D7" s="10" t="s">
        <v>36</v>
      </c>
      <c r="E7" s="10" t="s">
        <v>36</v>
      </c>
      <c r="F7" s="10" t="s">
        <v>36</v>
      </c>
      <c r="G7" s="10"/>
      <c r="H7" s="10" t="s">
        <v>36</v>
      </c>
      <c r="I7" s="7"/>
      <c r="J7" s="8" t="s">
        <v>36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ht="16" x14ac:dyDescent="0.2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ht="16" x14ac:dyDescent="0.2">
      <c r="B12" s="23"/>
      <c r="C12" s="14" t="s">
        <v>39</v>
      </c>
      <c r="D12" s="13" t="s">
        <v>36</v>
      </c>
      <c r="E12" s="10"/>
      <c r="F12" s="10"/>
      <c r="G12" s="10"/>
      <c r="H12" s="10"/>
      <c r="J12" s="8" t="s">
        <v>36</v>
      </c>
    </row>
    <row r="13" spans="2:39" x14ac:dyDescent="0.2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ht="16" x14ac:dyDescent="0.2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ht="16" x14ac:dyDescent="0.2">
      <c r="B17" s="23"/>
      <c r="C17" s="14" t="s">
        <v>41</v>
      </c>
      <c r="D17" s="13" t="s">
        <v>36</v>
      </c>
      <c r="E17" s="10"/>
      <c r="F17" s="10"/>
      <c r="G17" s="10"/>
      <c r="H17" s="10"/>
      <c r="J17" s="8" t="s">
        <v>36</v>
      </c>
    </row>
    <row r="18" spans="2:10" x14ac:dyDescent="0.2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2">
      <c r="B19" s="23"/>
      <c r="C19" s="29"/>
      <c r="D19" s="15"/>
      <c r="E19" s="11"/>
      <c r="F19" s="11"/>
      <c r="G19" s="11"/>
      <c r="H19" s="11"/>
      <c r="J19" s="15">
        <f t="shared" si="3"/>
        <v>0</v>
      </c>
    </row>
    <row r="20" spans="2:10" x14ac:dyDescent="0.2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2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2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2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2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2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ht="16" x14ac:dyDescent="0.2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ht="16" x14ac:dyDescent="0.2">
      <c r="B28" s="23"/>
      <c r="C28" s="14" t="s">
        <v>44</v>
      </c>
      <c r="D28" s="15"/>
      <c r="E28" s="10"/>
      <c r="F28" s="10"/>
      <c r="G28" s="10"/>
      <c r="H28" s="10"/>
      <c r="J28" s="15" t="s">
        <v>21</v>
      </c>
    </row>
    <row r="29" spans="2:10" x14ac:dyDescent="0.2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ht="16" x14ac:dyDescent="0.2">
      <c r="B30" s="23" t="s">
        <v>63</v>
      </c>
      <c r="C30" s="28" t="s">
        <v>63</v>
      </c>
      <c r="D30" s="13" t="s">
        <v>36</v>
      </c>
      <c r="E30" s="10"/>
      <c r="F30" s="10"/>
      <c r="G30" s="10"/>
      <c r="H30" s="10"/>
      <c r="J30" s="15">
        <f t="shared" ref="J30:J50" si="6">SUM(D30:H30)</f>
        <v>0</v>
      </c>
    </row>
    <row r="31" spans="2:10" ht="16" x14ac:dyDescent="0.2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ht="16" x14ac:dyDescent="0.2">
      <c r="B32" s="23"/>
      <c r="C32" s="14" t="s">
        <v>46</v>
      </c>
      <c r="D32" s="13" t="s">
        <v>36</v>
      </c>
      <c r="E32" s="10"/>
      <c r="F32" s="10"/>
      <c r="G32" s="10"/>
      <c r="H32" s="10"/>
      <c r="J32" s="15"/>
    </row>
    <row r="33" spans="2:10" x14ac:dyDescent="0.2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2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ht="16" x14ac:dyDescent="0.2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ht="16" x14ac:dyDescent="0.2">
      <c r="B36" s="23"/>
      <c r="C36" s="14" t="s">
        <v>47</v>
      </c>
      <c r="D36" s="13" t="s">
        <v>36</v>
      </c>
      <c r="E36" s="10"/>
      <c r="F36" s="10"/>
      <c r="G36" s="10"/>
      <c r="H36" s="10"/>
      <c r="J36" s="15"/>
    </row>
    <row r="37" spans="2:10" x14ac:dyDescent="0.2">
      <c r="B37" s="23"/>
      <c r="C37" s="25"/>
      <c r="D37" s="15"/>
      <c r="E37" s="15"/>
      <c r="F37" s="15"/>
      <c r="G37" s="15"/>
      <c r="H37" s="15"/>
      <c r="I37" s="35">
        <v>5106000</v>
      </c>
      <c r="J37" s="15">
        <f t="shared" si="6"/>
        <v>0</v>
      </c>
    </row>
    <row r="38" spans="2:10" x14ac:dyDescent="0.2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2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2">
      <c r="B40" s="23"/>
      <c r="C40" s="25"/>
      <c r="D40" s="15"/>
      <c r="E40" s="11"/>
      <c r="F40" s="11"/>
      <c r="G40" s="11"/>
      <c r="H40" s="11"/>
      <c r="J40" s="15">
        <f t="shared" si="6"/>
        <v>0</v>
      </c>
    </row>
    <row r="41" spans="2:10" ht="16" x14ac:dyDescent="0.2">
      <c r="B41" s="23"/>
      <c r="C41" s="9" t="s">
        <v>17</v>
      </c>
      <c r="D41" s="16">
        <f>SUM(D37:D40)</f>
        <v>0</v>
      </c>
      <c r="E41" s="16">
        <f t="shared" ref="E41:H41" si="9">SUM(E37:E40)</f>
        <v>0</v>
      </c>
      <c r="F41" s="16">
        <f t="shared" si="9"/>
        <v>0</v>
      </c>
      <c r="G41" s="16">
        <f t="shared" si="9"/>
        <v>0</v>
      </c>
      <c r="H41" s="16">
        <f t="shared" si="9"/>
        <v>0</v>
      </c>
      <c r="J41" s="16">
        <f t="shared" si="6"/>
        <v>0</v>
      </c>
    </row>
    <row r="42" spans="2:10" ht="16" x14ac:dyDescent="0.2">
      <c r="B42" s="23"/>
      <c r="C42" s="14" t="s">
        <v>58</v>
      </c>
      <c r="D42" s="13" t="s">
        <v>36</v>
      </c>
      <c r="E42" s="10"/>
      <c r="F42" s="10"/>
      <c r="G42" s="10"/>
      <c r="H42" s="10"/>
      <c r="J42" s="15"/>
    </row>
    <row r="43" spans="2:10" x14ac:dyDescent="0.2">
      <c r="B43" s="23"/>
      <c r="C43" s="25"/>
      <c r="D43" s="15"/>
      <c r="E43" s="15"/>
      <c r="F43" s="15"/>
      <c r="G43" s="15"/>
      <c r="H43" s="15"/>
      <c r="I43" s="35">
        <v>375000</v>
      </c>
      <c r="J43" s="15">
        <f t="shared" si="6"/>
        <v>0</v>
      </c>
    </row>
    <row r="44" spans="2:10" x14ac:dyDescent="0.2">
      <c r="B44" s="23"/>
      <c r="C44" s="25"/>
      <c r="D44" s="15"/>
      <c r="E44" s="15"/>
      <c r="F44" s="15"/>
      <c r="G44" s="15"/>
      <c r="H44" s="15"/>
      <c r="I44" s="35">
        <v>781250</v>
      </c>
      <c r="J44" s="15">
        <f t="shared" si="6"/>
        <v>0</v>
      </c>
    </row>
    <row r="45" spans="2:10" x14ac:dyDescent="0.2">
      <c r="B45" s="23"/>
      <c r="C45" s="25"/>
      <c r="D45" s="15"/>
      <c r="E45" s="15"/>
      <c r="F45" s="15"/>
      <c r="G45" s="15"/>
      <c r="H45" s="15"/>
      <c r="I45" s="35">
        <v>2083335</v>
      </c>
      <c r="J45" s="15">
        <f t="shared" si="6"/>
        <v>0</v>
      </c>
    </row>
    <row r="46" spans="2:10" x14ac:dyDescent="0.2">
      <c r="B46" s="23"/>
      <c r="C46" s="25"/>
      <c r="D46" s="15"/>
      <c r="E46" s="11"/>
      <c r="F46" s="11"/>
      <c r="G46" s="11"/>
      <c r="H46" s="11"/>
      <c r="J46" s="15">
        <f t="shared" si="6"/>
        <v>0</v>
      </c>
    </row>
    <row r="47" spans="2:10" x14ac:dyDescent="0.2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">
      <c r="B48" s="23"/>
      <c r="C48" s="10"/>
      <c r="D48" s="15"/>
      <c r="E48" s="11"/>
      <c r="F48" s="11"/>
      <c r="G48" s="11"/>
      <c r="H48" s="11"/>
      <c r="J48" s="15">
        <f t="shared" si="6"/>
        <v>0</v>
      </c>
    </row>
    <row r="49" spans="2:10" ht="16" x14ac:dyDescent="0.2">
      <c r="B49" s="24"/>
      <c r="C49" s="9" t="s">
        <v>19</v>
      </c>
      <c r="D49" s="16">
        <f>SUM(D43:D48)</f>
        <v>0</v>
      </c>
      <c r="E49" s="16">
        <f t="shared" ref="E49:H49" si="10">SUM(E43:E48)</f>
        <v>0</v>
      </c>
      <c r="F49" s="16">
        <f t="shared" si="10"/>
        <v>0</v>
      </c>
      <c r="G49" s="16">
        <f t="shared" si="10"/>
        <v>0</v>
      </c>
      <c r="H49" s="16">
        <f t="shared" si="10"/>
        <v>0</v>
      </c>
      <c r="J49" s="16">
        <f t="shared" si="6"/>
        <v>0</v>
      </c>
    </row>
    <row r="50" spans="2:10" ht="16" x14ac:dyDescent="0.2">
      <c r="B50" s="24"/>
      <c r="C50" s="9" t="s">
        <v>20</v>
      </c>
      <c r="D50" s="16">
        <f>SUM(D49,D41,D35,D31,D27,D16,D11)</f>
        <v>0</v>
      </c>
      <c r="E50" s="16">
        <f t="shared" ref="E50:H50" si="11">SUM(E49,E41,E35,E31,E27,E16,E11)</f>
        <v>0</v>
      </c>
      <c r="F50" s="16">
        <f t="shared" si="11"/>
        <v>0</v>
      </c>
      <c r="G50" s="16">
        <f t="shared" si="11"/>
        <v>0</v>
      </c>
      <c r="H50" s="16">
        <f t="shared" si="11"/>
        <v>0</v>
      </c>
      <c r="J50" s="16">
        <f t="shared" si="6"/>
        <v>0</v>
      </c>
    </row>
    <row r="51" spans="2:10" x14ac:dyDescent="0.2">
      <c r="B51" s="6"/>
      <c r="D51"/>
      <c r="E51"/>
      <c r="H51"/>
      <c r="I51"/>
      <c r="J51" t="s">
        <v>21</v>
      </c>
    </row>
    <row r="52" spans="2:10" ht="32" x14ac:dyDescent="0.2">
      <c r="B52" s="70" t="s">
        <v>59</v>
      </c>
      <c r="C52" s="17" t="s">
        <v>59</v>
      </c>
      <c r="D52" s="18"/>
      <c r="E52" s="18"/>
      <c r="F52" s="18"/>
      <c r="G52" s="18"/>
      <c r="H52" s="18"/>
      <c r="I52"/>
      <c r="J52" s="18" t="s">
        <v>21</v>
      </c>
    </row>
    <row r="53" spans="2:10" x14ac:dyDescent="0.2">
      <c r="B53" s="23"/>
      <c r="C53" s="25"/>
      <c r="D53" s="13"/>
      <c r="E53" s="10"/>
      <c r="F53" s="10"/>
      <c r="G53" s="10"/>
      <c r="H53" s="10"/>
      <c r="J53" s="15">
        <f>SUM(D53:H53)</f>
        <v>0</v>
      </c>
    </row>
    <row r="54" spans="2:10" x14ac:dyDescent="0.2">
      <c r="B54" s="23"/>
      <c r="C54" s="25"/>
      <c r="D54" s="13"/>
      <c r="E54" s="10"/>
      <c r="F54" s="10"/>
      <c r="G54" s="10"/>
      <c r="H54" s="10"/>
      <c r="J54" s="15">
        <f t="shared" ref="J54:J55" si="12">SUM(D54:H54)</f>
        <v>0</v>
      </c>
    </row>
    <row r="55" spans="2:10" ht="16" x14ac:dyDescent="0.2">
      <c r="B55" s="24"/>
      <c r="C55" s="9" t="s">
        <v>22</v>
      </c>
      <c r="D55" s="16">
        <f>SUM(D53:D54)</f>
        <v>0</v>
      </c>
      <c r="E55" s="16">
        <f t="shared" ref="E55:H55" si="13">SUM(E53:E54)</f>
        <v>0</v>
      </c>
      <c r="F55" s="16">
        <f t="shared" si="13"/>
        <v>0</v>
      </c>
      <c r="G55" s="16">
        <f t="shared" si="13"/>
        <v>0</v>
      </c>
      <c r="H55" s="16">
        <f t="shared" si="13"/>
        <v>0</v>
      </c>
      <c r="J55" s="16">
        <f t="shared" si="12"/>
        <v>0</v>
      </c>
    </row>
    <row r="56" spans="2:10" ht="16" thickBot="1" x14ac:dyDescent="0.25">
      <c r="B56" s="6"/>
      <c r="D56"/>
      <c r="E56"/>
      <c r="H56"/>
      <c r="I56"/>
      <c r="J56" t="s">
        <v>21</v>
      </c>
    </row>
    <row r="57" spans="2:10" s="1" customFormat="1" ht="33" thickBot="1" x14ac:dyDescent="0.25">
      <c r="B57" s="19" t="s">
        <v>23</v>
      </c>
      <c r="C57" s="19"/>
      <c r="D57" s="20">
        <f>SUM(D55,D50)</f>
        <v>0</v>
      </c>
      <c r="E57" s="20">
        <f t="shared" ref="E57:J57" si="14">SUM(E55,E50)</f>
        <v>0</v>
      </c>
      <c r="F57" s="20">
        <f t="shared" si="14"/>
        <v>0</v>
      </c>
      <c r="G57" s="20">
        <f t="shared" si="14"/>
        <v>0</v>
      </c>
      <c r="H57" s="20">
        <f t="shared" si="14"/>
        <v>0</v>
      </c>
      <c r="I57" s="7">
        <f>SUM(I55,I50)</f>
        <v>0</v>
      </c>
      <c r="J57" s="20">
        <f t="shared" si="14"/>
        <v>0</v>
      </c>
    </row>
    <row r="58" spans="2:10" x14ac:dyDescent="0.2">
      <c r="B58" s="6"/>
    </row>
    <row r="59" spans="2:10" x14ac:dyDescent="0.2">
      <c r="B59" s="6"/>
    </row>
    <row r="60" spans="2:10" x14ac:dyDescent="0.2">
      <c r="B60" s="6"/>
    </row>
    <row r="61" spans="2:10" x14ac:dyDescent="0.2">
      <c r="B61" s="6"/>
    </row>
    <row r="62" spans="2:10" x14ac:dyDescent="0.2">
      <c r="B62" s="6"/>
    </row>
    <row r="63" spans="2:10" x14ac:dyDescent="0.2">
      <c r="B63" s="6"/>
    </row>
    <row r="64" spans="2:10" x14ac:dyDescent="0.2">
      <c r="B64" s="6"/>
    </row>
    <row r="65" spans="2:2" x14ac:dyDescent="0.2">
      <c r="B65" s="6"/>
    </row>
    <row r="66" spans="2:2" x14ac:dyDescent="0.2">
      <c r="B66" s="6"/>
    </row>
    <row r="67" spans="2:2" x14ac:dyDescent="0.2">
      <c r="B67" s="6"/>
    </row>
    <row r="68" spans="2:2" x14ac:dyDescent="0.2">
      <c r="B68" s="6"/>
    </row>
    <row r="69" spans="2:2" x14ac:dyDescent="0.2">
      <c r="B69" s="6"/>
    </row>
    <row r="70" spans="2:2" x14ac:dyDescent="0.2">
      <c r="B70" s="6"/>
    </row>
    <row r="71" spans="2:2" x14ac:dyDescent="0.2">
      <c r="B71" s="6"/>
    </row>
    <row r="72" spans="2:2" x14ac:dyDescent="0.2">
      <c r="B72" s="6"/>
    </row>
  </sheetData>
  <pageMargins left="0.7" right="0.7" top="0.75" bottom="0.75" header="0.3" footer="0.3"/>
  <pageSetup scale="86" fitToHeight="0" orientation="landscape" r:id="rId1"/>
  <ignoredErrors>
    <ignoredError sqref="J43:J45 J37:J39 J33 J20:J26 J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C77918-A5C8-471B-8BDC-AE779557A6B7}">
  <sheetPr>
    <tabColor theme="7" tint="0.59999389629810485"/>
  </sheetPr>
  <dimension ref="B2:AM68"/>
  <sheetViews>
    <sheetView showGridLines="0" topLeftCell="C8" zoomScale="85" zoomScaleNormal="85" workbookViewId="0">
      <selection activeCell="C8" sqref="C8"/>
    </sheetView>
  </sheetViews>
  <sheetFormatPr baseColWidth="10" defaultColWidth="9.1640625" defaultRowHeight="15" x14ac:dyDescent="0.2"/>
  <cols>
    <col min="1" max="1" width="3.1640625" customWidth="1"/>
    <col min="2" max="2" width="12.1640625" customWidth="1"/>
    <col min="3" max="3" width="52.83203125" customWidth="1"/>
    <col min="4" max="4" width="12.5" style="6" customWidth="1"/>
    <col min="5" max="5" width="12.5" style="2" customWidth="1"/>
    <col min="6" max="6" width="12.5" customWidth="1"/>
    <col min="7" max="7" width="13" customWidth="1"/>
    <col min="8" max="8" width="12.5" style="2" customWidth="1"/>
    <col min="9" max="9" width="1.6640625" style="7" customWidth="1"/>
    <col min="10" max="10" width="14.5" customWidth="1"/>
    <col min="11" max="11" width="10.1640625" customWidth="1"/>
  </cols>
  <sheetData>
    <row r="2" spans="2:39" ht="24" x14ac:dyDescent="0.3">
      <c r="B2" s="30" t="s">
        <v>33</v>
      </c>
    </row>
    <row r="3" spans="2:39" x14ac:dyDescent="0.2">
      <c r="B3" s="5"/>
    </row>
    <row r="4" spans="2:39" x14ac:dyDescent="0.2">
      <c r="B4" s="5"/>
    </row>
    <row r="5" spans="2:39" ht="19" x14ac:dyDescent="0.2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16" x14ac:dyDescent="0.2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ht="16" x14ac:dyDescent="0.2">
      <c r="B7" s="22" t="s">
        <v>11</v>
      </c>
      <c r="C7" s="26" t="s">
        <v>60</v>
      </c>
      <c r="D7" s="10" t="s">
        <v>36</v>
      </c>
      <c r="E7" s="10" t="s">
        <v>36</v>
      </c>
      <c r="F7" s="10" t="s">
        <v>36</v>
      </c>
      <c r="G7" s="10"/>
      <c r="H7" s="10" t="s">
        <v>36</v>
      </c>
      <c r="I7" s="7"/>
      <c r="J7" s="8" t="s">
        <v>36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16" x14ac:dyDescent="0.2">
      <c r="B8" s="23"/>
      <c r="C8" s="25" t="s">
        <v>80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/>
      <c r="J8" s="15">
        <f>SUM(D8:H8)</f>
        <v>225000</v>
      </c>
    </row>
    <row r="9" spans="2:39" ht="16" x14ac:dyDescent="0.2">
      <c r="B9" s="23"/>
      <c r="C9" s="25" t="s">
        <v>81</v>
      </c>
      <c r="D9" s="15">
        <v>30000</v>
      </c>
      <c r="E9" s="15">
        <v>32500</v>
      </c>
      <c r="F9" s="15">
        <v>35000</v>
      </c>
      <c r="G9" s="15">
        <v>37500</v>
      </c>
      <c r="H9" s="15">
        <v>40000</v>
      </c>
      <c r="J9" s="15">
        <f>SUM(D9:H9)</f>
        <v>175000</v>
      </c>
    </row>
    <row r="10" spans="2:39" x14ac:dyDescent="0.2">
      <c r="B10" s="23"/>
      <c r="C10" s="27"/>
      <c r="D10" s="15"/>
      <c r="E10" s="11"/>
      <c r="F10" s="11"/>
      <c r="G10" s="11"/>
      <c r="H10" s="11"/>
      <c r="J10" s="15"/>
    </row>
    <row r="11" spans="2:39" ht="16" x14ac:dyDescent="0.2">
      <c r="B11" s="23"/>
      <c r="C11" s="9" t="s">
        <v>12</v>
      </c>
      <c r="D11" s="16">
        <f>SUM(D8:D10)</f>
        <v>70000</v>
      </c>
      <c r="E11" s="16">
        <f t="shared" ref="E11:J11" si="0">SUM(E8:E10)</f>
        <v>75000</v>
      </c>
      <c r="F11" s="16">
        <f t="shared" si="0"/>
        <v>80000</v>
      </c>
      <c r="G11" s="16">
        <f t="shared" si="0"/>
        <v>85000</v>
      </c>
      <c r="H11" s="16">
        <f t="shared" si="0"/>
        <v>90000</v>
      </c>
      <c r="J11" s="16">
        <f t="shared" si="0"/>
        <v>400000</v>
      </c>
    </row>
    <row r="12" spans="2:39" ht="16" x14ac:dyDescent="0.2">
      <c r="B12" s="23"/>
      <c r="C12" s="14" t="s">
        <v>39</v>
      </c>
      <c r="D12" s="13" t="s">
        <v>36</v>
      </c>
      <c r="E12" s="10"/>
      <c r="F12" s="10"/>
      <c r="G12" s="10"/>
      <c r="H12" s="10"/>
      <c r="J12" s="8" t="s">
        <v>36</v>
      </c>
    </row>
    <row r="13" spans="2:39" ht="16" x14ac:dyDescent="0.2">
      <c r="B13" s="23"/>
      <c r="C13" s="25" t="s">
        <v>82</v>
      </c>
      <c r="D13" s="15">
        <f>0.17*(D8+D9)</f>
        <v>11900</v>
      </c>
      <c r="E13" s="15">
        <f t="shared" ref="E13:H13" si="1">0.17*(E8+E9)</f>
        <v>12750.000000000002</v>
      </c>
      <c r="F13" s="15">
        <f t="shared" si="1"/>
        <v>13600.000000000002</v>
      </c>
      <c r="G13" s="15">
        <f t="shared" si="1"/>
        <v>14450.000000000002</v>
      </c>
      <c r="H13" s="15">
        <f t="shared" si="1"/>
        <v>15300.000000000002</v>
      </c>
      <c r="J13" s="15">
        <f>SUM(D13:H13)</f>
        <v>68000</v>
      </c>
    </row>
    <row r="14" spans="2:39" x14ac:dyDescent="0.2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2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ht="16" x14ac:dyDescent="0.2">
      <c r="B16" s="23"/>
      <c r="C16" s="9" t="s">
        <v>13</v>
      </c>
      <c r="D16" s="16">
        <f>SUM(D13:D15)</f>
        <v>11900</v>
      </c>
      <c r="E16" s="16">
        <f t="shared" ref="E16:J16" si="3">SUM(E13:E15)</f>
        <v>12750.000000000002</v>
      </c>
      <c r="F16" s="16">
        <f t="shared" si="3"/>
        <v>13600.000000000002</v>
      </c>
      <c r="G16" s="16">
        <f t="shared" si="3"/>
        <v>14450.000000000002</v>
      </c>
      <c r="H16" s="16">
        <f t="shared" si="3"/>
        <v>15300.000000000002</v>
      </c>
      <c r="J16" s="16">
        <f t="shared" si="3"/>
        <v>68000</v>
      </c>
    </row>
    <row r="17" spans="2:10" ht="16" x14ac:dyDescent="0.2">
      <c r="B17" s="23"/>
      <c r="C17" s="14" t="s">
        <v>41</v>
      </c>
      <c r="D17" s="13" t="s">
        <v>36</v>
      </c>
      <c r="E17" s="10"/>
      <c r="F17" s="10"/>
      <c r="G17" s="10"/>
      <c r="H17" s="10"/>
      <c r="J17" s="8" t="s">
        <v>36</v>
      </c>
    </row>
    <row r="18" spans="2:10" ht="16" x14ac:dyDescent="0.2">
      <c r="B18" s="23"/>
      <c r="C18" s="29" t="s">
        <v>83</v>
      </c>
      <c r="D18" s="15" t="s">
        <v>63</v>
      </c>
      <c r="E18" s="11" t="s">
        <v>63</v>
      </c>
      <c r="F18" s="11" t="s">
        <v>63</v>
      </c>
      <c r="G18" s="11"/>
      <c r="H18" s="11"/>
      <c r="J18" s="15"/>
    </row>
    <row r="19" spans="2:10" ht="16" x14ac:dyDescent="0.2">
      <c r="B19" s="23"/>
      <c r="C19" s="29" t="s">
        <v>84</v>
      </c>
      <c r="D19" s="15">
        <v>400</v>
      </c>
      <c r="E19" s="15">
        <v>400</v>
      </c>
      <c r="F19" s="15">
        <v>400</v>
      </c>
      <c r="G19" s="15">
        <v>400</v>
      </c>
      <c r="H19" s="15">
        <v>400</v>
      </c>
      <c r="I19" s="35"/>
      <c r="J19" s="15">
        <f>SUM(D19:H19)</f>
        <v>2000</v>
      </c>
    </row>
    <row r="20" spans="2:10" ht="16" x14ac:dyDescent="0.2">
      <c r="B20" s="23"/>
      <c r="C20" s="29" t="s">
        <v>85</v>
      </c>
      <c r="D20" s="15">
        <v>50</v>
      </c>
      <c r="E20" s="15">
        <v>50</v>
      </c>
      <c r="F20" s="15">
        <v>50</v>
      </c>
      <c r="G20" s="15">
        <v>50</v>
      </c>
      <c r="H20" s="15">
        <v>50</v>
      </c>
      <c r="I20" s="35"/>
      <c r="J20" s="15">
        <f t="shared" ref="J20:J25" si="4">SUM(D20:H20)</f>
        <v>250</v>
      </c>
    </row>
    <row r="21" spans="2:10" ht="16" x14ac:dyDescent="0.2">
      <c r="B21" s="23"/>
      <c r="C21" s="25" t="s">
        <v>86</v>
      </c>
      <c r="D21" s="15">
        <v>450</v>
      </c>
      <c r="E21" s="15">
        <v>450</v>
      </c>
      <c r="F21" s="15">
        <v>450</v>
      </c>
      <c r="G21" s="15">
        <v>450</v>
      </c>
      <c r="H21" s="15">
        <v>450</v>
      </c>
      <c r="I21" s="35"/>
      <c r="J21" s="15">
        <f t="shared" si="4"/>
        <v>2250</v>
      </c>
    </row>
    <row r="22" spans="2:10" ht="16" x14ac:dyDescent="0.2">
      <c r="B22" s="23"/>
      <c r="C22" s="29" t="s">
        <v>87</v>
      </c>
      <c r="D22" s="15">
        <v>248</v>
      </c>
      <c r="E22" s="15">
        <v>248</v>
      </c>
      <c r="F22" s="15">
        <v>248</v>
      </c>
      <c r="G22" s="15">
        <v>248</v>
      </c>
      <c r="H22" s="15">
        <v>248</v>
      </c>
      <c r="I22" s="35"/>
      <c r="J22" s="15">
        <f t="shared" si="4"/>
        <v>1240</v>
      </c>
    </row>
    <row r="23" spans="2:10" ht="16" x14ac:dyDescent="0.2">
      <c r="B23" s="23"/>
      <c r="C23" s="29" t="s">
        <v>88</v>
      </c>
      <c r="D23" s="15">
        <v>45</v>
      </c>
      <c r="E23" s="15">
        <v>45</v>
      </c>
      <c r="F23" s="15">
        <v>45</v>
      </c>
      <c r="G23" s="15">
        <v>45</v>
      </c>
      <c r="H23" s="15">
        <v>45</v>
      </c>
      <c r="I23" s="35"/>
      <c r="J23" s="15">
        <f t="shared" si="4"/>
        <v>225</v>
      </c>
    </row>
    <row r="24" spans="2:10" ht="16" x14ac:dyDescent="0.2">
      <c r="B24" s="23"/>
      <c r="C24" s="29" t="s">
        <v>89</v>
      </c>
      <c r="D24" s="15">
        <v>80</v>
      </c>
      <c r="E24" s="15">
        <v>80</v>
      </c>
      <c r="F24" s="15">
        <v>80</v>
      </c>
      <c r="G24" s="15">
        <v>80</v>
      </c>
      <c r="H24" s="15">
        <v>80</v>
      </c>
      <c r="I24" s="35"/>
      <c r="J24" s="15">
        <f t="shared" si="4"/>
        <v>400</v>
      </c>
    </row>
    <row r="25" spans="2:10" ht="16" x14ac:dyDescent="0.2">
      <c r="B25" s="23"/>
      <c r="C25" s="25" t="s">
        <v>90</v>
      </c>
      <c r="D25" s="15">
        <v>328</v>
      </c>
      <c r="E25" s="15">
        <v>328</v>
      </c>
      <c r="F25" s="15">
        <v>328</v>
      </c>
      <c r="G25" s="15">
        <v>328</v>
      </c>
      <c r="H25" s="15">
        <v>328</v>
      </c>
      <c r="I25" s="35"/>
      <c r="J25" s="15">
        <f t="shared" si="4"/>
        <v>1640</v>
      </c>
    </row>
    <row r="26" spans="2:10" ht="16" x14ac:dyDescent="0.2">
      <c r="B26" s="23"/>
      <c r="C26" s="9" t="s">
        <v>14</v>
      </c>
      <c r="D26" s="16">
        <f>SUM(D19:D25)</f>
        <v>1601</v>
      </c>
      <c r="E26" s="16">
        <f t="shared" ref="E26:H26" si="5">SUM(E19:E25)</f>
        <v>1601</v>
      </c>
      <c r="F26" s="16">
        <f t="shared" si="5"/>
        <v>1601</v>
      </c>
      <c r="G26" s="16">
        <f t="shared" si="5"/>
        <v>1601</v>
      </c>
      <c r="H26" s="16">
        <f t="shared" si="5"/>
        <v>1601</v>
      </c>
      <c r="J26" s="16">
        <f>SUM(D26:H26)</f>
        <v>8005</v>
      </c>
    </row>
    <row r="27" spans="2:10" ht="16" x14ac:dyDescent="0.2">
      <c r="B27" s="23"/>
      <c r="C27" s="14" t="s">
        <v>44</v>
      </c>
      <c r="D27" s="15"/>
      <c r="E27" s="10"/>
      <c r="F27" s="10"/>
      <c r="G27" s="10"/>
      <c r="H27" s="10"/>
      <c r="J27" s="15" t="s">
        <v>21</v>
      </c>
    </row>
    <row r="28" spans="2:10" ht="16" x14ac:dyDescent="0.2">
      <c r="B28" s="23"/>
      <c r="C28" s="25" t="s">
        <v>91</v>
      </c>
      <c r="D28" s="15">
        <v>18000</v>
      </c>
      <c r="E28" s="10"/>
      <c r="F28" s="10"/>
      <c r="G28" s="10"/>
      <c r="H28" s="10"/>
      <c r="J28" s="15">
        <f>SUM(D28:H28)</f>
        <v>18000</v>
      </c>
    </row>
    <row r="29" spans="2:10" ht="16" x14ac:dyDescent="0.2">
      <c r="B29" s="23" t="s">
        <v>63</v>
      </c>
      <c r="C29" s="28" t="s">
        <v>63</v>
      </c>
      <c r="D29" s="13" t="s">
        <v>36</v>
      </c>
      <c r="E29" s="10"/>
      <c r="F29" s="10"/>
      <c r="G29" s="10"/>
      <c r="H29" s="10"/>
      <c r="J29" s="15">
        <f t="shared" ref="J29:J46" si="6">SUM(D29:H29)</f>
        <v>0</v>
      </c>
    </row>
    <row r="30" spans="2:10" ht="16" x14ac:dyDescent="0.2">
      <c r="B30" s="23"/>
      <c r="C30" s="9" t="s">
        <v>15</v>
      </c>
      <c r="D30" s="12">
        <f>SUM(D28:D29)</f>
        <v>18000</v>
      </c>
      <c r="E30" s="12">
        <f t="shared" ref="E30:H30" si="7">SUM(E28:E29)</f>
        <v>0</v>
      </c>
      <c r="F30" s="12">
        <f t="shared" si="7"/>
        <v>0</v>
      </c>
      <c r="G30" s="12">
        <f t="shared" si="7"/>
        <v>0</v>
      </c>
      <c r="H30" s="12">
        <f t="shared" si="7"/>
        <v>0</v>
      </c>
      <c r="J30" s="16">
        <f t="shared" si="6"/>
        <v>18000</v>
      </c>
    </row>
    <row r="31" spans="2:10" ht="16" x14ac:dyDescent="0.2">
      <c r="B31" s="23"/>
      <c r="C31" s="14" t="s">
        <v>46</v>
      </c>
      <c r="D31" s="13" t="s">
        <v>36</v>
      </c>
      <c r="E31" s="10"/>
      <c r="F31" s="10"/>
      <c r="G31" s="10"/>
      <c r="H31" s="10"/>
      <c r="J31" s="15"/>
    </row>
    <row r="32" spans="2:10" ht="16" x14ac:dyDescent="0.2">
      <c r="B32" s="23"/>
      <c r="C32" s="25" t="s">
        <v>92</v>
      </c>
      <c r="D32" s="15">
        <v>2500</v>
      </c>
      <c r="E32" s="15">
        <v>0</v>
      </c>
      <c r="F32" s="15">
        <v>0</v>
      </c>
      <c r="G32" s="15">
        <v>0</v>
      </c>
      <c r="H32" s="15">
        <v>0</v>
      </c>
      <c r="I32" s="35"/>
      <c r="J32" s="15">
        <f t="shared" si="6"/>
        <v>2500</v>
      </c>
    </row>
    <row r="33" spans="2:10" x14ac:dyDescent="0.2">
      <c r="B33" s="23"/>
      <c r="C33" s="25"/>
      <c r="D33" s="15"/>
      <c r="E33" s="11"/>
      <c r="F33" s="11"/>
      <c r="G33" s="11"/>
      <c r="H33" s="11"/>
      <c r="J33" s="15">
        <f t="shared" si="6"/>
        <v>0</v>
      </c>
    </row>
    <row r="34" spans="2:10" ht="16" x14ac:dyDescent="0.2">
      <c r="B34" s="23"/>
      <c r="C34" s="9" t="s">
        <v>16</v>
      </c>
      <c r="D34" s="16">
        <f>SUM(D32:D33)</f>
        <v>2500</v>
      </c>
      <c r="E34" s="16">
        <f t="shared" ref="E34:H34" si="8">SUM(E32:E33)</f>
        <v>0</v>
      </c>
      <c r="F34" s="16">
        <f t="shared" si="8"/>
        <v>0</v>
      </c>
      <c r="G34" s="16">
        <f t="shared" si="8"/>
        <v>0</v>
      </c>
      <c r="H34" s="16">
        <f t="shared" si="8"/>
        <v>0</v>
      </c>
      <c r="J34" s="16">
        <f t="shared" si="6"/>
        <v>2500</v>
      </c>
    </row>
    <row r="35" spans="2:10" ht="16" x14ac:dyDescent="0.2">
      <c r="B35" s="23"/>
      <c r="C35" s="14" t="s">
        <v>47</v>
      </c>
      <c r="D35" s="13" t="s">
        <v>36</v>
      </c>
      <c r="E35" s="10"/>
      <c r="F35" s="10"/>
      <c r="G35" s="10"/>
      <c r="H35" s="10"/>
      <c r="J35" s="15"/>
    </row>
    <row r="36" spans="2:10" ht="64" x14ac:dyDescent="0.2">
      <c r="B36" s="23"/>
      <c r="C36" s="25" t="s">
        <v>93</v>
      </c>
      <c r="D36" s="15">
        <v>1021200</v>
      </c>
      <c r="E36" s="15">
        <v>1021200</v>
      </c>
      <c r="F36" s="15">
        <v>1021200</v>
      </c>
      <c r="G36" s="15">
        <v>1021200</v>
      </c>
      <c r="H36" s="15">
        <v>1021200</v>
      </c>
      <c r="I36" s="35"/>
      <c r="J36" s="15">
        <f t="shared" si="6"/>
        <v>5106000</v>
      </c>
    </row>
    <row r="37" spans="2:10" ht="64" x14ac:dyDescent="0.2">
      <c r="B37" s="23"/>
      <c r="C37" s="25" t="s">
        <v>94</v>
      </c>
      <c r="D37" s="15">
        <v>4500000</v>
      </c>
      <c r="E37" s="15">
        <v>4500000</v>
      </c>
      <c r="F37" s="15">
        <v>4500000</v>
      </c>
      <c r="G37" s="15">
        <v>4500000</v>
      </c>
      <c r="H37" s="15">
        <v>4500000</v>
      </c>
      <c r="I37" s="35"/>
      <c r="J37" s="15">
        <f t="shared" si="6"/>
        <v>22500000</v>
      </c>
    </row>
    <row r="38" spans="2:10" ht="64" x14ac:dyDescent="0.2">
      <c r="B38" s="23"/>
      <c r="C38" s="25" t="s">
        <v>95</v>
      </c>
      <c r="D38" s="15">
        <v>15000000</v>
      </c>
      <c r="E38" s="15">
        <v>15000000</v>
      </c>
      <c r="F38" s="15">
        <v>15000000</v>
      </c>
      <c r="G38" s="15">
        <v>15000000</v>
      </c>
      <c r="H38" s="15">
        <v>15000000</v>
      </c>
      <c r="I38" s="35"/>
      <c r="J38" s="15">
        <f t="shared" si="6"/>
        <v>75000000</v>
      </c>
    </row>
    <row r="39" spans="2:10" x14ac:dyDescent="0.2">
      <c r="B39" s="23"/>
      <c r="C39" s="25"/>
      <c r="D39" s="15"/>
      <c r="E39" s="11"/>
      <c r="F39" s="11"/>
      <c r="G39" s="11"/>
      <c r="H39" s="11"/>
      <c r="J39" s="15">
        <f t="shared" si="6"/>
        <v>0</v>
      </c>
    </row>
    <row r="40" spans="2:10" ht="16" x14ac:dyDescent="0.2">
      <c r="B40" s="23"/>
      <c r="C40" s="9" t="s">
        <v>17</v>
      </c>
      <c r="D40" s="16">
        <f>SUM(D36:D39)</f>
        <v>20521200</v>
      </c>
      <c r="E40" s="16">
        <f t="shared" ref="E40:H40" si="9">SUM(E36:E39)</f>
        <v>20521200</v>
      </c>
      <c r="F40" s="16">
        <f t="shared" si="9"/>
        <v>20521200</v>
      </c>
      <c r="G40" s="16">
        <f t="shared" si="9"/>
        <v>20521200</v>
      </c>
      <c r="H40" s="16">
        <f t="shared" si="9"/>
        <v>20521200</v>
      </c>
      <c r="J40" s="16">
        <f t="shared" si="6"/>
        <v>102606000</v>
      </c>
    </row>
    <row r="41" spans="2:10" ht="16" x14ac:dyDescent="0.2">
      <c r="B41" s="23"/>
      <c r="C41" s="14" t="s">
        <v>58</v>
      </c>
      <c r="D41" s="13" t="s">
        <v>36</v>
      </c>
      <c r="E41" s="10"/>
      <c r="F41" s="10"/>
      <c r="G41" s="10"/>
      <c r="H41" s="10"/>
      <c r="J41" s="15"/>
    </row>
    <row r="42" spans="2:10" ht="16" x14ac:dyDescent="0.2">
      <c r="B42" s="23"/>
      <c r="C42" s="25" t="s">
        <v>96</v>
      </c>
      <c r="D42" s="15">
        <v>8000</v>
      </c>
      <c r="E42" s="44">
        <v>8000</v>
      </c>
      <c r="F42" s="44">
        <v>8000</v>
      </c>
      <c r="G42" s="44">
        <v>8000</v>
      </c>
      <c r="H42" s="44">
        <v>8000</v>
      </c>
      <c r="J42" s="15">
        <f t="shared" si="6"/>
        <v>40000</v>
      </c>
    </row>
    <row r="43" spans="2:10" ht="32" x14ac:dyDescent="0.2">
      <c r="B43" s="23"/>
      <c r="C43" s="25" t="s">
        <v>97</v>
      </c>
      <c r="D43" s="15">
        <v>10000000</v>
      </c>
      <c r="E43" s="60">
        <v>10000000</v>
      </c>
      <c r="F43" s="60">
        <v>10000000</v>
      </c>
      <c r="G43" s="60">
        <v>10000000</v>
      </c>
      <c r="H43" s="60">
        <v>10000000</v>
      </c>
      <c r="J43" s="15">
        <f t="shared" si="6"/>
        <v>50000000</v>
      </c>
    </row>
    <row r="44" spans="2:10" x14ac:dyDescent="0.2">
      <c r="B44" s="23"/>
      <c r="C44" s="10"/>
      <c r="D44" s="15"/>
      <c r="E44" s="11"/>
      <c r="F44" s="11"/>
      <c r="G44" s="11"/>
      <c r="H44" s="11"/>
      <c r="J44" s="15">
        <f t="shared" si="6"/>
        <v>0</v>
      </c>
    </row>
    <row r="45" spans="2:10" ht="16" x14ac:dyDescent="0.2">
      <c r="B45" s="24"/>
      <c r="C45" s="9" t="s">
        <v>19</v>
      </c>
      <c r="D45" s="16">
        <f>SUM(D42:D44)</f>
        <v>10008000</v>
      </c>
      <c r="E45" s="16">
        <f>SUM(E42:E44)</f>
        <v>10008000</v>
      </c>
      <c r="F45" s="16">
        <f>SUM(F42:F44)</f>
        <v>10008000</v>
      </c>
      <c r="G45" s="16">
        <f>SUM(G42:G44)</f>
        <v>10008000</v>
      </c>
      <c r="H45" s="16">
        <f>SUM(H42:H44)</f>
        <v>10008000</v>
      </c>
      <c r="J45" s="16">
        <f t="shared" si="6"/>
        <v>50040000</v>
      </c>
    </row>
    <row r="46" spans="2:10" ht="16" x14ac:dyDescent="0.2">
      <c r="B46" s="24"/>
      <c r="C46" s="9" t="s">
        <v>20</v>
      </c>
      <c r="D46" s="16">
        <f>SUM(D45,D40,D34,D30,D26,D16,D11)</f>
        <v>30633201</v>
      </c>
      <c r="E46" s="16">
        <f>SUM(E45,E40,E34,E30,E26,E16,E11)</f>
        <v>30618551</v>
      </c>
      <c r="F46" s="16">
        <f>SUM(F45,F40,F34,F30,F26,F16,F11)</f>
        <v>30624401</v>
      </c>
      <c r="G46" s="16">
        <f>SUM(G45,G40,G34,G30,G26,G16,G11)</f>
        <v>30630251</v>
      </c>
      <c r="H46" s="16">
        <f>SUM(H45,H40,H34,H30,H26,H16,H11)</f>
        <v>30636101</v>
      </c>
      <c r="J46" s="16">
        <f t="shared" si="6"/>
        <v>153142505</v>
      </c>
    </row>
    <row r="47" spans="2:10" x14ac:dyDescent="0.2">
      <c r="B47" s="6"/>
      <c r="D47"/>
      <c r="E47"/>
      <c r="H47"/>
      <c r="I47"/>
      <c r="J47" t="s">
        <v>21</v>
      </c>
    </row>
    <row r="48" spans="2:10" x14ac:dyDescent="0.2">
      <c r="B48" s="22" t="s">
        <v>59</v>
      </c>
      <c r="C48" s="17" t="s">
        <v>59</v>
      </c>
      <c r="D48" s="18"/>
      <c r="E48" s="18"/>
      <c r="F48" s="18"/>
      <c r="G48" s="18"/>
      <c r="H48" s="18"/>
      <c r="I48"/>
      <c r="J48" s="18" t="s">
        <v>21</v>
      </c>
    </row>
    <row r="49" spans="2:10" x14ac:dyDescent="0.2">
      <c r="B49" s="23"/>
      <c r="C49" s="25"/>
      <c r="D49" s="13"/>
      <c r="E49" s="10"/>
      <c r="F49" s="10"/>
      <c r="G49" s="10"/>
      <c r="H49" s="10"/>
      <c r="J49" s="15">
        <f>SUM(D49:H49)</f>
        <v>0</v>
      </c>
    </row>
    <row r="50" spans="2:10" x14ac:dyDescent="0.2">
      <c r="B50" s="23"/>
      <c r="C50" s="25"/>
      <c r="D50" s="13"/>
      <c r="E50" s="10"/>
      <c r="F50" s="10"/>
      <c r="G50" s="10"/>
      <c r="H50" s="10"/>
      <c r="J50" s="15">
        <f t="shared" ref="J50:J51" si="10">SUM(D50:H50)</f>
        <v>0</v>
      </c>
    </row>
    <row r="51" spans="2:10" ht="16" x14ac:dyDescent="0.2">
      <c r="B51" s="24"/>
      <c r="C51" s="9" t="s">
        <v>22</v>
      </c>
      <c r="D51" s="16">
        <f>SUM(D49:D50)</f>
        <v>0</v>
      </c>
      <c r="E51" s="16">
        <f t="shared" ref="E51:H51" si="11">SUM(E49:E50)</f>
        <v>0</v>
      </c>
      <c r="F51" s="16">
        <f t="shared" si="11"/>
        <v>0</v>
      </c>
      <c r="G51" s="16">
        <f t="shared" si="11"/>
        <v>0</v>
      </c>
      <c r="H51" s="16">
        <f t="shared" si="11"/>
        <v>0</v>
      </c>
      <c r="J51" s="16">
        <f t="shared" si="10"/>
        <v>0</v>
      </c>
    </row>
    <row r="52" spans="2:10" ht="16" thickBot="1" x14ac:dyDescent="0.25">
      <c r="B52" s="6"/>
      <c r="D52"/>
      <c r="E52"/>
      <c r="H52"/>
      <c r="I52"/>
      <c r="J52" t="s">
        <v>21</v>
      </c>
    </row>
    <row r="53" spans="2:10" s="1" customFormat="1" ht="33" thickBot="1" x14ac:dyDescent="0.25">
      <c r="B53" s="19" t="s">
        <v>23</v>
      </c>
      <c r="C53" s="19"/>
      <c r="D53" s="20">
        <f>SUM(D51,D46)</f>
        <v>30633201</v>
      </c>
      <c r="E53" s="20">
        <f t="shared" ref="E53:J53" si="12">SUM(E51,E46)</f>
        <v>30618551</v>
      </c>
      <c r="F53" s="20">
        <f t="shared" si="12"/>
        <v>30624401</v>
      </c>
      <c r="G53" s="20">
        <f t="shared" si="12"/>
        <v>30630251</v>
      </c>
      <c r="H53" s="20">
        <f t="shared" si="12"/>
        <v>30636101</v>
      </c>
      <c r="I53" s="7"/>
      <c r="J53" s="20">
        <f t="shared" si="12"/>
        <v>153142505</v>
      </c>
    </row>
    <row r="54" spans="2:10" x14ac:dyDescent="0.2">
      <c r="B54" s="6"/>
    </row>
    <row r="55" spans="2:10" x14ac:dyDescent="0.2">
      <c r="B55" s="6"/>
    </row>
    <row r="56" spans="2:10" x14ac:dyDescent="0.2">
      <c r="B56" s="6"/>
    </row>
    <row r="57" spans="2:10" x14ac:dyDescent="0.2">
      <c r="B57" s="6"/>
    </row>
    <row r="58" spans="2:10" x14ac:dyDescent="0.2">
      <c r="B58" s="6"/>
    </row>
    <row r="59" spans="2:10" x14ac:dyDescent="0.2">
      <c r="B59" s="6"/>
    </row>
    <row r="60" spans="2:10" x14ac:dyDescent="0.2">
      <c r="B60" s="6"/>
    </row>
    <row r="61" spans="2:10" x14ac:dyDescent="0.2">
      <c r="B61" s="6"/>
    </row>
    <row r="62" spans="2:10" x14ac:dyDescent="0.2">
      <c r="B62" s="6"/>
    </row>
    <row r="63" spans="2:10" x14ac:dyDescent="0.2">
      <c r="B63" s="6"/>
    </row>
    <row r="64" spans="2:10" x14ac:dyDescent="0.2">
      <c r="B64" s="6"/>
    </row>
    <row r="65" spans="2:2" x14ac:dyDescent="0.2">
      <c r="B65" s="6"/>
    </row>
    <row r="66" spans="2:2" x14ac:dyDescent="0.2">
      <c r="B66" s="6"/>
    </row>
    <row r="67" spans="2:2" x14ac:dyDescent="0.2">
      <c r="B67" s="6"/>
    </row>
    <row r="68" spans="2:2" x14ac:dyDescent="0.2">
      <c r="B68" s="6"/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41A7F-3401-468B-A449-C5F7D60184DC}">
  <sheetPr>
    <tabColor theme="7" tint="0.59999389629810485"/>
  </sheetPr>
  <dimension ref="B2:AM73"/>
  <sheetViews>
    <sheetView showGridLines="0" zoomScale="85" zoomScaleNormal="85" workbookViewId="0">
      <pane xSplit="3" ySplit="6" topLeftCell="R20" activePane="bottomRight" state="frozen"/>
      <selection pane="topRight" activeCell="R20" sqref="R20:W20"/>
      <selection pane="bottomLeft" activeCell="R20" sqref="R20:W20"/>
      <selection pane="bottomRight" activeCell="R20" sqref="R20:W20"/>
    </sheetView>
  </sheetViews>
  <sheetFormatPr baseColWidth="10" defaultColWidth="9.1640625" defaultRowHeight="15" x14ac:dyDescent="0.2"/>
  <cols>
    <col min="1" max="1" width="3.1640625" customWidth="1"/>
    <col min="2" max="2" width="12.1640625" customWidth="1"/>
    <col min="3" max="3" width="52.83203125" customWidth="1"/>
    <col min="4" max="4" width="12.6640625" style="6" customWidth="1"/>
    <col min="5" max="5" width="12.5" style="2" customWidth="1"/>
    <col min="6" max="7" width="12.5" customWidth="1"/>
    <col min="8" max="8" width="12.5" style="2" customWidth="1"/>
    <col min="9" max="9" width="0.83203125" style="7" customWidth="1"/>
    <col min="10" max="10" width="13.5" customWidth="1"/>
    <col min="11" max="11" width="10.1640625" customWidth="1"/>
  </cols>
  <sheetData>
    <row r="2" spans="2:39" ht="24" x14ac:dyDescent="0.3">
      <c r="B2" s="30" t="s">
        <v>33</v>
      </c>
    </row>
    <row r="3" spans="2:39" x14ac:dyDescent="0.2">
      <c r="B3" s="5"/>
    </row>
    <row r="4" spans="2:39" x14ac:dyDescent="0.2">
      <c r="B4" s="5"/>
    </row>
    <row r="5" spans="2:39" ht="19" x14ac:dyDescent="0.2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16" x14ac:dyDescent="0.2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ht="16" x14ac:dyDescent="0.2">
      <c r="B7" s="22" t="s">
        <v>11</v>
      </c>
      <c r="C7" s="26" t="s">
        <v>60</v>
      </c>
      <c r="D7" s="10" t="s">
        <v>36</v>
      </c>
      <c r="E7" s="10" t="s">
        <v>36</v>
      </c>
      <c r="F7" s="10" t="s">
        <v>36</v>
      </c>
      <c r="G7" s="10"/>
      <c r="H7" s="10" t="s">
        <v>36</v>
      </c>
      <c r="I7" s="7"/>
      <c r="J7" s="8" t="s">
        <v>36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16" x14ac:dyDescent="0.2">
      <c r="B8" s="23"/>
      <c r="C8" s="25" t="s">
        <v>98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>
        <v>450000</v>
      </c>
      <c r="J8" s="15">
        <f>SUM(D8:H8)</f>
        <v>225000</v>
      </c>
    </row>
    <row r="9" spans="2:39" ht="16" x14ac:dyDescent="0.2">
      <c r="B9" s="23"/>
      <c r="C9" s="25" t="s">
        <v>81</v>
      </c>
      <c r="D9" s="15">
        <v>30000</v>
      </c>
      <c r="E9" s="15">
        <v>32500</v>
      </c>
      <c r="F9" s="15">
        <v>35000</v>
      </c>
      <c r="G9" s="15">
        <v>37500</v>
      </c>
      <c r="H9" s="15">
        <v>40000</v>
      </c>
      <c r="J9" s="15">
        <f>SUM(D9:H9)</f>
        <v>175000</v>
      </c>
    </row>
    <row r="10" spans="2:39" x14ac:dyDescent="0.2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ht="16" x14ac:dyDescent="0.2">
      <c r="B11" s="23"/>
      <c r="C11" s="9" t="s">
        <v>12</v>
      </c>
      <c r="D11" s="16">
        <f>SUM(D8:D10)</f>
        <v>70000</v>
      </c>
      <c r="E11" s="16">
        <f t="shared" ref="E11:J11" si="0">SUM(E8:E10)</f>
        <v>75000</v>
      </c>
      <c r="F11" s="16">
        <f t="shared" si="0"/>
        <v>80000</v>
      </c>
      <c r="G11" s="16">
        <f t="shared" si="0"/>
        <v>85000</v>
      </c>
      <c r="H11" s="16">
        <f t="shared" si="0"/>
        <v>90000</v>
      </c>
      <c r="I11" s="7">
        <f t="shared" si="0"/>
        <v>450000</v>
      </c>
      <c r="J11" s="16">
        <f t="shared" si="0"/>
        <v>400000</v>
      </c>
    </row>
    <row r="12" spans="2:39" ht="16" x14ac:dyDescent="0.2">
      <c r="B12" s="23"/>
      <c r="C12" s="14" t="s">
        <v>39</v>
      </c>
      <c r="D12" s="13" t="s">
        <v>36</v>
      </c>
      <c r="E12" s="10"/>
      <c r="F12" s="10"/>
      <c r="G12" s="10"/>
      <c r="H12" s="10"/>
      <c r="J12" s="8" t="s">
        <v>36</v>
      </c>
    </row>
    <row r="13" spans="2:39" ht="16" x14ac:dyDescent="0.2">
      <c r="B13" s="23"/>
      <c r="C13" s="25" t="s">
        <v>82</v>
      </c>
      <c r="D13" s="15">
        <f>0.17*D11</f>
        <v>11900</v>
      </c>
      <c r="E13" s="15">
        <f t="shared" ref="E13:H13" si="1">0.17*E11</f>
        <v>12750.000000000002</v>
      </c>
      <c r="F13" s="15">
        <f t="shared" si="1"/>
        <v>13600.000000000002</v>
      </c>
      <c r="G13" s="15">
        <f t="shared" si="1"/>
        <v>14450.000000000002</v>
      </c>
      <c r="H13" s="15">
        <f t="shared" si="1"/>
        <v>15300.000000000002</v>
      </c>
      <c r="J13" s="15">
        <f>SUM(D13:H13)</f>
        <v>68000</v>
      </c>
    </row>
    <row r="14" spans="2:39" x14ac:dyDescent="0.2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2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ht="16" x14ac:dyDescent="0.2">
      <c r="B16" s="23"/>
      <c r="C16" s="9" t="s">
        <v>13</v>
      </c>
      <c r="D16" s="16">
        <f>SUM(D13:D15)</f>
        <v>11900</v>
      </c>
      <c r="E16" s="16">
        <f t="shared" ref="E16:J16" si="3">SUM(E13:E15)</f>
        <v>12750.000000000002</v>
      </c>
      <c r="F16" s="16">
        <f t="shared" si="3"/>
        <v>13600.000000000002</v>
      </c>
      <c r="G16" s="16">
        <f t="shared" si="3"/>
        <v>14450.000000000002</v>
      </c>
      <c r="H16" s="16">
        <f t="shared" si="3"/>
        <v>15300.000000000002</v>
      </c>
      <c r="I16" s="7">
        <f t="shared" si="3"/>
        <v>0</v>
      </c>
      <c r="J16" s="16">
        <f t="shared" si="3"/>
        <v>68000</v>
      </c>
    </row>
    <row r="17" spans="2:10" ht="16" x14ac:dyDescent="0.2">
      <c r="B17" s="23"/>
      <c r="C17" s="14" t="s">
        <v>41</v>
      </c>
      <c r="D17" s="13" t="s">
        <v>36</v>
      </c>
      <c r="E17" s="10"/>
      <c r="F17" s="10"/>
      <c r="G17" s="10"/>
      <c r="H17" s="10"/>
      <c r="J17" s="8" t="s">
        <v>36</v>
      </c>
    </row>
    <row r="18" spans="2:10" ht="16" x14ac:dyDescent="0.2">
      <c r="B18" s="23"/>
      <c r="C18" s="25" t="s">
        <v>99</v>
      </c>
      <c r="D18" s="13"/>
      <c r="E18" s="10"/>
      <c r="F18" s="10"/>
      <c r="G18" s="10"/>
      <c r="H18" s="10"/>
      <c r="J18" s="15" t="s">
        <v>36</v>
      </c>
    </row>
    <row r="19" spans="2:10" ht="16" x14ac:dyDescent="0.2">
      <c r="B19" s="23"/>
      <c r="C19" s="29" t="s">
        <v>83</v>
      </c>
      <c r="D19" s="15" t="s">
        <v>63</v>
      </c>
      <c r="E19" s="11" t="s">
        <v>63</v>
      </c>
      <c r="F19" s="11" t="s">
        <v>63</v>
      </c>
      <c r="G19" s="11"/>
      <c r="H19" s="11"/>
      <c r="J19" s="15"/>
    </row>
    <row r="20" spans="2:10" ht="16" x14ac:dyDescent="0.2">
      <c r="B20" s="23"/>
      <c r="C20" s="29" t="s">
        <v>84</v>
      </c>
      <c r="D20" s="15">
        <v>400</v>
      </c>
      <c r="E20" s="15">
        <v>400</v>
      </c>
      <c r="F20" s="15">
        <v>400</v>
      </c>
      <c r="G20" s="15">
        <v>400</v>
      </c>
      <c r="H20" s="15">
        <v>400</v>
      </c>
      <c r="I20" s="35">
        <v>2000</v>
      </c>
      <c r="J20" s="15">
        <f>SUM(D20:H20)</f>
        <v>2000</v>
      </c>
    </row>
    <row r="21" spans="2:10" ht="16" x14ac:dyDescent="0.2">
      <c r="B21" s="23"/>
      <c r="C21" s="29" t="s">
        <v>85</v>
      </c>
      <c r="D21" s="15">
        <v>50</v>
      </c>
      <c r="E21" s="15">
        <v>50</v>
      </c>
      <c r="F21" s="15">
        <v>50</v>
      </c>
      <c r="G21" s="15">
        <v>50</v>
      </c>
      <c r="H21" s="15">
        <v>50</v>
      </c>
      <c r="I21" s="35">
        <v>250</v>
      </c>
      <c r="J21" s="15">
        <f t="shared" ref="J21:J26" si="4">SUM(D21:H21)</f>
        <v>250</v>
      </c>
    </row>
    <row r="22" spans="2:10" ht="16" x14ac:dyDescent="0.2">
      <c r="B22" s="23"/>
      <c r="C22" s="25" t="s">
        <v>100</v>
      </c>
      <c r="D22" s="15">
        <v>600</v>
      </c>
      <c r="E22" s="15">
        <v>600</v>
      </c>
      <c r="F22" s="15">
        <v>600</v>
      </c>
      <c r="G22" s="15">
        <v>600</v>
      </c>
      <c r="H22" s="15">
        <v>600</v>
      </c>
      <c r="I22" s="35">
        <v>2250</v>
      </c>
      <c r="J22" s="15">
        <f t="shared" si="4"/>
        <v>3000</v>
      </c>
    </row>
    <row r="23" spans="2:10" ht="16" x14ac:dyDescent="0.2">
      <c r="B23" s="23"/>
      <c r="C23" s="29" t="s">
        <v>87</v>
      </c>
      <c r="D23" s="15">
        <v>245</v>
      </c>
      <c r="E23" s="15">
        <v>245</v>
      </c>
      <c r="F23" s="15">
        <v>245</v>
      </c>
      <c r="G23" s="15">
        <v>245</v>
      </c>
      <c r="H23" s="15">
        <v>245</v>
      </c>
      <c r="I23" s="35">
        <v>1243</v>
      </c>
      <c r="J23" s="15">
        <f t="shared" si="4"/>
        <v>1225</v>
      </c>
    </row>
    <row r="24" spans="2:10" ht="16" x14ac:dyDescent="0.2">
      <c r="B24" s="23"/>
      <c r="C24" s="29" t="s">
        <v>88</v>
      </c>
      <c r="D24" s="15">
        <v>45</v>
      </c>
      <c r="E24" s="15">
        <v>45</v>
      </c>
      <c r="F24" s="15">
        <v>45</v>
      </c>
      <c r="G24" s="15">
        <v>45</v>
      </c>
      <c r="H24" s="15">
        <v>45</v>
      </c>
      <c r="I24" s="35">
        <v>225</v>
      </c>
      <c r="J24" s="15">
        <f t="shared" si="4"/>
        <v>225</v>
      </c>
    </row>
    <row r="25" spans="2:10" ht="16" x14ac:dyDescent="0.2">
      <c r="B25" s="23"/>
      <c r="C25" s="29" t="s">
        <v>89</v>
      </c>
      <c r="D25" s="15">
        <v>80</v>
      </c>
      <c r="E25" s="15">
        <v>80</v>
      </c>
      <c r="F25" s="15">
        <v>80</v>
      </c>
      <c r="G25" s="15">
        <v>80</v>
      </c>
      <c r="H25" s="15">
        <v>80</v>
      </c>
      <c r="I25" s="35">
        <v>400</v>
      </c>
      <c r="J25" s="15">
        <f t="shared" si="4"/>
        <v>400</v>
      </c>
    </row>
    <row r="26" spans="2:10" x14ac:dyDescent="0.2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ht="16" x14ac:dyDescent="0.2">
      <c r="B27" s="23"/>
      <c r="C27" s="9" t="s">
        <v>14</v>
      </c>
      <c r="D27" s="16">
        <f>SUM(D20:D26)</f>
        <v>1420</v>
      </c>
      <c r="E27" s="16">
        <f t="shared" ref="E27:H27" si="5">SUM(E20:E26)</f>
        <v>1420</v>
      </c>
      <c r="F27" s="16">
        <f t="shared" si="5"/>
        <v>1420</v>
      </c>
      <c r="G27" s="16">
        <f t="shared" si="5"/>
        <v>1420</v>
      </c>
      <c r="H27" s="16">
        <f t="shared" si="5"/>
        <v>1420</v>
      </c>
      <c r="J27" s="16">
        <f>SUM(D27:H27)</f>
        <v>7100</v>
      </c>
    </row>
    <row r="28" spans="2:10" ht="16" x14ac:dyDescent="0.2">
      <c r="B28" s="23"/>
      <c r="C28" s="14" t="s">
        <v>44</v>
      </c>
      <c r="D28" s="15"/>
      <c r="E28" s="10"/>
      <c r="F28" s="10"/>
      <c r="G28" s="10"/>
      <c r="H28" s="10"/>
      <c r="J28" s="15" t="s">
        <v>21</v>
      </c>
    </row>
    <row r="29" spans="2:10" x14ac:dyDescent="0.2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ht="16" x14ac:dyDescent="0.2">
      <c r="B30" s="23" t="s">
        <v>63</v>
      </c>
      <c r="C30" s="28" t="s">
        <v>63</v>
      </c>
      <c r="D30" s="13" t="s">
        <v>36</v>
      </c>
      <c r="E30" s="10"/>
      <c r="F30" s="10"/>
      <c r="G30" s="10"/>
      <c r="H30" s="10"/>
      <c r="J30" s="15">
        <f t="shared" ref="J30:J51" si="6">SUM(D30:H30)</f>
        <v>0</v>
      </c>
    </row>
    <row r="31" spans="2:10" ht="16" x14ac:dyDescent="0.2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ht="16" x14ac:dyDescent="0.2">
      <c r="B32" s="23"/>
      <c r="C32" s="14" t="s">
        <v>46</v>
      </c>
      <c r="D32" s="13" t="s">
        <v>36</v>
      </c>
      <c r="E32" s="10"/>
      <c r="F32" s="10"/>
      <c r="G32" s="10"/>
      <c r="H32" s="10"/>
      <c r="J32" s="15"/>
    </row>
    <row r="33" spans="2:10" ht="16" x14ac:dyDescent="0.2">
      <c r="B33" s="23"/>
      <c r="C33" s="25" t="s">
        <v>92</v>
      </c>
      <c r="D33" s="15">
        <v>2500</v>
      </c>
      <c r="E33" s="15">
        <v>0</v>
      </c>
      <c r="F33" s="15">
        <v>0</v>
      </c>
      <c r="G33" s="15">
        <v>0</v>
      </c>
      <c r="H33" s="15">
        <v>0</v>
      </c>
      <c r="I33" s="35">
        <v>5000</v>
      </c>
      <c r="J33" s="15">
        <f t="shared" si="6"/>
        <v>2500</v>
      </c>
    </row>
    <row r="34" spans="2:10" x14ac:dyDescent="0.2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ht="16" x14ac:dyDescent="0.2">
      <c r="B35" s="23"/>
      <c r="C35" s="9" t="s">
        <v>16</v>
      </c>
      <c r="D35" s="16">
        <f>SUM(D33:D34)</f>
        <v>2500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2500</v>
      </c>
    </row>
    <row r="36" spans="2:10" ht="16" x14ac:dyDescent="0.2">
      <c r="B36" s="23"/>
      <c r="C36" s="14" t="s">
        <v>47</v>
      </c>
      <c r="D36" s="13" t="s">
        <v>36</v>
      </c>
      <c r="E36" s="10"/>
      <c r="F36" s="10"/>
      <c r="G36" s="10"/>
      <c r="H36" s="10"/>
      <c r="J36" s="15"/>
    </row>
    <row r="37" spans="2:10" ht="32" x14ac:dyDescent="0.2">
      <c r="B37" s="23"/>
      <c r="C37" s="61" t="s">
        <v>101</v>
      </c>
      <c r="D37" s="15"/>
      <c r="E37" s="15"/>
      <c r="F37" s="15"/>
      <c r="G37" s="15"/>
      <c r="H37" s="15"/>
      <c r="I37" s="35"/>
      <c r="J37" s="15">
        <f t="shared" si="6"/>
        <v>0</v>
      </c>
    </row>
    <row r="38" spans="2:10" ht="16" x14ac:dyDescent="0.2">
      <c r="B38" s="23"/>
      <c r="C38" s="25" t="s">
        <v>102</v>
      </c>
      <c r="D38" s="15">
        <v>0</v>
      </c>
      <c r="E38" s="15">
        <v>6200000</v>
      </c>
      <c r="F38" s="15">
        <v>0</v>
      </c>
      <c r="G38" s="15">
        <v>0</v>
      </c>
      <c r="H38" s="15">
        <v>0</v>
      </c>
      <c r="I38" s="35">
        <v>22500000</v>
      </c>
      <c r="J38" s="15">
        <f t="shared" si="6"/>
        <v>6200000</v>
      </c>
    </row>
    <row r="39" spans="2:10" ht="16" x14ac:dyDescent="0.2">
      <c r="B39" s="23"/>
      <c r="C39" s="25" t="s">
        <v>103</v>
      </c>
      <c r="D39" s="15">
        <v>0</v>
      </c>
      <c r="E39" s="15">
        <v>3142000</v>
      </c>
      <c r="F39" s="15">
        <v>0</v>
      </c>
      <c r="G39" s="15">
        <v>0</v>
      </c>
      <c r="H39" s="15">
        <v>0</v>
      </c>
      <c r="I39" s="35">
        <v>75000000</v>
      </c>
      <c r="J39" s="15">
        <f t="shared" si="6"/>
        <v>3142000</v>
      </c>
    </row>
    <row r="40" spans="2:10" ht="16" x14ac:dyDescent="0.2">
      <c r="B40" s="23"/>
      <c r="C40" s="25" t="s">
        <v>104</v>
      </c>
      <c r="D40" s="15">
        <v>0</v>
      </c>
      <c r="E40" s="15">
        <v>850000</v>
      </c>
      <c r="F40" s="15">
        <v>0</v>
      </c>
      <c r="G40" s="15">
        <v>0</v>
      </c>
      <c r="H40" s="15">
        <v>0</v>
      </c>
      <c r="I40" s="35"/>
      <c r="J40" s="15">
        <f t="shared" si="6"/>
        <v>850000</v>
      </c>
    </row>
    <row r="41" spans="2:10" ht="16" x14ac:dyDescent="0.2">
      <c r="B41" s="23"/>
      <c r="C41" s="25" t="s">
        <v>105</v>
      </c>
      <c r="D41" s="15">
        <v>0</v>
      </c>
      <c r="E41" s="15">
        <v>82100</v>
      </c>
      <c r="F41" s="15">
        <v>82100</v>
      </c>
      <c r="G41" s="15">
        <v>82100</v>
      </c>
      <c r="H41" s="15">
        <v>82100</v>
      </c>
      <c r="J41" s="15">
        <f t="shared" si="6"/>
        <v>328400</v>
      </c>
    </row>
    <row r="42" spans="2:10" ht="16" x14ac:dyDescent="0.2">
      <c r="B42" s="23"/>
      <c r="C42" s="9" t="s">
        <v>17</v>
      </c>
      <c r="D42" s="16">
        <f>SUM(D37:D41)</f>
        <v>0</v>
      </c>
      <c r="E42" s="16">
        <f t="shared" ref="E42:H42" si="9">SUM(E37:E41)</f>
        <v>10274100</v>
      </c>
      <c r="F42" s="16">
        <f t="shared" si="9"/>
        <v>82100</v>
      </c>
      <c r="G42" s="16">
        <f t="shared" si="9"/>
        <v>82100</v>
      </c>
      <c r="H42" s="16">
        <f t="shared" si="9"/>
        <v>82100</v>
      </c>
      <c r="J42" s="16">
        <f t="shared" si="6"/>
        <v>10520400</v>
      </c>
    </row>
    <row r="43" spans="2:10" ht="16" x14ac:dyDescent="0.2">
      <c r="B43" s="23"/>
      <c r="C43" s="14" t="s">
        <v>58</v>
      </c>
      <c r="D43" s="13" t="s">
        <v>36</v>
      </c>
      <c r="E43" s="10"/>
      <c r="F43" s="10"/>
      <c r="G43" s="10"/>
      <c r="H43" s="10"/>
      <c r="J43" s="15"/>
    </row>
    <row r="44" spans="2:10" ht="32" x14ac:dyDescent="0.2">
      <c r="B44" s="23"/>
      <c r="C44" s="25" t="s">
        <v>106</v>
      </c>
      <c r="D44" s="15">
        <v>4000</v>
      </c>
      <c r="E44" s="15">
        <v>4000</v>
      </c>
      <c r="F44" s="15">
        <v>4000</v>
      </c>
      <c r="G44" s="15">
        <v>4000</v>
      </c>
      <c r="H44" s="15">
        <v>4000</v>
      </c>
      <c r="I44" s="35">
        <v>375000</v>
      </c>
      <c r="J44" s="15">
        <f t="shared" si="6"/>
        <v>20000</v>
      </c>
    </row>
    <row r="45" spans="2:10" x14ac:dyDescent="0.2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6"/>
        <v>0</v>
      </c>
    </row>
    <row r="46" spans="2:10" x14ac:dyDescent="0.2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6"/>
        <v>0</v>
      </c>
    </row>
    <row r="47" spans="2:10" x14ac:dyDescent="0.2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2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ht="16" x14ac:dyDescent="0.2">
      <c r="B50" s="24"/>
      <c r="C50" s="9" t="s">
        <v>19</v>
      </c>
      <c r="D50" s="16">
        <f>SUM(D44:D49)</f>
        <v>4000</v>
      </c>
      <c r="E50" s="16">
        <f t="shared" ref="E50:H50" si="10">SUM(E44:E49)</f>
        <v>4000</v>
      </c>
      <c r="F50" s="16">
        <f t="shared" si="10"/>
        <v>4000</v>
      </c>
      <c r="G50" s="16">
        <f t="shared" si="10"/>
        <v>4000</v>
      </c>
      <c r="H50" s="16">
        <f t="shared" si="10"/>
        <v>4000</v>
      </c>
      <c r="J50" s="16">
        <f t="shared" si="6"/>
        <v>20000</v>
      </c>
    </row>
    <row r="51" spans="2:10" ht="16" x14ac:dyDescent="0.2">
      <c r="B51" s="24"/>
      <c r="C51" s="9" t="s">
        <v>20</v>
      </c>
      <c r="D51" s="16">
        <f>SUM(D50,D42,D35,D31,D27,D16,D11)</f>
        <v>89820</v>
      </c>
      <c r="E51" s="16">
        <f t="shared" ref="E51:H51" si="11">SUM(E50,E42,E35,E31,E27,E16,E11)</f>
        <v>10367270</v>
      </c>
      <c r="F51" s="16">
        <f t="shared" si="11"/>
        <v>181120</v>
      </c>
      <c r="G51" s="16">
        <f t="shared" si="11"/>
        <v>186970</v>
      </c>
      <c r="H51" s="16">
        <f t="shared" si="11"/>
        <v>192820</v>
      </c>
      <c r="J51" s="16">
        <f t="shared" si="6"/>
        <v>11018000</v>
      </c>
    </row>
    <row r="52" spans="2:10" x14ac:dyDescent="0.2">
      <c r="B52" s="6"/>
      <c r="D52"/>
      <c r="E52"/>
      <c r="H52"/>
      <c r="I52"/>
      <c r="J52" t="s">
        <v>21</v>
      </c>
    </row>
    <row r="53" spans="2:10" x14ac:dyDescent="0.2">
      <c r="B53" s="22" t="s">
        <v>59</v>
      </c>
      <c r="C53" s="17" t="s">
        <v>59</v>
      </c>
      <c r="D53" s="18"/>
      <c r="E53" s="18"/>
      <c r="F53" s="18"/>
      <c r="G53" s="18"/>
      <c r="H53" s="18"/>
      <c r="I53"/>
      <c r="J53" s="18" t="s">
        <v>21</v>
      </c>
    </row>
    <row r="54" spans="2:10" ht="32" x14ac:dyDescent="0.2">
      <c r="B54" s="23"/>
      <c r="C54" s="25" t="s">
        <v>107</v>
      </c>
      <c r="D54" s="15">
        <f>0.4*(D11+D16)</f>
        <v>32760</v>
      </c>
      <c r="E54" s="15">
        <f t="shared" ref="E54:H54" si="12">0.4*(E11+E16)</f>
        <v>35100</v>
      </c>
      <c r="F54" s="15">
        <f t="shared" si="12"/>
        <v>37440</v>
      </c>
      <c r="G54" s="15">
        <f t="shared" si="12"/>
        <v>39780</v>
      </c>
      <c r="H54" s="15">
        <f t="shared" si="12"/>
        <v>42120</v>
      </c>
      <c r="J54" s="15">
        <f>SUM(D54:H54)</f>
        <v>187200</v>
      </c>
    </row>
    <row r="55" spans="2:10" x14ac:dyDescent="0.2">
      <c r="B55" s="23"/>
      <c r="C55" s="25"/>
      <c r="D55" s="13"/>
      <c r="E55" s="10"/>
      <c r="F55" s="10"/>
      <c r="G55" s="10"/>
      <c r="H55" s="10"/>
      <c r="J55" s="15">
        <f t="shared" ref="J55:J56" si="13">SUM(D55:H55)</f>
        <v>0</v>
      </c>
    </row>
    <row r="56" spans="2:10" ht="16" x14ac:dyDescent="0.2">
      <c r="B56" s="24"/>
      <c r="C56" s="9" t="s">
        <v>22</v>
      </c>
      <c r="D56" s="16">
        <f>SUM(D54:D55)</f>
        <v>32760</v>
      </c>
      <c r="E56" s="16">
        <f t="shared" ref="E56:H56" si="14">SUM(E54:E55)</f>
        <v>35100</v>
      </c>
      <c r="F56" s="16">
        <f t="shared" si="14"/>
        <v>37440</v>
      </c>
      <c r="G56" s="16">
        <f t="shared" si="14"/>
        <v>39780</v>
      </c>
      <c r="H56" s="16">
        <f t="shared" si="14"/>
        <v>42120</v>
      </c>
      <c r="J56" s="16">
        <f t="shared" si="13"/>
        <v>187200</v>
      </c>
    </row>
    <row r="57" spans="2:10" ht="16" thickBot="1" x14ac:dyDescent="0.25">
      <c r="B57" s="6"/>
      <c r="D57"/>
      <c r="E57"/>
      <c r="H57"/>
      <c r="I57"/>
      <c r="J57" t="s">
        <v>21</v>
      </c>
    </row>
    <row r="58" spans="2:10" s="1" customFormat="1" ht="33" thickBot="1" x14ac:dyDescent="0.25">
      <c r="B58" s="19" t="s">
        <v>23</v>
      </c>
      <c r="C58" s="19"/>
      <c r="D58" s="20">
        <f>SUM(D56,D51)</f>
        <v>122580</v>
      </c>
      <c r="E58" s="20">
        <f t="shared" ref="E58:J58" si="15">SUM(E56,E51)</f>
        <v>10402370</v>
      </c>
      <c r="F58" s="20">
        <f t="shared" si="15"/>
        <v>218560</v>
      </c>
      <c r="G58" s="20">
        <f t="shared" si="15"/>
        <v>226750</v>
      </c>
      <c r="H58" s="20">
        <f t="shared" si="15"/>
        <v>234940</v>
      </c>
      <c r="I58" s="7">
        <f>SUM(I56,I51)</f>
        <v>0</v>
      </c>
      <c r="J58" s="20">
        <f t="shared" si="15"/>
        <v>11205200</v>
      </c>
    </row>
    <row r="59" spans="2:10" x14ac:dyDescent="0.2">
      <c r="B59" s="6"/>
    </row>
    <row r="60" spans="2:10" x14ac:dyDescent="0.2">
      <c r="B60" s="6"/>
    </row>
    <row r="61" spans="2:10" x14ac:dyDescent="0.2">
      <c r="B61" s="6"/>
    </row>
    <row r="62" spans="2:10" x14ac:dyDescent="0.2">
      <c r="B62" s="6"/>
    </row>
    <row r="63" spans="2:10" x14ac:dyDescent="0.2">
      <c r="B63" s="6"/>
    </row>
    <row r="64" spans="2:10" x14ac:dyDescent="0.2">
      <c r="B64" s="6"/>
    </row>
    <row r="65" spans="2:2" x14ac:dyDescent="0.2">
      <c r="B65" s="6"/>
    </row>
    <row r="66" spans="2:2" x14ac:dyDescent="0.2">
      <c r="B66" s="6"/>
    </row>
    <row r="67" spans="2:2" x14ac:dyDescent="0.2">
      <c r="B67" s="6"/>
    </row>
    <row r="68" spans="2:2" x14ac:dyDescent="0.2">
      <c r="B68" s="6"/>
    </row>
    <row r="69" spans="2:2" x14ac:dyDescent="0.2">
      <c r="B69" s="6"/>
    </row>
    <row r="70" spans="2:2" x14ac:dyDescent="0.2">
      <c r="B70" s="6"/>
    </row>
    <row r="71" spans="2:2" x14ac:dyDescent="0.2">
      <c r="B71" s="6"/>
    </row>
    <row r="72" spans="2:2" x14ac:dyDescent="0.2">
      <c r="B72" s="6"/>
    </row>
    <row r="73" spans="2:2" x14ac:dyDescent="0.2">
      <c r="B73" s="6"/>
    </row>
  </sheetData>
  <pageMargins left="0.7" right="0.7" top="0.75" bottom="0.75" header="0.3" footer="0.3"/>
  <pageSetup orientation="portrait" r:id="rId1"/>
  <ignoredErrors>
    <ignoredError sqref="J33 J38:J39 J44:J46 J20:J26 J8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58a0ea98-960e-411b-9518-b625b63c0783">
      <UserInfo>
        <DisplayName>SharingLinks.cd7199e0-3019-4770-af23-1ba8c35e4a37.OrganizationEdit.b1237b01-ca64-4605-b4c3-e192acc355d5</DisplayName>
        <AccountId>204</AccountId>
        <AccountType/>
      </UserInfo>
      <UserInfo>
        <DisplayName>Butler, Elizabeth (she/her/hers)</DisplayName>
        <AccountId>313</AccountId>
        <AccountType/>
      </UserInfo>
      <UserInfo>
        <DisplayName>SharingLinks.c429da80-75db-48b8-ac2c-b8b8d35a7f8d.OrganizationEdit.8c06e9f9-c4a2-42b6-8195-9fbcfda7ee4f</DisplayName>
        <AccountId>223</AccountId>
        <AccountType/>
      </UserInfo>
      <UserInfo>
        <DisplayName>Loutan, Reema (she/her/hers)</DisplayName>
        <AccountId>314</AccountId>
        <AccountType/>
      </UserInfo>
      <UserInfo>
        <DisplayName>SharingLinks.4046d22a-99a7-4d38-96fd-c2a5402ab433.OrganizationEdit.045493fe-632a-411c-b5ba-4812fc49926a</DisplayName>
        <AccountId>222</AccountId>
        <AccountType/>
      </UserInfo>
      <UserInfo>
        <DisplayName>Bitalac, Emily</DisplayName>
        <AccountId>804</AccountId>
        <AccountType/>
      </UserInfo>
      <UserInfo>
        <DisplayName>Roberts, Timothy-P</DisplayName>
        <AccountId>50</AccountId>
        <AccountType/>
      </UserInfo>
      <UserInfo>
        <DisplayName>O'Sullivan, Caitlin (she/her/hers)</DisplayName>
        <AccountId>248</AccountId>
        <AccountType/>
      </UserInfo>
      <UserInfo>
        <DisplayName>January, Elizabeth (she/her/hers)</DisplayName>
        <AccountId>1114</AccountId>
        <AccountType/>
      </UserInfo>
      <UserInfo>
        <DisplayName>Ng, Allison</DisplayName>
        <AccountId>221</AccountId>
        <AccountType/>
      </UserInfo>
      <UserInfo>
        <DisplayName>Thompson, Ashley (she/her/hers)</DisplayName>
        <AccountId>62</AccountId>
        <AccountType/>
      </UserInfo>
      <UserInfo>
        <DisplayName>Damberg, Rich</DisplayName>
        <AccountId>16</AccountId>
        <AccountType/>
      </UserInfo>
      <UserInfo>
        <DisplayName>Brachtl, Megan</DisplayName>
        <AccountId>17</AccountId>
        <AccountType/>
      </UserInfo>
      <UserInfo>
        <DisplayName>Denny, Andrea</DisplayName>
        <AccountId>14</AccountId>
        <AccountType/>
      </UserInfo>
      <UserInfo>
        <DisplayName>Hansel, Peter</DisplayName>
        <AccountId>202</AccountId>
        <AccountType/>
      </UserInfo>
    </SharedWithUsers>
    <lcf76f155ced4ddcb4097134ff3c332f xmlns="4e6dab62-7e6c-434f-8f7d-a035f21f8adc">
      <Terms xmlns="http://schemas.microsoft.com/office/infopath/2007/PartnerControls"/>
    </lcf76f155ced4ddcb4097134ff3c332f>
    <TaxCatchAll xmlns="58a0ea98-960e-411b-9518-b625b63c078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82D06D3115AA44AA45659BC8CAF738A" ma:contentTypeVersion="15" ma:contentTypeDescription="Create a new document." ma:contentTypeScope="" ma:versionID="ba432a5f3c0c8a3302c254e1f2b3adad">
  <xsd:schema xmlns:xsd="http://www.w3.org/2001/XMLSchema" xmlns:xs="http://www.w3.org/2001/XMLSchema" xmlns:p="http://schemas.microsoft.com/office/2006/metadata/properties" xmlns:ns2="4e6dab62-7e6c-434f-8f7d-a035f21f8adc" xmlns:ns3="58a0ea98-960e-411b-9518-b625b63c0783" targetNamespace="http://schemas.microsoft.com/office/2006/metadata/properties" ma:root="true" ma:fieldsID="cd3eeba2e3d6c27a7428e4f37b6046bb" ns2:_="" ns3:_="">
    <xsd:import namespace="4e6dab62-7e6c-434f-8f7d-a035f21f8adc"/>
    <xsd:import namespace="58a0ea98-960e-411b-9518-b625b63c078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6dab62-7e6c-434f-8f7d-a035f21f8a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35d18868-1a74-465c-8b00-c8c65f5429e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a0ea98-960e-411b-9518-b625b63c0783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5db8ba60-c135-48a7-abe8-4a5a5a2ad7b4}" ma:internalName="TaxCatchAll" ma:showField="CatchAllData" ma:web="58a0ea98-960e-411b-9518-b625b63c078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68222176-22B4-47AB-AB9E-BB248AC3A7F3}">
  <ds:schemaRefs>
    <ds:schemaRef ds:uri="http://schemas.microsoft.com/office/2006/metadata/properties"/>
    <ds:schemaRef ds:uri="http://schemas.microsoft.com/office/infopath/2007/PartnerControls"/>
    <ds:schemaRef ds:uri="58a0ea98-960e-411b-9518-b625b63c0783"/>
    <ds:schemaRef ds:uri="4e6dab62-7e6c-434f-8f7d-a035f21f8adc"/>
  </ds:schemaRefs>
</ds:datastoreItem>
</file>

<file path=customXml/itemProps3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B403EC8E-2496-495D-BB43-49B0436828B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e6dab62-7e6c-434f-8f7d-a035f21f8adc"/>
    <ds:schemaRef ds:uri="58a0ea98-960e-411b-9518-b625b63c078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Overview</vt:lpstr>
      <vt:lpstr>Consolidated Budget</vt:lpstr>
      <vt:lpstr>EV Fleet Transition</vt:lpstr>
      <vt:lpstr>Mass Transit Expansion</vt:lpstr>
      <vt:lpstr>Bicycle &amp; Pedestrian Programs</vt:lpstr>
      <vt:lpstr>Measure 4 Budget</vt:lpstr>
      <vt:lpstr>Measure 5 Budget</vt:lpstr>
      <vt:lpstr>Sample Budget 1</vt:lpstr>
      <vt:lpstr>Sample Budget 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2024-03-13T14:01:23Z</dcterms:created>
  <dcterms:modified xsi:type="dcterms:W3CDTF">2024-04-01T22:51:05Z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0x010100482D06D3115AA44AA45659BC8CAF738A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  <property fmtid="{D5CDD505-2E9C-101B-9397-08002B2CF9AE}" pid="8" name="SV_QUERY_LIST_4F35BF76-6C0D-4D9B-82B2-816C12CF3733">
    <vt:lpwstr>empty_477D106A-C0D6-4607-AEBD-E2C9D60EA279</vt:lpwstr>
  </property>
  <property fmtid="{D5CDD505-2E9C-101B-9397-08002B2CF9AE}" pid="9" name="SV_HIDDEN_GRID_QUERY_LIST_4F35BF76-6C0D-4D9B-82B2-816C12CF3733">
    <vt:lpwstr>empty_477D106A-C0D6-4607-AEBD-E2C9D60EA279</vt:lpwstr>
  </property>
</Properties>
</file>