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ocumenttasks/documenttask1.xml" ContentType="application/vnd.ms-excel.documenttask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christinelane/Desktop/Clients/4. City of Jacksonville/CPRG/Project Narrative Attachment Form/"/>
    </mc:Choice>
  </mc:AlternateContent>
  <xr:revisionPtr revIDLastSave="0" documentId="8_{0D946E4B-967C-114D-BF28-48165132001A}" xr6:coauthVersionLast="47" xr6:coauthVersionMax="47" xr10:uidLastSave="{00000000-0000-0000-0000-000000000000}"/>
  <bookViews>
    <workbookView xWindow="0" yWindow="740" windowWidth="29400" windowHeight="16860" xr2:uid="{E86C2E6A-C782-6E4A-B53F-E4E36D3092C2}"/>
  </bookViews>
  <sheets>
    <sheet name="NEFL Transportation Estimates" sheetId="5" r:id="rId1"/>
    <sheet name="DATA" sheetId="3" r:id="rId2"/>
    <sheet name="DCPS Buses" sheetId="17" r:id="rId3"/>
    <sheet name="DCPS Non Bus Fleet" sheetId="14" r:id="rId4"/>
    <sheet name="COJ Fleet" sheetId="8" r:id="rId5"/>
    <sheet name="COAB Fleet" sheetId="7" state="hidden" r:id="rId6"/>
    <sheet name="NEFL Counties Fleet" sheetId="1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5" l="1"/>
  <c r="C7" i="5"/>
  <c r="C4" i="5"/>
  <c r="O88" i="8"/>
  <c r="L77" i="8"/>
  <c r="I1" i="14"/>
  <c r="J1" i="14"/>
  <c r="L1" i="14" s="1"/>
  <c r="H1" i="14"/>
  <c r="K1" i="14"/>
  <c r="J141" i="14"/>
  <c r="J142" i="14"/>
  <c r="J143" i="14"/>
  <c r="J144" i="14"/>
  <c r="J145" i="14"/>
  <c r="J146" i="14"/>
  <c r="J147" i="14"/>
  <c r="J148" i="14"/>
  <c r="J149" i="14"/>
  <c r="J150" i="14"/>
  <c r="J151" i="14"/>
  <c r="J152" i="14"/>
  <c r="J153" i="14"/>
  <c r="J154" i="14"/>
  <c r="J155" i="14"/>
  <c r="J156" i="14"/>
  <c r="J157" i="14"/>
  <c r="J158" i="14"/>
  <c r="J159" i="14"/>
  <c r="J160" i="14"/>
  <c r="J140" i="14"/>
  <c r="J139" i="14"/>
  <c r="J138" i="14"/>
  <c r="J137" i="14"/>
  <c r="J136" i="14"/>
  <c r="I1" i="15"/>
  <c r="J1" i="15"/>
  <c r="H1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69" i="15"/>
  <c r="J68" i="15"/>
  <c r="J67" i="15"/>
  <c r="J66" i="15"/>
  <c r="J65" i="15"/>
  <c r="K65" i="15" s="1"/>
  <c r="L65" i="15"/>
  <c r="M65" i="15"/>
  <c r="G53" i="15"/>
  <c r="J53" i="15"/>
  <c r="G54" i="15"/>
  <c r="J54" i="15"/>
  <c r="B15" i="5"/>
  <c r="G49" i="15"/>
  <c r="J49" i="15"/>
  <c r="G50" i="15"/>
  <c r="J50" i="15"/>
  <c r="G51" i="15"/>
  <c r="J51" i="15"/>
  <c r="G52" i="15"/>
  <c r="J52" i="15"/>
  <c r="G12" i="5"/>
  <c r="J48" i="15" l="1"/>
  <c r="J47" i="15"/>
  <c r="G47" i="15"/>
  <c r="J46" i="15"/>
  <c r="G46" i="15"/>
  <c r="J45" i="15"/>
  <c r="G45" i="15"/>
  <c r="J44" i="15"/>
  <c r="G44" i="15"/>
  <c r="J43" i="15"/>
  <c r="G43" i="15"/>
  <c r="J42" i="15"/>
  <c r="G42" i="15"/>
  <c r="J41" i="15"/>
  <c r="G41" i="15"/>
  <c r="J40" i="15"/>
  <c r="G40" i="15"/>
  <c r="J39" i="15"/>
  <c r="G39" i="15"/>
  <c r="G48" i="15"/>
  <c r="G36" i="15"/>
  <c r="G37" i="15"/>
  <c r="G38" i="15"/>
  <c r="J1" i="17"/>
  <c r="J38" i="15"/>
  <c r="J37" i="15"/>
  <c r="J36" i="15"/>
  <c r="J35" i="15"/>
  <c r="G35" i="15"/>
  <c r="B5" i="5"/>
  <c r="K27" i="5"/>
  <c r="C6" i="5" s="1"/>
  <c r="G25" i="17"/>
  <c r="M25" i="17" s="1"/>
  <c r="I23" i="5"/>
  <c r="I22" i="5"/>
  <c r="I21" i="5"/>
  <c r="E12" i="5"/>
  <c r="H12" i="5" s="1"/>
  <c r="G17" i="5"/>
  <c r="C72" i="8"/>
  <c r="B72" i="8"/>
  <c r="C53" i="3"/>
  <c r="J111" i="14"/>
  <c r="J112" i="14"/>
  <c r="J113" i="14"/>
  <c r="J114" i="14"/>
  <c r="J115" i="14"/>
  <c r="J116" i="14"/>
  <c r="J117" i="14"/>
  <c r="J118" i="14"/>
  <c r="J119" i="14"/>
  <c r="J120" i="14"/>
  <c r="J121" i="14"/>
  <c r="J122" i="14"/>
  <c r="J123" i="14"/>
  <c r="J124" i="14"/>
  <c r="J125" i="14"/>
  <c r="J126" i="14"/>
  <c r="J127" i="14"/>
  <c r="J128" i="14"/>
  <c r="J129" i="14"/>
  <c r="J130" i="14"/>
  <c r="J131" i="14"/>
  <c r="J132" i="14"/>
  <c r="J133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10" i="14"/>
  <c r="J110" i="14"/>
  <c r="G100" i="14"/>
  <c r="J100" i="14"/>
  <c r="G101" i="14"/>
  <c r="J101" i="14"/>
  <c r="G102" i="14"/>
  <c r="J102" i="14"/>
  <c r="G103" i="14"/>
  <c r="J103" i="14"/>
  <c r="G104" i="14"/>
  <c r="J104" i="14"/>
  <c r="G105" i="14"/>
  <c r="J105" i="14"/>
  <c r="G106" i="14"/>
  <c r="J106" i="14"/>
  <c r="G107" i="14"/>
  <c r="J107" i="14"/>
  <c r="G108" i="14"/>
  <c r="J108" i="14"/>
  <c r="G109" i="14"/>
  <c r="J109" i="14"/>
  <c r="G88" i="14"/>
  <c r="J88" i="14"/>
  <c r="G89" i="14"/>
  <c r="J89" i="14"/>
  <c r="G90" i="14"/>
  <c r="J90" i="14"/>
  <c r="G91" i="14"/>
  <c r="J91" i="14"/>
  <c r="G92" i="14"/>
  <c r="J92" i="14"/>
  <c r="G93" i="14"/>
  <c r="J93" i="14"/>
  <c r="G94" i="14"/>
  <c r="J94" i="14"/>
  <c r="G95" i="14"/>
  <c r="J95" i="14"/>
  <c r="G96" i="14"/>
  <c r="J96" i="14"/>
  <c r="G97" i="14"/>
  <c r="J97" i="14"/>
  <c r="G98" i="14"/>
  <c r="J98" i="14"/>
  <c r="G99" i="14"/>
  <c r="J99" i="14"/>
  <c r="G76" i="14"/>
  <c r="J76" i="14"/>
  <c r="G77" i="14"/>
  <c r="J77" i="14"/>
  <c r="G78" i="14"/>
  <c r="J78" i="14"/>
  <c r="G79" i="14"/>
  <c r="J79" i="14"/>
  <c r="G80" i="14"/>
  <c r="J80" i="14"/>
  <c r="G81" i="14"/>
  <c r="J81" i="14"/>
  <c r="G82" i="14"/>
  <c r="J82" i="14"/>
  <c r="G83" i="14"/>
  <c r="J83" i="14"/>
  <c r="G84" i="14"/>
  <c r="J84" i="14"/>
  <c r="G85" i="14"/>
  <c r="J85" i="14"/>
  <c r="G86" i="14"/>
  <c r="J86" i="14"/>
  <c r="G87" i="14"/>
  <c r="J87" i="14"/>
  <c r="J75" i="14"/>
  <c r="G75" i="14"/>
  <c r="J74" i="14"/>
  <c r="G74" i="14"/>
  <c r="J73" i="14"/>
  <c r="G73" i="14"/>
  <c r="G70" i="14"/>
  <c r="J70" i="14"/>
  <c r="G71" i="14"/>
  <c r="J71" i="14"/>
  <c r="G72" i="14"/>
  <c r="J72" i="14"/>
  <c r="G61" i="14"/>
  <c r="J61" i="14"/>
  <c r="G62" i="14"/>
  <c r="J62" i="14"/>
  <c r="G63" i="14"/>
  <c r="J63" i="14"/>
  <c r="G64" i="14"/>
  <c r="J64" i="14"/>
  <c r="G65" i="14"/>
  <c r="J65" i="14"/>
  <c r="G66" i="14"/>
  <c r="J66" i="14"/>
  <c r="G67" i="14"/>
  <c r="J67" i="14"/>
  <c r="G68" i="14"/>
  <c r="J68" i="14"/>
  <c r="G69" i="14"/>
  <c r="J69" i="14"/>
  <c r="G53" i="14"/>
  <c r="J53" i="14"/>
  <c r="G54" i="14"/>
  <c r="J54" i="14"/>
  <c r="G55" i="14"/>
  <c r="J55" i="14"/>
  <c r="G56" i="14"/>
  <c r="J56" i="14"/>
  <c r="G57" i="14"/>
  <c r="J57" i="14"/>
  <c r="G58" i="14"/>
  <c r="J58" i="14"/>
  <c r="G59" i="14"/>
  <c r="J59" i="14"/>
  <c r="G60" i="14"/>
  <c r="J60" i="14"/>
  <c r="G49" i="14"/>
  <c r="J49" i="14"/>
  <c r="G50" i="14"/>
  <c r="J50" i="14"/>
  <c r="G51" i="14"/>
  <c r="J51" i="14"/>
  <c r="G52" i="14"/>
  <c r="J52" i="14"/>
  <c r="J48" i="14"/>
  <c r="G48" i="14"/>
  <c r="J47" i="14"/>
  <c r="G47" i="14"/>
  <c r="J46" i="14"/>
  <c r="G46" i="14"/>
  <c r="J43" i="14"/>
  <c r="J44" i="14"/>
  <c r="J45" i="14"/>
  <c r="G44" i="14"/>
  <c r="G45" i="14"/>
  <c r="G43" i="14"/>
  <c r="G10" i="14"/>
  <c r="J10" i="14"/>
  <c r="G4" i="14"/>
  <c r="G5" i="14"/>
  <c r="G6" i="14"/>
  <c r="G7" i="14"/>
  <c r="G8" i="14"/>
  <c r="G9" i="14"/>
  <c r="K12" i="5"/>
  <c r="H28" i="5" l="1"/>
  <c r="I28" i="5" s="1"/>
  <c r="F16" i="5"/>
  <c r="I16" i="5" s="1"/>
  <c r="E16" i="5"/>
  <c r="H16" i="5" s="1"/>
  <c r="D29" i="5"/>
  <c r="D27" i="5"/>
  <c r="H27" i="5" s="1"/>
  <c r="E15" i="3"/>
  <c r="B23" i="5" s="1"/>
  <c r="F23" i="5" s="1"/>
  <c r="N25" i="17"/>
  <c r="M26" i="17"/>
  <c r="L26" i="17"/>
  <c r="L27" i="17"/>
  <c r="L28" i="17"/>
  <c r="L29" i="17"/>
  <c r="L30" i="17"/>
  <c r="L31" i="17"/>
  <c r="L32" i="17"/>
  <c r="L33" i="17"/>
  <c r="L34" i="17"/>
  <c r="L35" i="17"/>
  <c r="L36" i="17"/>
  <c r="L37" i="17"/>
  <c r="L38" i="17"/>
  <c r="L39" i="17"/>
  <c r="L40" i="17"/>
  <c r="L41" i="17"/>
  <c r="L42" i="17"/>
  <c r="L43" i="17"/>
  <c r="L44" i="17"/>
  <c r="L45" i="17"/>
  <c r="O45" i="17" s="1"/>
  <c r="L46" i="17"/>
  <c r="L47" i="17"/>
  <c r="L48" i="17"/>
  <c r="L49" i="17"/>
  <c r="L25" i="17"/>
  <c r="K26" i="17"/>
  <c r="K25" i="17"/>
  <c r="G41" i="17"/>
  <c r="G40" i="17"/>
  <c r="G36" i="17"/>
  <c r="G37" i="17"/>
  <c r="G38" i="17"/>
  <c r="G39" i="17"/>
  <c r="G4" i="17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C51" i="17"/>
  <c r="B51" i="17" s="1"/>
  <c r="N48" i="17" s="1"/>
  <c r="N49" i="17"/>
  <c r="C49" i="17"/>
  <c r="B49" i="17" s="1"/>
  <c r="N46" i="17" s="1"/>
  <c r="N47" i="17"/>
  <c r="C47" i="17"/>
  <c r="B47" i="17" s="1"/>
  <c r="N44" i="17" s="1"/>
  <c r="N45" i="17"/>
  <c r="C45" i="17"/>
  <c r="B45" i="17" s="1"/>
  <c r="N42" i="17" s="1"/>
  <c r="N43" i="17"/>
  <c r="C43" i="17"/>
  <c r="B43" i="17" s="1"/>
  <c r="N40" i="17" s="1"/>
  <c r="N41" i="17"/>
  <c r="C41" i="17"/>
  <c r="B41" i="17" s="1"/>
  <c r="N38" i="17" s="1"/>
  <c r="N39" i="17"/>
  <c r="C39" i="17"/>
  <c r="B39" i="17" s="1"/>
  <c r="N36" i="17" s="1"/>
  <c r="N37" i="17"/>
  <c r="C37" i="17"/>
  <c r="B37" i="17" s="1"/>
  <c r="N34" i="17" s="1"/>
  <c r="N35" i="17"/>
  <c r="C35" i="17"/>
  <c r="B35" i="17" s="1"/>
  <c r="N32" i="17" s="1"/>
  <c r="N33" i="17"/>
  <c r="C33" i="17"/>
  <c r="B33" i="17" s="1"/>
  <c r="G32" i="17"/>
  <c r="N31" i="17"/>
  <c r="C31" i="17"/>
  <c r="B31" i="17" s="1"/>
  <c r="C29" i="17"/>
  <c r="B29" i="17" s="1"/>
  <c r="G27" i="17"/>
  <c r="C27" i="17"/>
  <c r="B27" i="17" s="1"/>
  <c r="G35" i="17"/>
  <c r="G34" i="17"/>
  <c r="G33" i="17"/>
  <c r="G31" i="17"/>
  <c r="G30" i="17"/>
  <c r="G26" i="17"/>
  <c r="M17" i="5"/>
  <c r="M12" i="5"/>
  <c r="L17" i="5"/>
  <c r="L12" i="5"/>
  <c r="K17" i="5"/>
  <c r="J17" i="5"/>
  <c r="J12" i="5"/>
  <c r="N164" i="8"/>
  <c r="N162" i="8"/>
  <c r="N161" i="8"/>
  <c r="N163" i="8"/>
  <c r="M164" i="8"/>
  <c r="M163" i="8"/>
  <c r="M162" i="8"/>
  <c r="M161" i="8"/>
  <c r="N50" i="7"/>
  <c r="N49" i="7"/>
  <c r="M50" i="7"/>
  <c r="M49" i="7"/>
  <c r="F17" i="5"/>
  <c r="I17" i="5" s="1"/>
  <c r="F12" i="5"/>
  <c r="E17" i="5"/>
  <c r="H17" i="5" s="1"/>
  <c r="K49" i="7"/>
  <c r="K162" i="8"/>
  <c r="K161" i="8"/>
  <c r="P110" i="8"/>
  <c r="R110" i="8"/>
  <c r="K50" i="7"/>
  <c r="K164" i="8"/>
  <c r="K163" i="8"/>
  <c r="Q110" i="8"/>
  <c r="O111" i="8"/>
  <c r="O112" i="8"/>
  <c r="O113" i="8"/>
  <c r="O114" i="8"/>
  <c r="O115" i="8"/>
  <c r="O116" i="8"/>
  <c r="O117" i="8"/>
  <c r="O118" i="8"/>
  <c r="O119" i="8"/>
  <c r="O120" i="8"/>
  <c r="O121" i="8"/>
  <c r="O122" i="8"/>
  <c r="O123" i="8"/>
  <c r="O124" i="8"/>
  <c r="O125" i="8"/>
  <c r="O126" i="8"/>
  <c r="O127" i="8"/>
  <c r="O128" i="8"/>
  <c r="O129" i="8"/>
  <c r="O130" i="8"/>
  <c r="O131" i="8"/>
  <c r="O132" i="8"/>
  <c r="O133" i="8"/>
  <c r="O134" i="8"/>
  <c r="O135" i="8"/>
  <c r="O136" i="8"/>
  <c r="O137" i="8"/>
  <c r="O138" i="8"/>
  <c r="O139" i="8"/>
  <c r="O140" i="8"/>
  <c r="O141" i="8"/>
  <c r="O142" i="8"/>
  <c r="O143" i="8"/>
  <c r="O144" i="8"/>
  <c r="O145" i="8"/>
  <c r="O146" i="8"/>
  <c r="O147" i="8"/>
  <c r="O148" i="8"/>
  <c r="O149" i="8"/>
  <c r="O150" i="8"/>
  <c r="O151" i="8"/>
  <c r="O152" i="8"/>
  <c r="O153" i="8"/>
  <c r="O154" i="8"/>
  <c r="O155" i="8"/>
  <c r="O156" i="8"/>
  <c r="O157" i="8"/>
  <c r="O158" i="8"/>
  <c r="O159" i="8"/>
  <c r="N159" i="8"/>
  <c r="N158" i="8"/>
  <c r="N157" i="8"/>
  <c r="N156" i="8"/>
  <c r="N155" i="8"/>
  <c r="N154" i="8"/>
  <c r="N153" i="8"/>
  <c r="N152" i="8"/>
  <c r="N151" i="8"/>
  <c r="N150" i="8"/>
  <c r="N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M112" i="8"/>
  <c r="M113" i="8"/>
  <c r="G115" i="8"/>
  <c r="M111" i="8"/>
  <c r="M110" i="8"/>
  <c r="G121" i="8"/>
  <c r="G116" i="8"/>
  <c r="G114" i="8"/>
  <c r="G113" i="8"/>
  <c r="G112" i="8"/>
  <c r="G111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14" i="8"/>
  <c r="L115" i="8"/>
  <c r="L113" i="8"/>
  <c r="L111" i="8"/>
  <c r="K113" i="8"/>
  <c r="K112" i="8"/>
  <c r="K111" i="8"/>
  <c r="C136" i="8"/>
  <c r="B136" i="8" s="1"/>
  <c r="C134" i="8"/>
  <c r="B134" i="8" s="1"/>
  <c r="C132" i="8"/>
  <c r="B132" i="8" s="1"/>
  <c r="C130" i="8"/>
  <c r="B130" i="8" s="1"/>
  <c r="C128" i="8"/>
  <c r="B128" i="8" s="1"/>
  <c r="C126" i="8"/>
  <c r="B126" i="8" s="1"/>
  <c r="C124" i="8"/>
  <c r="B124" i="8" s="1"/>
  <c r="C122" i="8"/>
  <c r="B122" i="8" s="1"/>
  <c r="C120" i="8"/>
  <c r="B120" i="8" s="1"/>
  <c r="C118" i="8"/>
  <c r="B118" i="8" s="1"/>
  <c r="C116" i="8"/>
  <c r="B116" i="8" s="1"/>
  <c r="C114" i="8"/>
  <c r="B114" i="8" s="1"/>
  <c r="C112" i="8"/>
  <c r="B112" i="8" s="1"/>
  <c r="I40" i="8"/>
  <c r="I66" i="8"/>
  <c r="I5" i="8"/>
  <c r="I18" i="8"/>
  <c r="I20" i="8"/>
  <c r="I4" i="8"/>
  <c r="F69" i="15"/>
  <c r="F68" i="15"/>
  <c r="F67" i="15"/>
  <c r="F66" i="15"/>
  <c r="F65" i="15"/>
  <c r="L66" i="15" s="1"/>
  <c r="F140" i="14"/>
  <c r="F139" i="14"/>
  <c r="F138" i="14"/>
  <c r="F137" i="14"/>
  <c r="F136" i="14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" i="15"/>
  <c r="M89" i="15"/>
  <c r="M88" i="15"/>
  <c r="M87" i="15"/>
  <c r="M86" i="15"/>
  <c r="M85" i="15"/>
  <c r="M84" i="15"/>
  <c r="M83" i="15"/>
  <c r="M82" i="15"/>
  <c r="M81" i="15"/>
  <c r="M80" i="15"/>
  <c r="M79" i="15"/>
  <c r="M78" i="15"/>
  <c r="M77" i="15"/>
  <c r="M76" i="15"/>
  <c r="M75" i="15"/>
  <c r="M74" i="15"/>
  <c r="M73" i="15"/>
  <c r="M72" i="15"/>
  <c r="M71" i="15"/>
  <c r="M70" i="15"/>
  <c r="M160" i="14"/>
  <c r="K160" i="14"/>
  <c r="K159" i="14"/>
  <c r="M158" i="14"/>
  <c r="K158" i="14"/>
  <c r="K157" i="14"/>
  <c r="M156" i="14"/>
  <c r="K156" i="14"/>
  <c r="K155" i="14"/>
  <c r="M154" i="14"/>
  <c r="K154" i="14"/>
  <c r="K153" i="14"/>
  <c r="M152" i="14"/>
  <c r="K152" i="14"/>
  <c r="M151" i="14"/>
  <c r="K151" i="14"/>
  <c r="M150" i="14"/>
  <c r="K150" i="14"/>
  <c r="K149" i="14"/>
  <c r="M148" i="14"/>
  <c r="K148" i="14"/>
  <c r="K147" i="14"/>
  <c r="M146" i="14"/>
  <c r="K146" i="14"/>
  <c r="K145" i="14"/>
  <c r="M144" i="14"/>
  <c r="K144" i="14"/>
  <c r="M143" i="14"/>
  <c r="K143" i="14"/>
  <c r="M142" i="14"/>
  <c r="K142" i="14"/>
  <c r="K141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3" i="14"/>
  <c r="N29" i="7"/>
  <c r="N31" i="7"/>
  <c r="N33" i="7"/>
  <c r="N35" i="7"/>
  <c r="N37" i="7"/>
  <c r="N39" i="7"/>
  <c r="N41" i="7"/>
  <c r="N43" i="7"/>
  <c r="N45" i="7"/>
  <c r="N47" i="7"/>
  <c r="L28" i="7"/>
  <c r="L29" i="7"/>
  <c r="O29" i="7" s="1"/>
  <c r="L30" i="7"/>
  <c r="L31" i="7"/>
  <c r="O31" i="7" s="1"/>
  <c r="L32" i="7"/>
  <c r="L33" i="7"/>
  <c r="O33" i="7" s="1"/>
  <c r="L34" i="7"/>
  <c r="L35" i="7"/>
  <c r="L36" i="7"/>
  <c r="L37" i="7"/>
  <c r="O37" i="7" s="1"/>
  <c r="L38" i="7"/>
  <c r="L39" i="7"/>
  <c r="O39" i="7" s="1"/>
  <c r="L40" i="7"/>
  <c r="L41" i="7"/>
  <c r="O41" i="7" s="1"/>
  <c r="L42" i="7"/>
  <c r="L43" i="7"/>
  <c r="O43" i="7" s="1"/>
  <c r="L44" i="7"/>
  <c r="L45" i="7"/>
  <c r="O45" i="7" s="1"/>
  <c r="L46" i="7"/>
  <c r="L47" i="7"/>
  <c r="O47" i="7" s="1"/>
  <c r="K72" i="15" l="1"/>
  <c r="N72" i="15" s="1"/>
  <c r="K83" i="15"/>
  <c r="N83" i="15" s="1"/>
  <c r="K71" i="15"/>
  <c r="N71" i="15" s="1"/>
  <c r="K85" i="15"/>
  <c r="N85" i="15" s="1"/>
  <c r="K82" i="15"/>
  <c r="N82" i="15" s="1"/>
  <c r="K70" i="15"/>
  <c r="N70" i="15" s="1"/>
  <c r="K81" i="15"/>
  <c r="N81" i="15" s="1"/>
  <c r="K80" i="15"/>
  <c r="N80" i="15" s="1"/>
  <c r="K79" i="15"/>
  <c r="N79" i="15" s="1"/>
  <c r="K78" i="15"/>
  <c r="N78" i="15" s="1"/>
  <c r="K69" i="15"/>
  <c r="K89" i="15"/>
  <c r="N89" i="15" s="1"/>
  <c r="K77" i="15"/>
  <c r="N77" i="15" s="1"/>
  <c r="K88" i="15"/>
  <c r="N88" i="15" s="1"/>
  <c r="K76" i="15"/>
  <c r="N76" i="15" s="1"/>
  <c r="K87" i="15"/>
  <c r="N87" i="15" s="1"/>
  <c r="K75" i="15"/>
  <c r="N75" i="15" s="1"/>
  <c r="K86" i="15"/>
  <c r="N86" i="15" s="1"/>
  <c r="K74" i="15"/>
  <c r="N74" i="15" s="1"/>
  <c r="K67" i="15"/>
  <c r="K84" i="15"/>
  <c r="N84" i="15" s="1"/>
  <c r="L68" i="15"/>
  <c r="M68" i="15" s="1"/>
  <c r="K73" i="15"/>
  <c r="N73" i="15" s="1"/>
  <c r="K68" i="15"/>
  <c r="F71" i="15"/>
  <c r="L67" i="15"/>
  <c r="M67" i="15" s="1"/>
  <c r="K66" i="15"/>
  <c r="L69" i="15"/>
  <c r="M69" i="15" s="1"/>
  <c r="N156" i="14"/>
  <c r="N154" i="14"/>
  <c r="K137" i="14"/>
  <c r="K140" i="14"/>
  <c r="K139" i="14"/>
  <c r="N144" i="14"/>
  <c r="N152" i="14"/>
  <c r="K136" i="14"/>
  <c r="L140" i="14"/>
  <c r="K138" i="14"/>
  <c r="L137" i="14"/>
  <c r="M137" i="14" s="1"/>
  <c r="F142" i="14"/>
  <c r="L138" i="14"/>
  <c r="L139" i="14"/>
  <c r="L136" i="14"/>
  <c r="H29" i="5"/>
  <c r="E23" i="5"/>
  <c r="O36" i="17"/>
  <c r="O40" i="17"/>
  <c r="O44" i="17"/>
  <c r="O38" i="17"/>
  <c r="O42" i="17"/>
  <c r="O46" i="17"/>
  <c r="O39" i="17"/>
  <c r="O47" i="17"/>
  <c r="O33" i="17"/>
  <c r="O49" i="17"/>
  <c r="O31" i="17"/>
  <c r="G28" i="17"/>
  <c r="O41" i="17"/>
  <c r="O35" i="17"/>
  <c r="G29" i="17"/>
  <c r="B53" i="17"/>
  <c r="O34" i="17"/>
  <c r="O43" i="17"/>
  <c r="O37" i="17"/>
  <c r="O48" i="17"/>
  <c r="O32" i="17"/>
  <c r="B54" i="17"/>
  <c r="N30" i="17"/>
  <c r="O30" i="17" s="1"/>
  <c r="G3" i="17"/>
  <c r="B138" i="8"/>
  <c r="B139" i="8"/>
  <c r="O35" i="7"/>
  <c r="M66" i="15"/>
  <c r="N148" i="14"/>
  <c r="N158" i="14"/>
  <c r="N150" i="14"/>
  <c r="N146" i="14"/>
  <c r="N142" i="14"/>
  <c r="N143" i="14"/>
  <c r="N160" i="14"/>
  <c r="O46" i="7"/>
  <c r="O30" i="7"/>
  <c r="O44" i="7"/>
  <c r="N151" i="14"/>
  <c r="M157" i="14"/>
  <c r="N157" i="14" s="1"/>
  <c r="M149" i="14"/>
  <c r="N149" i="14" s="1"/>
  <c r="M147" i="14"/>
  <c r="N147" i="14" s="1"/>
  <c r="M155" i="14"/>
  <c r="N155" i="14" s="1"/>
  <c r="M141" i="14"/>
  <c r="N141" i="14" s="1"/>
  <c r="M145" i="14"/>
  <c r="N145" i="14" s="1"/>
  <c r="M153" i="14"/>
  <c r="N153" i="14" s="1"/>
  <c r="M159" i="14"/>
  <c r="N159" i="14" s="1"/>
  <c r="C49" i="7"/>
  <c r="B49" i="7" s="1"/>
  <c r="N46" i="7" s="1"/>
  <c r="C47" i="7"/>
  <c r="B47" i="7" s="1"/>
  <c r="N44" i="7" s="1"/>
  <c r="C45" i="7"/>
  <c r="B45" i="7" s="1"/>
  <c r="N42" i="7" s="1"/>
  <c r="O42" i="7" s="1"/>
  <c r="C43" i="7"/>
  <c r="B43" i="7" s="1"/>
  <c r="N40" i="7" s="1"/>
  <c r="O40" i="7" s="1"/>
  <c r="C41" i="7"/>
  <c r="B41" i="7" s="1"/>
  <c r="N38" i="7" s="1"/>
  <c r="O38" i="7" s="1"/>
  <c r="C39" i="7"/>
  <c r="B39" i="7" s="1"/>
  <c r="N36" i="7" s="1"/>
  <c r="O36" i="7" s="1"/>
  <c r="C37" i="7"/>
  <c r="B37" i="7" s="1"/>
  <c r="N34" i="7" s="1"/>
  <c r="O34" i="7" s="1"/>
  <c r="C35" i="7"/>
  <c r="B35" i="7" s="1"/>
  <c r="N32" i="7" s="1"/>
  <c r="O32" i="7" s="1"/>
  <c r="C33" i="7"/>
  <c r="B33" i="7" s="1"/>
  <c r="N30" i="7" s="1"/>
  <c r="C31" i="7"/>
  <c r="B31" i="7" s="1"/>
  <c r="N28" i="7" s="1"/>
  <c r="O28" i="7" s="1"/>
  <c r="C29" i="7"/>
  <c r="B29" i="7" s="1"/>
  <c r="C27" i="7"/>
  <c r="B27" i="7" s="1"/>
  <c r="C25" i="7"/>
  <c r="B25" i="7" s="1"/>
  <c r="M1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4" i="15"/>
  <c r="J3" i="15"/>
  <c r="E78" i="8"/>
  <c r="I78" i="8" s="1"/>
  <c r="E79" i="8"/>
  <c r="I79" i="8" s="1"/>
  <c r="E80" i="8"/>
  <c r="I80" i="8" s="1"/>
  <c r="E81" i="8"/>
  <c r="I81" i="8" s="1"/>
  <c r="E82" i="8"/>
  <c r="I82" i="8" s="1"/>
  <c r="E83" i="8"/>
  <c r="I83" i="8" s="1"/>
  <c r="E84" i="8"/>
  <c r="I84" i="8" s="1"/>
  <c r="E85" i="8"/>
  <c r="I85" i="8" s="1"/>
  <c r="E86" i="8"/>
  <c r="I86" i="8" s="1"/>
  <c r="E87" i="8"/>
  <c r="I87" i="8" s="1"/>
  <c r="E88" i="8"/>
  <c r="I88" i="8" s="1"/>
  <c r="E89" i="8"/>
  <c r="I89" i="8" s="1"/>
  <c r="E90" i="8"/>
  <c r="I90" i="8" s="1"/>
  <c r="E91" i="8"/>
  <c r="I91" i="8" s="1"/>
  <c r="E92" i="8"/>
  <c r="I92" i="8" s="1"/>
  <c r="E93" i="8"/>
  <c r="I93" i="8" s="1"/>
  <c r="E94" i="8"/>
  <c r="I94" i="8" s="1"/>
  <c r="E95" i="8"/>
  <c r="I95" i="8" s="1"/>
  <c r="E96" i="8"/>
  <c r="I96" i="8" s="1"/>
  <c r="E97" i="8"/>
  <c r="I97" i="8" s="1"/>
  <c r="E98" i="8"/>
  <c r="I98" i="8" s="1"/>
  <c r="E99" i="8"/>
  <c r="I99" i="8" s="1"/>
  <c r="E100" i="8"/>
  <c r="I100" i="8" s="1"/>
  <c r="E101" i="8"/>
  <c r="I101" i="8" s="1"/>
  <c r="E102" i="8"/>
  <c r="I102" i="8" s="1"/>
  <c r="E103" i="8"/>
  <c r="I103" i="8" s="1"/>
  <c r="E104" i="8"/>
  <c r="I104" i="8" s="1"/>
  <c r="E77" i="8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9" i="8"/>
  <c r="I19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I56" i="8" s="1"/>
  <c r="E57" i="8"/>
  <c r="I57" i="8" s="1"/>
  <c r="E58" i="8"/>
  <c r="I58" i="8" s="1"/>
  <c r="E59" i="8"/>
  <c r="I59" i="8" s="1"/>
  <c r="E60" i="8"/>
  <c r="I60" i="8" s="1"/>
  <c r="E61" i="8"/>
  <c r="I61" i="8" s="1"/>
  <c r="E62" i="8"/>
  <c r="I62" i="8" s="1"/>
  <c r="E63" i="8"/>
  <c r="I63" i="8" s="1"/>
  <c r="E64" i="8"/>
  <c r="I64" i="8" s="1"/>
  <c r="E65" i="8"/>
  <c r="I65" i="8" s="1"/>
  <c r="E67" i="8"/>
  <c r="I67" i="8" s="1"/>
  <c r="E68" i="8"/>
  <c r="I68" i="8" s="1"/>
  <c r="E70" i="8"/>
  <c r="I70" i="8" s="1"/>
  <c r="E71" i="8"/>
  <c r="I71" i="8" s="1"/>
  <c r="E6" i="8"/>
  <c r="J4" i="14"/>
  <c r="J5" i="14"/>
  <c r="J6" i="14"/>
  <c r="J7" i="14"/>
  <c r="J8" i="14"/>
  <c r="J9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3" i="14"/>
  <c r="M1" i="14"/>
  <c r="N68" i="15" l="1"/>
  <c r="N67" i="15"/>
  <c r="N66" i="15"/>
  <c r="N69" i="15"/>
  <c r="L92" i="15"/>
  <c r="K15" i="5" s="1"/>
  <c r="L91" i="15"/>
  <c r="J15" i="5" s="1"/>
  <c r="J92" i="15"/>
  <c r="F15" i="5" s="1"/>
  <c r="I15" i="5" s="1"/>
  <c r="N65" i="15"/>
  <c r="J91" i="15"/>
  <c r="E15" i="5" s="1"/>
  <c r="H15" i="5" s="1"/>
  <c r="N137" i="14"/>
  <c r="J162" i="14"/>
  <c r="E13" i="5" s="1"/>
  <c r="J163" i="14"/>
  <c r="F13" i="5" s="1"/>
  <c r="I13" i="5" s="1"/>
  <c r="L163" i="14"/>
  <c r="K13" i="5" s="1"/>
  <c r="L162" i="14"/>
  <c r="J13" i="5" s="1"/>
  <c r="M136" i="14"/>
  <c r="J27" i="5"/>
  <c r="I29" i="5"/>
  <c r="I27" i="5"/>
  <c r="L27" i="5" s="1"/>
  <c r="D6" i="5" s="1"/>
  <c r="N27" i="17"/>
  <c r="N26" i="17"/>
  <c r="N29" i="17"/>
  <c r="N28" i="17"/>
  <c r="L112" i="8"/>
  <c r="I77" i="8"/>
  <c r="I6" i="8"/>
  <c r="K110" i="8" s="1"/>
  <c r="L110" i="8" s="1"/>
  <c r="E107" i="8"/>
  <c r="E106" i="8"/>
  <c r="L1" i="15"/>
  <c r="B51" i="7"/>
  <c r="B52" i="7"/>
  <c r="O65" i="15" l="1"/>
  <c r="Q65" i="15" s="1"/>
  <c r="P65" i="15"/>
  <c r="M92" i="15"/>
  <c r="M15" i="5" s="1"/>
  <c r="M91" i="15"/>
  <c r="L15" i="5" s="1"/>
  <c r="N136" i="14"/>
  <c r="E6" i="5"/>
  <c r="O29" i="17"/>
  <c r="K52" i="17"/>
  <c r="K51" i="17"/>
  <c r="O26" i="17"/>
  <c r="O27" i="17"/>
  <c r="M52" i="17"/>
  <c r="K16" i="5" s="1"/>
  <c r="M51" i="17"/>
  <c r="J16" i="5" s="1"/>
  <c r="O28" i="17"/>
  <c r="O110" i="8"/>
  <c r="O1" i="7"/>
  <c r="O25" i="17" l="1"/>
  <c r="P25" i="17" s="1"/>
  <c r="R25" i="17" s="1"/>
  <c r="N52" i="17"/>
  <c r="M16" i="5" s="1"/>
  <c r="N51" i="17"/>
  <c r="L16" i="5" s="1"/>
  <c r="Q25" i="17" l="1"/>
  <c r="K1" i="7" l="1"/>
  <c r="J1" i="7"/>
  <c r="L104" i="8"/>
  <c r="L103" i="8"/>
  <c r="L102" i="8"/>
  <c r="L101" i="8"/>
  <c r="L100" i="8"/>
  <c r="L99" i="8"/>
  <c r="L98" i="8"/>
  <c r="L97" i="8"/>
  <c r="L96" i="8"/>
  <c r="L95" i="8"/>
  <c r="L94" i="8"/>
  <c r="L93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8" i="8"/>
  <c r="T75" i="8"/>
  <c r="S75" i="8"/>
  <c r="L71" i="8"/>
  <c r="L70" i="8"/>
  <c r="L69" i="8"/>
  <c r="L68" i="8"/>
  <c r="L67" i="8"/>
  <c r="L66" i="8"/>
  <c r="L65" i="8"/>
  <c r="L64" i="8"/>
  <c r="L63" i="8"/>
  <c r="L62" i="8"/>
  <c r="L61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T2" i="8"/>
  <c r="S2" i="8"/>
  <c r="L4" i="7"/>
  <c r="L5" i="7"/>
  <c r="L6" i="7"/>
  <c r="L7" i="7"/>
  <c r="L8" i="7"/>
  <c r="L9" i="7"/>
  <c r="L10" i="7"/>
  <c r="L11" i="7"/>
  <c r="L12" i="7"/>
  <c r="L13" i="7"/>
  <c r="L14" i="7"/>
  <c r="L3" i="7"/>
  <c r="E3" i="7"/>
  <c r="G23" i="7" s="1"/>
  <c r="E4" i="7"/>
  <c r="G24" i="7" s="1"/>
  <c r="E5" i="7"/>
  <c r="G25" i="7" s="1"/>
  <c r="E6" i="7"/>
  <c r="G26" i="7" s="1"/>
  <c r="E7" i="7"/>
  <c r="G27" i="7" s="1"/>
  <c r="E8" i="7"/>
  <c r="G28" i="7" s="1"/>
  <c r="E10" i="7"/>
  <c r="G30" i="7" s="1"/>
  <c r="E11" i="7"/>
  <c r="G31" i="7" s="1"/>
  <c r="E12" i="7"/>
  <c r="G32" i="7" s="1"/>
  <c r="E13" i="7"/>
  <c r="G33" i="7" s="1"/>
  <c r="E14" i="7"/>
  <c r="G34" i="7" s="1"/>
  <c r="E9" i="7"/>
  <c r="G29" i="7" s="1"/>
  <c r="F34" i="3"/>
  <c r="F47" i="3"/>
  <c r="I46" i="3"/>
  <c r="I39" i="3"/>
  <c r="F40" i="3"/>
  <c r="D46" i="3"/>
  <c r="D47" i="3"/>
  <c r="M27" i="7" l="1"/>
  <c r="N27" i="7" s="1"/>
  <c r="M25" i="7"/>
  <c r="N25" i="7" s="1"/>
  <c r="M23" i="7"/>
  <c r="N23" i="7" s="1"/>
  <c r="M26" i="7"/>
  <c r="N26" i="7" s="1"/>
  <c r="M24" i="7"/>
  <c r="N24" i="7" s="1"/>
  <c r="G35" i="7"/>
  <c r="I13" i="7"/>
  <c r="I12" i="7"/>
  <c r="I4" i="7"/>
  <c r="I10" i="7"/>
  <c r="I8" i="7"/>
  <c r="I3" i="7"/>
  <c r="K23" i="7" s="1"/>
  <c r="L23" i="7" s="1"/>
  <c r="O23" i="7" s="1"/>
  <c r="I5" i="7"/>
  <c r="I11" i="7"/>
  <c r="I9" i="7"/>
  <c r="I7" i="7"/>
  <c r="I14" i="7"/>
  <c r="I6" i="7"/>
  <c r="L1" i="7"/>
  <c r="N1" i="7" s="1"/>
  <c r="E15" i="7"/>
  <c r="U75" i="8"/>
  <c r="U2" i="8"/>
  <c r="D48" i="3"/>
  <c r="K25" i="7" l="1"/>
  <c r="L25" i="7" s="1"/>
  <c r="O25" i="7" s="1"/>
  <c r="K24" i="7"/>
  <c r="L24" i="7" s="1"/>
  <c r="O24" i="7" s="1"/>
  <c r="K27" i="7"/>
  <c r="L27" i="7" s="1"/>
  <c r="O27" i="7" s="1"/>
  <c r="K26" i="7"/>
  <c r="L26" i="7" s="1"/>
  <c r="O26" i="7" s="1"/>
  <c r="I15" i="7"/>
  <c r="I17" i="7" s="1"/>
  <c r="B15" i="3"/>
  <c r="B21" i="5" s="1"/>
  <c r="G8" i="3"/>
  <c r="E103" i="3"/>
  <c r="H99" i="3"/>
  <c r="G99" i="3"/>
  <c r="F99" i="3"/>
  <c r="H98" i="3"/>
  <c r="G98" i="3"/>
  <c r="F98" i="3"/>
  <c r="B48" i="3"/>
  <c r="E88" i="3"/>
  <c r="H84" i="3"/>
  <c r="G84" i="3"/>
  <c r="F84" i="3"/>
  <c r="H83" i="3"/>
  <c r="G83" i="3"/>
  <c r="F83" i="3"/>
  <c r="F21" i="5" l="1"/>
  <c r="E21" i="5"/>
  <c r="D53" i="3"/>
  <c r="F56" i="3"/>
  <c r="C23" i="5"/>
  <c r="C22" i="5"/>
  <c r="C21" i="5"/>
  <c r="Q23" i="7"/>
  <c r="P23" i="7"/>
  <c r="R23" i="7" s="1"/>
  <c r="I18" i="7"/>
  <c r="C56" i="3"/>
  <c r="G103" i="3"/>
  <c r="F103" i="3"/>
  <c r="H103" i="3"/>
  <c r="F88" i="3"/>
  <c r="G88" i="3"/>
  <c r="H88" i="3"/>
  <c r="J88" i="3" l="1"/>
  <c r="J103" i="3"/>
  <c r="B23" i="3" l="1"/>
  <c r="E23" i="3"/>
  <c r="D23" i="3"/>
  <c r="F23" i="3"/>
  <c r="C23" i="3"/>
  <c r="C15" i="3"/>
  <c r="B22" i="5" s="1"/>
  <c r="F22" i="5" l="1"/>
  <c r="E22" i="5"/>
  <c r="G23" i="3"/>
  <c r="G15" i="3"/>
  <c r="B56" i="3" l="1"/>
  <c r="B108" i="3"/>
  <c r="C112" i="3"/>
  <c r="D112" i="3" s="1"/>
  <c r="E112" i="3" s="1"/>
  <c r="F112" i="3" s="1"/>
  <c r="G112" i="3" s="1"/>
  <c r="H112" i="3" s="1"/>
  <c r="I112" i="3" s="1"/>
  <c r="J112" i="3" s="1"/>
  <c r="K112" i="3" s="1"/>
  <c r="L112" i="3" s="1"/>
  <c r="C107" i="3"/>
  <c r="D107" i="3" s="1"/>
  <c r="E107" i="3" s="1"/>
  <c r="F107" i="3" s="1"/>
  <c r="G107" i="3" s="1"/>
  <c r="E72" i="3"/>
  <c r="H68" i="3"/>
  <c r="G68" i="3"/>
  <c r="F68" i="3"/>
  <c r="H67" i="3"/>
  <c r="G67" i="3"/>
  <c r="F67" i="3"/>
  <c r="B41" i="3"/>
  <c r="B35" i="3"/>
  <c r="G20" i="3"/>
  <c r="G19" i="3"/>
  <c r="G89" i="3" s="1"/>
  <c r="G18" i="3"/>
  <c r="G14" i="3"/>
  <c r="G13" i="3"/>
  <c r="G12" i="3"/>
  <c r="G11" i="3"/>
  <c r="G10" i="3"/>
  <c r="F104" i="3" l="1"/>
  <c r="F89" i="3"/>
  <c r="L88" i="3"/>
  <c r="J89" i="3" s="1"/>
  <c r="H104" i="3"/>
  <c r="H89" i="3"/>
  <c r="F53" i="3"/>
  <c r="H13" i="3"/>
  <c r="H20" i="3"/>
  <c r="F72" i="3"/>
  <c r="F73" i="3" s="1"/>
  <c r="G72" i="3"/>
  <c r="G73" i="3" s="1"/>
  <c r="H72" i="3"/>
  <c r="H73" i="3" s="1"/>
  <c r="J72" i="3" l="1"/>
  <c r="J73" i="3" s="1"/>
  <c r="G47" i="3" l="1"/>
  <c r="D39" i="3"/>
  <c r="D40" i="3"/>
  <c r="E53" i="3" l="1"/>
  <c r="H56" i="3"/>
  <c r="I56" i="3" s="1"/>
  <c r="G40" i="3"/>
  <c r="H53" i="3"/>
  <c r="I53" i="3" s="1"/>
  <c r="D41" i="3"/>
  <c r="D33" i="3"/>
  <c r="D34" i="3"/>
  <c r="H23" i="5" l="1"/>
  <c r="G23" i="5"/>
  <c r="H21" i="5"/>
  <c r="G22" i="5"/>
  <c r="H22" i="5"/>
  <c r="G56" i="3"/>
  <c r="G21" i="5"/>
  <c r="K21" i="5" s="1"/>
  <c r="G53" i="3"/>
  <c r="I12" i="5"/>
  <c r="D35" i="3"/>
  <c r="G34" i="3"/>
  <c r="L21" i="5" l="1"/>
  <c r="D5" i="5" s="1"/>
  <c r="C5" i="5"/>
  <c r="H13" i="5"/>
  <c r="L103" i="3"/>
  <c r="J104" i="3" s="1"/>
  <c r="G104" i="3"/>
  <c r="J21" i="5" l="1"/>
  <c r="E5" i="5"/>
  <c r="M138" i="14" l="1"/>
  <c r="M140" i="14"/>
  <c r="N140" i="14" s="1"/>
  <c r="M139" i="14"/>
  <c r="N139" i="14" s="1"/>
  <c r="N138" i="14" l="1"/>
  <c r="P136" i="14" s="1"/>
  <c r="M162" i="14"/>
  <c r="L13" i="5" s="1"/>
  <c r="O12" i="5" s="1"/>
  <c r="M163" i="14"/>
  <c r="M13" i="5" s="1"/>
  <c r="P12" i="5" s="1"/>
  <c r="D4" i="5" s="1"/>
  <c r="D7" i="5" s="1"/>
  <c r="E4" i="5" l="1"/>
  <c r="N12" i="5"/>
  <c r="O136" i="14"/>
  <c r="Q136" i="14" s="1"/>
  <c r="E7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tc={60028D9D-3AE2-4171-9C76-589C95987527}</author>
    <author>tc={68EA83D7-7237-4E7A-94F3-18689DD21DC8}</author>
    <author>tc={908BF143-6591-4D16-B0D4-E783A2B1D570}</author>
  </authors>
  <commentList>
    <comment ref="A10" authorId="0" shapeId="0" xr:uid="{60028D9D-3AE2-4171-9C76-589C95987527}">
      <text>
        <t>[Threaded comment]
Your version of Excel allows you to read this threaded comment; however, any edits to it will get removed if the file is opened in a newer version of Excel. Learn more: https://go.microsoft.com/fwlink/?linkid=870924
Comment:
    Add NEFL Counties 32 EV city vehicles over 5 years.  Assume 50% passenger vehicles, 50% trucks.</t>
      </text>
    </comment>
    <comment ref="A20" authorId="1" shapeId="0" xr:uid="{68EA83D7-7237-4E7A-94F3-18689DD21DC8}">
      <text>
        <t>[Threaded comment]
Your version of Excel allows you to read this threaded comment; however, any edits to it will get removed if the file is opened in a newer version of Excel. Learn more: https://go.microsoft.com/fwlink/?linkid=870924
Comment:
    Add rows for St Johns and Clay mobility hubs</t>
      </text>
    </comment>
    <comment ref="D20" authorId="2" shapeId="0" xr:uid="{908BF143-6591-4D16-B0D4-E783A2B1D570}">
      <text>
        <t>[Threaded comment]
Your version of Excel allows you to read this threaded comment; however, any edits to it will get removed if the file is opened in a newer version of Excel. Learn more: https://go.microsoft.com/fwlink/?linkid=870924
Comment:
    Conversion per year based on predicted usage from COJ between 2025-2030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Tad Gass</author>
    <author>tc={6F92A048-E356-4B26-A63E-23748E4DF1BE}</author>
    <author>tc={338ED528-C43A-4813-88B1-AA8EDF1F10E8}</author>
    <author>tc={080A8688-793C-46CD-B848-D9722B34A0D3}</author>
    <author>tc={681B7854-8273-4A04-9AD4-5C1DB7C053F7}</author>
    <author>tc={6DD63891-54C9-4B1D-94E9-67F797C8A2A2}</author>
    <author>tc={AC3955A5-C975-426A-951C-25F83A93E7FC}</author>
    <author>tc={61D0D569-ACC1-418B-AA33-B1D41E889BE0}</author>
  </authors>
  <commentList>
    <comment ref="B10" authorId="0" shapeId="0" xr:uid="{9E15D830-BA9A-4C68-9DED-592F9BBDF3CA}">
      <text>
        <r>
          <rPr>
            <b/>
            <sz val="9"/>
            <color indexed="81"/>
            <rFont val="Tahoma"/>
            <family val="2"/>
          </rPr>
          <t>Tad Gass:</t>
        </r>
        <r>
          <rPr>
            <sz val="9"/>
            <color indexed="81"/>
            <rFont val="Tahoma"/>
            <family val="2"/>
          </rPr>
          <t xml:space="preserve">
From https://www.niche.com/k12/d/duval-county-public-schools-fl/#students
</t>
        </r>
      </text>
    </comment>
    <comment ref="B15" authorId="1" shapeId="0" xr:uid="{6F92A048-E356-4B26-A63E-23748E4DF1BE}">
      <text>
        <t>[Threaded comment]
Your version of Excel allows you to read this threaded comment; however, any edits to it will get removed if the file is opened in a newer version of Excel. Learn more: https://go.microsoft.com/fwlink/?linkid=870924
Comment:
    Based of JTA Sustainability plan and move 27
Reply:
    https://www.homearea.com/rankings/place-in-fl/percent_using_public_transportation/#:~:text=The%20Florida%20percent%20using%20public,from%20%239%20to%20%235.</t>
      </text>
    </comment>
    <comment ref="C15" authorId="2" shapeId="0" xr:uid="{338ED528-C43A-4813-88B1-AA8EDF1F10E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https://www.homearea.com/county/clay-county-florida/12019/
</t>
      </text>
    </comment>
    <comment ref="E15" authorId="3" shapeId="0" xr:uid="{080A8688-793C-46CD-B848-D9722B34A0D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https://www.homearea.com/county/st-johns-county-florida/12109/
</t>
      </text>
    </comment>
    <comment ref="B29" authorId="4" shapeId="0" xr:uid="{681B7854-8273-4A04-9AD4-5C1DB7C053F7}">
      <text>
        <t>[Threaded comment]
Your version of Excel allows you to read this threaded comment; however, any edits to it will get removed if the file is opened in a newer version of Excel. Learn more: https://go.microsoft.com/fwlink/?linkid=870924
[Tasks]
There is a task anchored to this comment that cannot be viewed in your client.
Comment:
    @Amanda Josefa Polematidis  confirm value</t>
      </text>
    </comment>
    <comment ref="C29" authorId="0" shapeId="0" xr:uid="{A7CB9EF3-2DED-4DE3-9386-78EE4753B6E1}">
      <text>
        <r>
          <rPr>
            <b/>
            <sz val="9"/>
            <color indexed="81"/>
            <rFont val="Tahoma"/>
            <family val="2"/>
          </rPr>
          <t>Tad Gass:</t>
        </r>
        <r>
          <rPr>
            <sz val="9"/>
            <color indexed="81"/>
            <rFont val="Tahoma"/>
            <family val="2"/>
          </rPr>
          <t xml:space="preserve">
From AFLEET Tool
</t>
        </r>
      </text>
    </comment>
    <comment ref="A30" authorId="5" shapeId="0" xr:uid="{6DD63891-54C9-4B1D-94E9-67F797C8A2A2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https://afdc.energy.gov/vehicles/electric_school_buses_p8_m1.html</t>
      </text>
    </comment>
    <comment ref="B32" authorId="6" shapeId="0" xr:uid="{AC3955A5-C975-426A-951C-25F83A93E7F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From AFLEET tool
</t>
      </text>
    </comment>
    <comment ref="B52" authorId="7" shapeId="0" xr:uid="{61D0D569-ACC1-418B-AA33-B1D41E889BE0}">
      <text>
        <t>[Threaded comment]
Your version of Excel allows you to read this threaded comment; however, any edits to it will get removed if the file is opened in a newer version of Excel. Learn more: https://go.microsoft.com/fwlink/?linkid=870924
Comment:
    # of students riding these buses</t>
      </text>
    </comment>
  </commentList>
</comments>
</file>

<file path=xl/sharedStrings.xml><?xml version="1.0" encoding="utf-8"?>
<sst xmlns="http://schemas.openxmlformats.org/spreadsheetml/2006/main" count="1399" uniqueCount="351">
  <si>
    <t>Transportation Projects for Implementation - Reduction Measures</t>
  </si>
  <si>
    <t>Measure</t>
  </si>
  <si>
    <t>2025-2030 Budget</t>
  </si>
  <si>
    <t>2025-2030 GHG Reductions</t>
  </si>
  <si>
    <t>2025-2050 GHG Reductions</t>
  </si>
  <si>
    <t>Cost / GHG Reduced by 2030</t>
  </si>
  <si>
    <t>EV Fleet Transition</t>
  </si>
  <si>
    <t>Mobility Hubs</t>
  </si>
  <si>
    <t>Bicycle &amp; Pedestrian Programs</t>
  </si>
  <si>
    <t>EVOLT Grant Total</t>
  </si>
  <si>
    <t>Converting Fleet to EV</t>
  </si>
  <si>
    <t xml:space="preserve">Number of Vehices </t>
  </si>
  <si>
    <t>Total No of Vehicles Converted after 5 years (2030)</t>
  </si>
  <si>
    <t>Total No of Vehicles Converted after 25 years (2050)</t>
  </si>
  <si>
    <t>Total Gallons Fuel Saved
(5 years)</t>
  </si>
  <si>
    <t>Total Gallons Fuel Saved
(25 years)</t>
  </si>
  <si>
    <t>Vehicle/Infastructure Costs $ (5 years)</t>
  </si>
  <si>
    <t>CO2 Reduction Metric Tons 
(5 years) *4</t>
  </si>
  <si>
    <t>CO2 Reduction Metric Tons 
(25 years) *4</t>
  </si>
  <si>
    <t>kwh Charging for 5 Years</t>
  </si>
  <si>
    <t>kwh Charging for 25 Years</t>
  </si>
  <si>
    <t>mtCO2e Generated from Charging thru 2030 (Projected MT CO2e/kwh)</t>
  </si>
  <si>
    <t>mtCO2e Generated from Charging thru 2050 (Projected MT CO2e/kwh)</t>
  </si>
  <si>
    <t>Total Price/mtCO2e reduction (5 Years)</t>
  </si>
  <si>
    <t>Total MT CO2e Reduction Thru 2030 *4</t>
  </si>
  <si>
    <t>Total MT CO2e Reduction Thru 2050 *4</t>
  </si>
  <si>
    <t>Gasoline</t>
  </si>
  <si>
    <t>COJ</t>
  </si>
  <si>
    <t>DCPS (Non Bus)</t>
  </si>
  <si>
    <t>NEFL Counties</t>
  </si>
  <si>
    <t>DCPS Bus (Diesel)</t>
  </si>
  <si>
    <t>COJ (Diesel)</t>
  </si>
  <si>
    <t>Expanding Public Transit Networks (Mobility Hubs)</t>
  </si>
  <si>
    <t>Number of Transit Users</t>
  </si>
  <si>
    <t>Change in VMT/Vehicle to Transit User/ Year</t>
  </si>
  <si>
    <t>% Conversion / Yr</t>
  </si>
  <si>
    <t>Total No of New Transit Users Converted after 5 years</t>
  </si>
  <si>
    <t>Total No of New Transit Users Converted after 25 years</t>
  </si>
  <si>
    <t>Total Gallons Gas Saved/ Year 
(after 5 years)</t>
  </si>
  <si>
    <t>Total Gallons Gas Saved/ Year 
(after 25 years)</t>
  </si>
  <si>
    <t>Total Costs $</t>
  </si>
  <si>
    <t>Total Price/mtCO2e reduction 5 Years</t>
  </si>
  <si>
    <t>3 in Duval County</t>
  </si>
  <si>
    <t>1 in St. Johns County</t>
  </si>
  <si>
    <t>1 in Clay County</t>
  </si>
  <si>
    <t>Bicycle and Pedestrian Programs</t>
  </si>
  <si>
    <t>Current Bike Riders</t>
  </si>
  <si>
    <t>Ridership Increase</t>
  </si>
  <si>
    <t>New Bike Riders</t>
  </si>
  <si>
    <t>Reduced ICE Vehicle Miles/Week</t>
  </si>
  <si>
    <t>Weeks/Year</t>
  </si>
  <si>
    <t>CO2 per vehicle mile (G)</t>
  </si>
  <si>
    <t>MT CO2e Reduction Thru 2030 *4</t>
  </si>
  <si>
    <t>MT CO2e Reduction Thru 2050 *4</t>
  </si>
  <si>
    <t>COJ Protected/separated bike lane citywide project/initiative</t>
  </si>
  <si>
    <t>COJ E-bike Voucher Program- LIDAC Households</t>
  </si>
  <si>
    <t>-</t>
  </si>
  <si>
    <t>COJ E-bike Share (Micromobility) Program</t>
  </si>
  <si>
    <t>DATA and CALCULATIONS</t>
  </si>
  <si>
    <t>Duval County</t>
  </si>
  <si>
    <t>Clay County</t>
  </si>
  <si>
    <t>Nassau County</t>
  </si>
  <si>
    <t>St Johns</t>
  </si>
  <si>
    <t>Baker</t>
  </si>
  <si>
    <t>TOTAL</t>
  </si>
  <si>
    <t>Population *2</t>
  </si>
  <si>
    <t>Square Miles *2</t>
  </si>
  <si>
    <t>Number of Students *6</t>
  </si>
  <si>
    <t>Number of High Schools *6</t>
  </si>
  <si>
    <t>Number of Middle Schools</t>
  </si>
  <si>
    <t>Number of Elementary Schools</t>
  </si>
  <si>
    <t>All Schools</t>
  </si>
  <si>
    <t>Number of School Buses</t>
  </si>
  <si>
    <t>Number of Public Transit Users/Day</t>
  </si>
  <si>
    <t>Number of Registered Vehicles (Passenger) *5</t>
  </si>
  <si>
    <t>Number of Buses *5</t>
  </si>
  <si>
    <t>Number of Heavy Trucks *5</t>
  </si>
  <si>
    <t>HT + Buses</t>
  </si>
  <si>
    <t>Number of EV vehicles *5</t>
  </si>
  <si>
    <t>VMT per capita</t>
  </si>
  <si>
    <t>EV % of VMT</t>
  </si>
  <si>
    <t>SCHOOL Buses *8</t>
  </si>
  <si>
    <t>Cost of Electric School Bus</t>
  </si>
  <si>
    <t>Cost of EV Bus Charging Station</t>
  </si>
  <si>
    <t>Avg miles Travelled by bus/year</t>
  </si>
  <si>
    <t>Gallons/Bus</t>
  </si>
  <si>
    <t>VMT % Reduction</t>
  </si>
  <si>
    <t>Gallons % Reduction</t>
  </si>
  <si>
    <t>Diesel Bus  (MPG)</t>
  </si>
  <si>
    <t>Electric Bus (MPG)</t>
  </si>
  <si>
    <t>Gallons saved</t>
  </si>
  <si>
    <t xml:space="preserve">PASSENGER Vehicles </t>
  </si>
  <si>
    <t>Avg miles traveled by Passenger Vehicle</t>
  </si>
  <si>
    <t>Gallons/passenger</t>
  </si>
  <si>
    <t>VMT % reduction</t>
  </si>
  <si>
    <t>Maintenance Costs ($/Mi)</t>
  </si>
  <si>
    <t>% savings</t>
  </si>
  <si>
    <t>Gasoline Passenger Vehicle (MPG)</t>
  </si>
  <si>
    <t>Electric Passenger Vehicle (MPG)</t>
  </si>
  <si>
    <t>MPG/Gallons Saved</t>
  </si>
  <si>
    <t>Avg Cost of EV Vehicle (+ Charger)</t>
  </si>
  <si>
    <t xml:space="preserve">Light Commercial Truck </t>
  </si>
  <si>
    <t>Diesel Truck (MPG)</t>
  </si>
  <si>
    <t>Electric Truck (MPG)</t>
  </si>
  <si>
    <t>Vehicles to Publlic Transport</t>
  </si>
  <si>
    <t xml:space="preserve">VMT/Passenger/Yr </t>
  </si>
  <si>
    <t xml:space="preserve">VMT/ Rider in Bus* /Yr </t>
  </si>
  <si>
    <t>VMT/Passenger % Reduction</t>
  </si>
  <si>
    <t>Gallons of Gas Saved/yr/ Passenger</t>
  </si>
  <si>
    <t xml:space="preserve"> VMT Reduction/Yr after 25 years (Vehicle to Public Transit)</t>
  </si>
  <si>
    <t>Gallons of Gas Saved/ Yr after 25 years</t>
  </si>
  <si>
    <t>No of new buses needed</t>
  </si>
  <si>
    <t>Cost of buses ($M)</t>
  </si>
  <si>
    <t>*20 per person in diesel bus</t>
  </si>
  <si>
    <t xml:space="preserve"> VMT Reduction/Yr after 5 years (Vehicle to Public Transit)</t>
  </si>
  <si>
    <t>Gallons of Gas Saved/ Yr after 5 yrs</t>
  </si>
  <si>
    <t>No of new buses Needed</t>
  </si>
  <si>
    <t>Cost of Buses (M)</t>
  </si>
  <si>
    <t>From Clearpath</t>
  </si>
  <si>
    <t>Total VMT</t>
  </si>
  <si>
    <t>% Passenger</t>
  </si>
  <si>
    <t>% Light Trucks</t>
  </si>
  <si>
    <t>% Heavy Trucks</t>
  </si>
  <si>
    <t>Transportation - Tampa Bay - On-road - Google EIE - Diesel</t>
  </si>
  <si>
    <t>Transportation - Tampa Bay - On-road - Google EIE - Gasoline</t>
  </si>
  <si>
    <t>Transportation - Tampa Bay - Off-road - EPA NEI 2020 - Diesel</t>
  </si>
  <si>
    <t>Fuel Used MMBtu</t>
  </si>
  <si>
    <t>VMT Passenger</t>
  </si>
  <si>
    <t>VMT Light Trucks</t>
  </si>
  <si>
    <t>VMT Heavy Trucks</t>
  </si>
  <si>
    <t>L&amp;H Trucks</t>
  </si>
  <si>
    <t>TOTAL VMT</t>
  </si>
  <si>
    <t>VMT/Vehicle</t>
  </si>
  <si>
    <t>Transportation - Duval - On-road - Google EIE - Diesel</t>
  </si>
  <si>
    <t>Transportation - Duval - On-road - Google EIE - Gasoline</t>
  </si>
  <si>
    <t>Transportation - Duval - Off-road - Google EIE - Diesel</t>
  </si>
  <si>
    <t>Transportation - Clay - On-road - Google EIE - Diesel</t>
  </si>
  <si>
    <t>Transportation - Clay - On-road - Google EIE - Gasoline</t>
  </si>
  <si>
    <t>Transportation - Clay - Off-road - Google EIE - Diesel</t>
  </si>
  <si>
    <t>Annual</t>
  </si>
  <si>
    <t>CAGR</t>
  </si>
  <si>
    <t>Growth Rate</t>
  </si>
  <si>
    <t>Solar Growth in Florida</t>
  </si>
  <si>
    <t>*2 https://www.census.gov/quickfacts/fact/table/bakercountyflorida,stjohnscountyflorida,nassaucountyflorida,claycountyflorida,duvalcountyflorida/SBO050217</t>
  </si>
  <si>
    <t>*1 Residential Electric Rate =  $0.12218/kWh</t>
  </si>
  <si>
    <t>*1 Commerical Electric Rate =  $0.102/kWh</t>
  </si>
  <si>
    <t>*** https://www.energy.gov/eere/buildings/articles/building-america-whole-house-solutions-existing-homes-pilot-demonstration</t>
  </si>
  <si>
    <t>*3 from Clear Sky Project analysis</t>
  </si>
  <si>
    <t>*4 from EPA Calculator</t>
  </si>
  <si>
    <t>*8 NREL Electrifying Transit</t>
  </si>
  <si>
    <t>*6 https://www.niche.com/k12/d/hillsborough-county-public-schools-fl/</t>
  </si>
  <si>
    <t>*5 https://www.flhsmv.gov/pdf/vehicle-vesselreports/cvr_01_2022_ada.pdf</t>
  </si>
  <si>
    <t>* https://www.nrel.gov/docs/fy23osti/84631.pdf</t>
  </si>
  <si>
    <t>*7  Florida Solar Power Facts https://www.electricrate.com/solar-energy/florida/</t>
  </si>
  <si>
    <t> </t>
  </si>
  <si>
    <t>Model</t>
  </si>
  <si>
    <t>VMT/yr</t>
  </si>
  <si>
    <t>Fuel type</t>
  </si>
  <si>
    <t>APPROXIMATE MPG</t>
  </si>
  <si>
    <t>REPLACE with</t>
  </si>
  <si>
    <t>Gallons per Vehicle/Year (Gas)</t>
  </si>
  <si>
    <t>Replacement Cost (EV)</t>
  </si>
  <si>
    <t>Charging infastructure</t>
  </si>
  <si>
    <t>Total Budget 5 Years</t>
  </si>
  <si>
    <t>Diesel Bus</t>
  </si>
  <si>
    <t>Diesel</t>
  </si>
  <si>
    <t>E-Bus</t>
  </si>
  <si>
    <t>Emission Rate Projections Electrical Grid</t>
  </si>
  <si>
    <t>Year</t>
  </si>
  <si>
    <t># of Vehicles converted</t>
  </si>
  <si>
    <t>Gas Saved</t>
  </si>
  <si>
    <t>MT CO2e Reduction Scope 1 
(Per Year) *4</t>
  </si>
  <si>
    <t>kwH charging</t>
  </si>
  <si>
    <t>Emissions From Charging</t>
  </si>
  <si>
    <t>MT CO2e Reduced Scope 2 (Per Year)</t>
  </si>
  <si>
    <t xml:space="preserve">Total MTCO2e Reduced Thru 2030 </t>
  </si>
  <si>
    <t xml:space="preserve">Total MTCO2e Reduced Thru 2050 </t>
  </si>
  <si>
    <t>MT CO2e / KWh</t>
  </si>
  <si>
    <t>3 miles per kwh</t>
  </si>
  <si>
    <t>KWH Charging per year</t>
  </si>
  <si>
    <t>total kwh/year to charge</t>
  </si>
  <si>
    <t>5 Years Gas Saved</t>
  </si>
  <si>
    <t>kwH charging 5 Yrs</t>
  </si>
  <si>
    <t>25 Years Gas Saved</t>
  </si>
  <si>
    <t>kwH charging 25 Yrs</t>
  </si>
  <si>
    <t>2030 Avg</t>
  </si>
  <si>
    <t>2050 Avg</t>
  </si>
  <si>
    <t>DCPS Non-Bus Fleet</t>
  </si>
  <si>
    <t>VMT/yr (AFLEET AVG)</t>
  </si>
  <si>
    <t>Replacement Cost (Conventional)</t>
  </si>
  <si>
    <t>Variance</t>
  </si>
  <si>
    <t>Total (Calculated)</t>
  </si>
  <si>
    <t>Total Budget</t>
  </si>
  <si>
    <t>Ford F150 4x4</t>
  </si>
  <si>
    <t>Gas</t>
  </si>
  <si>
    <t>FORD F-150 lighting  pro</t>
  </si>
  <si>
    <t>Ford E350</t>
  </si>
  <si>
    <t>FORD – Transit-350 Cargo</t>
  </si>
  <si>
    <t>Ford Transit</t>
  </si>
  <si>
    <t>FORD – Transit-250 Cargo</t>
  </si>
  <si>
    <t xml:space="preserve">Ford Focus </t>
  </si>
  <si>
    <t>FORD – Mustang  Mach-E</t>
  </si>
  <si>
    <t>Fleet Vehicle/Equipment Replacements for Fiscal Year 2025</t>
  </si>
  <si>
    <t xml:space="preserve">Total Budget </t>
  </si>
  <si>
    <t xml:space="preserve">Year </t>
  </si>
  <si>
    <t xml:space="preserve"> Mileage </t>
  </si>
  <si>
    <t>Fuel Type</t>
  </si>
  <si>
    <t>Approximate MPG</t>
  </si>
  <si>
    <t>Replace With</t>
  </si>
  <si>
    <t>Gallons Per Vehicle Per Year</t>
  </si>
  <si>
    <t xml:space="preserve"> Replacement Cost (Conventional Gas/Diesel)</t>
  </si>
  <si>
    <t xml:space="preserve"> Replacement Cost (EV)</t>
  </si>
  <si>
    <t>FORD         F550         7.3L V-8     HI-CUBE VAN</t>
  </si>
  <si>
    <t xml:space="preserve"> NA </t>
  </si>
  <si>
    <t>1 Ton Box Truck</t>
  </si>
  <si>
    <t>CHEVROLET    IMPALA       3.4L  V-6    FULL SIZE</t>
  </si>
  <si>
    <t>Mustang Mach-E</t>
  </si>
  <si>
    <t>CHEVROLET  G2500  4.8L  V8  VAN</t>
  </si>
  <si>
    <t xml:space="preserve">E-Transit </t>
  </si>
  <si>
    <t>CHEVROLET    G2500        4.8L  V-8    VAN</t>
  </si>
  <si>
    <t>CHEVROLET MALIBU  3.5L V-6  MID SIZE</t>
  </si>
  <si>
    <t>CHEVROLET C1500  4.8L V8  PICKUP</t>
  </si>
  <si>
    <t>F-150 Lightning</t>
  </si>
  <si>
    <t>CLARK        GPX30        156 4CYL     FORKLIFT</t>
  </si>
  <si>
    <t>FORKLIFT</t>
  </si>
  <si>
    <t>CHEVROLET    ASTRO        4.3L V-6     VAN MINI</t>
  </si>
  <si>
    <t>CHEVROLET    MONTE CARLO  3.4L  V-6    MID SIZE</t>
  </si>
  <si>
    <t>CLARK        CLARK C25    MITSUBSH 2.4 FORKLIFT</t>
  </si>
  <si>
    <t>CHEVROLET  IMPALA  3.6L V-6  FULL SIZE</t>
  </si>
  <si>
    <t>FORD  F150   5.0L V-8  PICKUP</t>
  </si>
  <si>
    <t>CHEVROLET  MALIBU  2.4L  MID SIZE</t>
  </si>
  <si>
    <t>CHEVROLET  IMPALA  3.6  V6  FULL SIZE</t>
  </si>
  <si>
    <t>CHEVROLET  IMPALA 3.6 V6 FULL SIZE</t>
  </si>
  <si>
    <t>CHEVROLET  K1500 5.3L CREW CAB PICKUP 4X4</t>
  </si>
  <si>
    <t>CHEVROLET  SILVERADO  4.3L V-6  PICKUP</t>
  </si>
  <si>
    <t>CHEVROLET  SILVERADO  5.3L V-8  PICKUP</t>
  </si>
  <si>
    <t>CHEVROLET C1500  5.3L V-8  PICK-UP</t>
  </si>
  <si>
    <t>CHEVROLET  C1500  5.3L V-8  PICKUP</t>
  </si>
  <si>
    <t>CHEVROLET  C1500  4.8L V-8  PICKUP</t>
  </si>
  <si>
    <t>GLOBAL  M3   JD  115 HP.  SWEEPER</t>
  </si>
  <si>
    <t xml:space="preserve"> Sweeper M3EV</t>
  </si>
  <si>
    <t>CHEVROLET  C1500  5.3L  V-8  DOUBLE CAB  PICKUP</t>
  </si>
  <si>
    <t>FREIGHTLINER 114SD  DETROIT 12.8L  32 CUYD. PACKER</t>
  </si>
  <si>
    <t>REFUSE TRUCK</t>
  </si>
  <si>
    <t>INT'L  4300  CUM ISB-200  TRASH DUMP TRUCK</t>
  </si>
  <si>
    <t>TRASH TRUCK</t>
  </si>
  <si>
    <t>CHEVROLET  C1500  5.3L V-8  DOUBLE CAB  PICKUP</t>
  </si>
  <si>
    <t>CHEVROLET ASTRO  4.3L V-6  MINI VAN</t>
  </si>
  <si>
    <t>STERLING     L7501        CAT 3126 6CY 5YD. DUMP</t>
  </si>
  <si>
    <t>DUMP TRUCK</t>
  </si>
  <si>
    <t>INT'L  4300  MAXXFORCE  DT  PACKER</t>
  </si>
  <si>
    <t>REFUSE TRUCH EV</t>
  </si>
  <si>
    <t>CHEVROLET  C1500  4.8L V8  PICKUP</t>
  </si>
  <si>
    <t>CHEVROLET  2500  6.0L V-8 CREW CAB PICKUP</t>
  </si>
  <si>
    <t>Chevrolet 2500HD P/U</t>
  </si>
  <si>
    <t>INT'L  4300  CUM  ISB6.7  IN. 6 CYL  PACKER</t>
  </si>
  <si>
    <t>INGERSOLL RAND CLUB CAR ELECTRIC CART</t>
  </si>
  <si>
    <t>Electric</t>
  </si>
  <si>
    <t>NA</t>
  </si>
  <si>
    <t>Club Cart</t>
  </si>
  <si>
    <t>Fleet Vehicle/Equipment Replacements for Fiscal Year 2026</t>
  </si>
  <si>
    <t xml:space="preserve"> Mileage</t>
  </si>
  <si>
    <t xml:space="preserve"> Replacement Type </t>
  </si>
  <si>
    <t>CHEVROLET  C1500  5.3L V-8  4X4 CREW CAB PICKUP</t>
  </si>
  <si>
    <t>CHEVROLET  C1500  5.3L V-8  PICKUP CREW CAB</t>
  </si>
  <si>
    <t>FORD  EXPLORER  3.5 L  V-6  FWD UTILITY VEHICLE</t>
  </si>
  <si>
    <t>FORD  F150   5.0L V-8  4X4 CREW CAB  PICKUP</t>
  </si>
  <si>
    <t>CHEVROLET    TAHOE   5.3L V-8     4X4 TAHOE.</t>
  </si>
  <si>
    <t>Silverado  EV</t>
  </si>
  <si>
    <t>PIERCE  ENFORCER PUMPER CUMMINS ISL  FIRE TRK,</t>
  </si>
  <si>
    <t xml:space="preserve">Pumper </t>
  </si>
  <si>
    <t>CHEVROLET    TAHOE   5.3L V-8   4X4  TAHOE</t>
  </si>
  <si>
    <t>FORD  EXPEDITION  3.5L  V6     EXP XL 4X4 EXPEDITION</t>
  </si>
  <si>
    <t>CHEVROLET    TAHOE   5.3L V-8     UTILITY VEH.</t>
  </si>
  <si>
    <t>CHEVROLET  3500HD 6.6L V-8  BRAUN RESCUE</t>
  </si>
  <si>
    <t>Rescue Braun</t>
  </si>
  <si>
    <t>CHEVROLET  C1500  4.8L  V-8  PICKUP</t>
  </si>
  <si>
    <t>CHEVROLET  CREW CAB  6.0L V-8  PICKUP</t>
  </si>
  <si>
    <t>CHEVROLET  C2500  6.0L V-8  CREW CAB  UTILITY  PICKUP</t>
  </si>
  <si>
    <t>total vmt avg/yr</t>
  </si>
  <si>
    <t>Diesel VMT avg/yr</t>
  </si>
  <si>
    <t>Fuel Saved</t>
  </si>
  <si>
    <t>1 Gas</t>
  </si>
  <si>
    <t>1 Diesel</t>
  </si>
  <si>
    <t>2 Gas</t>
  </si>
  <si>
    <t>2 Diesel</t>
  </si>
  <si>
    <t>3 Gas</t>
  </si>
  <si>
    <t>3 Diesel</t>
  </si>
  <si>
    <t>4 Gas</t>
  </si>
  <si>
    <t>4 Diesel</t>
  </si>
  <si>
    <t>5 Gas</t>
  </si>
  <si>
    <t>5 Diesel</t>
  </si>
  <si>
    <t>6 Gas</t>
  </si>
  <si>
    <t>6 Diesel</t>
  </si>
  <si>
    <t>7 Gas</t>
  </si>
  <si>
    <t>7 Diesel</t>
  </si>
  <si>
    <t>8 Gas</t>
  </si>
  <si>
    <t>8 Diesel</t>
  </si>
  <si>
    <t>9 Gas</t>
  </si>
  <si>
    <t>9 Diesel</t>
  </si>
  <si>
    <t>10 Gas</t>
  </si>
  <si>
    <t>10 Diesel</t>
  </si>
  <si>
    <t>11 Gas</t>
  </si>
  <si>
    <t>11 Diesel</t>
  </si>
  <si>
    <t>12 Gas</t>
  </si>
  <si>
    <t>12 Diesel</t>
  </si>
  <si>
    <t>13 Gas</t>
  </si>
  <si>
    <t>13 Diesel</t>
  </si>
  <si>
    <t>14 Gas</t>
  </si>
  <si>
    <t>14 Diesel</t>
  </si>
  <si>
    <t>15 Gas</t>
  </si>
  <si>
    <t>15 Diesel</t>
  </si>
  <si>
    <t>16 Gas</t>
  </si>
  <si>
    <t>16 Diesel</t>
  </si>
  <si>
    <t>17 Gas</t>
  </si>
  <si>
    <t>17 Diesel</t>
  </si>
  <si>
    <t>18 Gas</t>
  </si>
  <si>
    <t>18 Diesel</t>
  </si>
  <si>
    <t>19 Gas</t>
  </si>
  <si>
    <t>19 Diesel</t>
  </si>
  <si>
    <t>20 Gas</t>
  </si>
  <si>
    <t>20 Diesel</t>
  </si>
  <si>
    <t>21 Gas</t>
  </si>
  <si>
    <t>21 Diesel</t>
  </si>
  <si>
    <t>22 Gas</t>
  </si>
  <si>
    <t>22 Diesel</t>
  </si>
  <si>
    <t>23 Gas</t>
  </si>
  <si>
    <t>23 Diesel</t>
  </si>
  <si>
    <t>24 Gas</t>
  </si>
  <si>
    <t>24 Diesel</t>
  </si>
  <si>
    <t>25 Gas</t>
  </si>
  <si>
    <t>25 Diesel</t>
  </si>
  <si>
    <t>kwH charging 5 Gas</t>
  </si>
  <si>
    <t>5 Years Diesel Saved</t>
  </si>
  <si>
    <t>kwH charging 5 Diesel</t>
  </si>
  <si>
    <t>kwH charging 25 Gas</t>
  </si>
  <si>
    <t>25 Years Diesel Saved</t>
  </si>
  <si>
    <t>kwH charging 25 Diesel</t>
  </si>
  <si>
    <t>Mileage</t>
  </si>
  <si>
    <t>Ford Interceptor SUV</t>
  </si>
  <si>
    <t>gas</t>
  </si>
  <si>
    <t>FORD – Mustange Mach E</t>
  </si>
  <si>
    <t>Chevy Impala</t>
  </si>
  <si>
    <t>Toyota Camry</t>
  </si>
  <si>
    <t>Ford F150</t>
  </si>
  <si>
    <t>Ford Ranger</t>
  </si>
  <si>
    <t>AVG VMT/yr</t>
  </si>
  <si>
    <t xml:space="preserve">Total Gallons Saved </t>
  </si>
  <si>
    <t>Total Gallons Saved 5 Years</t>
  </si>
  <si>
    <t>Total Gallons Saved 25 Years</t>
  </si>
  <si>
    <t>Ford Explorer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</si>
</sst>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m\-yy;@"/>
    <numFmt numFmtId="165" formatCode="_(* #,##0_);_(* \(#,##0\);_(* &quot;-&quot;??_);_(@_)"/>
    <numFmt numFmtId="166" formatCode="_([$$-409]* #,##0.00_);_([$$-409]* \(#,##0.00\);_([$$-409]* &quot;-&quot;??_);_(@_)"/>
    <numFmt numFmtId="167" formatCode="_(&quot;$&quot;* #,##0_);_(&quot;$&quot;* \(#,##0\);_(&quot;$&quot;* &quot;-&quot;??_);_(@_)"/>
    <numFmt numFmtId="168" formatCode="0.0%"/>
    <numFmt numFmtId="169" formatCode="_(* #,##0.0000_);_(* \(#,##0.0000\);_(* &quot;-&quot;??_);_(@_)"/>
    <numFmt numFmtId="170" formatCode="m/d/yy;@"/>
    <numFmt numFmtId="171" formatCode="0.000000000"/>
    <numFmt numFmtId="172" formatCode="_(&quot;$&quot;* #,##0.0_);_(&quot;$&quot;* \(#,##0.0\);_(&quot;$&quot;* &quot;-&quot;??_);_(@_)"/>
  </numFmts>
  <fonts count="37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2"/>
      <color rgb="FF222222"/>
      <name val="Helvetica Neue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1F497D"/>
      <name val="Calibri"/>
      <family val="2"/>
    </font>
    <font>
      <sz val="12"/>
      <color rgb="FF1F497D"/>
      <name val="Calibri"/>
      <family val="2"/>
    </font>
    <font>
      <strike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b/>
      <sz val="11"/>
      <color theme="2"/>
      <name val="Arial"/>
      <family val="2"/>
    </font>
    <font>
      <sz val="10"/>
      <color rgb="FF002060"/>
      <name val="Arial"/>
      <family val="2"/>
    </font>
    <font>
      <b/>
      <sz val="12"/>
      <color rgb="FF002060"/>
      <name val="Arial"/>
      <family val="2"/>
    </font>
    <font>
      <b/>
      <u/>
      <sz val="11"/>
      <color rgb="FF002060"/>
      <name val="Arial"/>
      <family val="2"/>
    </font>
    <font>
      <b/>
      <u/>
      <sz val="14"/>
      <color rgb="FF002060"/>
      <name val="Arial"/>
      <family val="2"/>
    </font>
    <font>
      <sz val="12"/>
      <color theme="4"/>
      <name val="Calibri"/>
      <family val="2"/>
    </font>
    <font>
      <b/>
      <sz val="12"/>
      <color rgb="FF1F497D"/>
      <name val="Calibri"/>
      <family val="2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i/>
      <sz val="11"/>
      <color rgb="FF000000"/>
      <name val="Aptos Narrow"/>
      <family val="2"/>
      <scheme val="minor"/>
    </font>
    <font>
      <sz val="12"/>
      <color rgb="FF1F497D"/>
      <name val="Calibri"/>
      <family val="2"/>
    </font>
    <font>
      <b/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rgb="FF000000"/>
      <name val="Arial"/>
      <family val="2"/>
    </font>
    <font>
      <sz val="24"/>
      <color theme="1"/>
      <name val="Arial"/>
      <family val="2"/>
    </font>
    <font>
      <b/>
      <sz val="24"/>
      <name val="Arial"/>
      <family val="2"/>
    </font>
    <font>
      <sz val="24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3" tint="0.49998474074526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ck">
        <color auto="1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6" fillId="0" borderId="0" xfId="0" applyFont="1"/>
    <xf numFmtId="164" fontId="5" fillId="0" borderId="0" xfId="0" applyNumberFormat="1" applyFont="1" applyAlignment="1">
      <alignment horizontal="center"/>
    </xf>
    <xf numFmtId="165" fontId="5" fillId="0" borderId="0" xfId="1" applyNumberFormat="1" applyFont="1" applyAlignment="1"/>
    <xf numFmtId="6" fontId="5" fillId="0" borderId="0" xfId="0" applyNumberFormat="1" applyFont="1" applyAlignment="1">
      <alignment horizontal="center"/>
    </xf>
    <xf numFmtId="0" fontId="6" fillId="0" borderId="1" xfId="0" applyFont="1" applyBorder="1"/>
    <xf numFmtId="165" fontId="5" fillId="0" borderId="0" xfId="1" applyNumberFormat="1" applyFont="1" applyAlignment="1">
      <alignment horizontal="right"/>
    </xf>
    <xf numFmtId="165" fontId="5" fillId="0" borderId="0" xfId="0" applyNumberFormat="1" applyFont="1" applyAlignment="1">
      <alignment horizontal="center"/>
    </xf>
    <xf numFmtId="165" fontId="5" fillId="0" borderId="0" xfId="0" applyNumberFormat="1" applyFont="1"/>
    <xf numFmtId="43" fontId="5" fillId="0" borderId="0" xfId="0" applyNumberFormat="1" applyFont="1"/>
    <xf numFmtId="165" fontId="5" fillId="0" borderId="0" xfId="1" applyNumberFormat="1" applyFont="1"/>
    <xf numFmtId="165" fontId="5" fillId="0" borderId="0" xfId="1" applyNumberFormat="1" applyFont="1" applyAlignment="1">
      <alignment horizontal="center"/>
    </xf>
    <xf numFmtId="9" fontId="5" fillId="0" borderId="0" xfId="3" applyFont="1"/>
    <xf numFmtId="3" fontId="5" fillId="0" borderId="0" xfId="0" applyNumberFormat="1" applyFont="1" applyAlignment="1">
      <alignment horizontal="center"/>
    </xf>
    <xf numFmtId="10" fontId="5" fillId="0" borderId="0" xfId="0" applyNumberFormat="1" applyFont="1" applyAlignment="1">
      <alignment horizontal="center"/>
    </xf>
    <xf numFmtId="43" fontId="5" fillId="0" borderId="0" xfId="0" applyNumberFormat="1" applyFont="1" applyAlignment="1">
      <alignment horizontal="center"/>
    </xf>
    <xf numFmtId="43" fontId="5" fillId="0" borderId="0" xfId="1" applyFont="1"/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9" fontId="5" fillId="0" borderId="0" xfId="3" applyFont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5" fontId="0" fillId="0" borderId="0" xfId="0" applyNumberFormat="1"/>
    <xf numFmtId="169" fontId="5" fillId="0" borderId="0" xfId="1" applyNumberFormat="1" applyFont="1"/>
    <xf numFmtId="169" fontId="5" fillId="0" borderId="0" xfId="0" applyNumberFormat="1" applyFont="1"/>
    <xf numFmtId="169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166" fontId="10" fillId="0" borderId="1" xfId="0" applyNumberFormat="1" applyFont="1" applyBorder="1" applyAlignment="1">
      <alignment horizontal="center"/>
    </xf>
    <xf numFmtId="0" fontId="5" fillId="0" borderId="2" xfId="0" applyFont="1" applyBorder="1"/>
    <xf numFmtId="43" fontId="0" fillId="0" borderId="0" xfId="1" applyFont="1"/>
    <xf numFmtId="165" fontId="0" fillId="0" borderId="0" xfId="1" applyNumberFormat="1" applyFont="1"/>
    <xf numFmtId="2" fontId="0" fillId="0" borderId="0" xfId="1" applyNumberFormat="1" applyFont="1"/>
    <xf numFmtId="43" fontId="0" fillId="0" borderId="0" xfId="0" applyNumberFormat="1"/>
    <xf numFmtId="43" fontId="5" fillId="0" borderId="0" xfId="1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wrapText="1"/>
    </xf>
    <xf numFmtId="0" fontId="0" fillId="0" borderId="1" xfId="0" applyBorder="1"/>
    <xf numFmtId="6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165" fontId="5" fillId="3" borderId="0" xfId="1" applyNumberFormat="1" applyFont="1" applyFill="1" applyAlignment="1"/>
    <xf numFmtId="0" fontId="5" fillId="3" borderId="0" xfId="0" applyFont="1" applyFill="1" applyAlignment="1">
      <alignment horizontal="center"/>
    </xf>
    <xf numFmtId="6" fontId="5" fillId="4" borderId="0" xfId="0" applyNumberFormat="1" applyFont="1" applyFill="1" applyAlignment="1">
      <alignment horizontal="center"/>
    </xf>
    <xf numFmtId="0" fontId="5" fillId="3" borderId="0" xfId="0" applyFont="1" applyFill="1"/>
    <xf numFmtId="165" fontId="5" fillId="3" borderId="0" xfId="0" applyNumberFormat="1" applyFont="1" applyFill="1" applyAlignment="1">
      <alignment horizontal="center"/>
    </xf>
    <xf numFmtId="0" fontId="0" fillId="3" borderId="0" xfId="0" applyFill="1"/>
    <xf numFmtId="165" fontId="0" fillId="3" borderId="0" xfId="0" applyNumberFormat="1" applyFill="1"/>
    <xf numFmtId="165" fontId="5" fillId="4" borderId="0" xfId="1" applyNumberFormat="1" applyFont="1" applyFill="1" applyAlignment="1"/>
    <xf numFmtId="0" fontId="5" fillId="5" borderId="0" xfId="0" applyFont="1" applyFill="1"/>
    <xf numFmtId="0" fontId="5" fillId="6" borderId="0" xfId="0" applyFont="1" applyFill="1"/>
    <xf numFmtId="0" fontId="0" fillId="6" borderId="0" xfId="0" applyFill="1"/>
    <xf numFmtId="0" fontId="6" fillId="8" borderId="0" xfId="0" applyFont="1" applyFill="1"/>
    <xf numFmtId="0" fontId="5" fillId="8" borderId="0" xfId="0" applyFont="1" applyFill="1"/>
    <xf numFmtId="164" fontId="5" fillId="8" borderId="0" xfId="0" applyNumberFormat="1" applyFont="1" applyFill="1"/>
    <xf numFmtId="0" fontId="5" fillId="8" borderId="1" xfId="0" applyFont="1" applyFill="1" applyBorder="1" applyAlignment="1">
      <alignment horizontal="center"/>
    </xf>
    <xf numFmtId="166" fontId="5" fillId="8" borderId="1" xfId="0" applyNumberFormat="1" applyFont="1" applyFill="1" applyBorder="1" applyAlignment="1">
      <alignment horizontal="center"/>
    </xf>
    <xf numFmtId="0" fontId="5" fillId="8" borderId="0" xfId="0" applyFont="1" applyFill="1" applyAlignment="1">
      <alignment horizontal="center"/>
    </xf>
    <xf numFmtId="166" fontId="5" fillId="8" borderId="0" xfId="0" applyNumberFormat="1" applyFont="1" applyFill="1" applyAlignment="1">
      <alignment horizontal="center"/>
    </xf>
    <xf numFmtId="0" fontId="8" fillId="8" borderId="0" xfId="0" applyFont="1" applyFill="1"/>
    <xf numFmtId="165" fontId="5" fillId="8" borderId="0" xfId="1" applyNumberFormat="1" applyFont="1" applyFill="1" applyAlignment="1">
      <alignment horizontal="center"/>
    </xf>
    <xf numFmtId="10" fontId="5" fillId="8" borderId="0" xfId="0" applyNumberFormat="1" applyFont="1" applyFill="1" applyAlignment="1">
      <alignment horizontal="center"/>
    </xf>
    <xf numFmtId="10" fontId="5" fillId="8" borderId="0" xfId="3" applyNumberFormat="1" applyFont="1" applyFill="1" applyAlignment="1">
      <alignment horizontal="center"/>
    </xf>
    <xf numFmtId="168" fontId="5" fillId="8" borderId="0" xfId="3" applyNumberFormat="1" applyFont="1" applyFill="1" applyAlignment="1">
      <alignment horizontal="center"/>
    </xf>
    <xf numFmtId="165" fontId="5" fillId="8" borderId="0" xfId="0" applyNumberFormat="1" applyFont="1" applyFill="1" applyAlignment="1">
      <alignment horizontal="center"/>
    </xf>
    <xf numFmtId="0" fontId="5" fillId="8" borderId="1" xfId="0" applyFont="1" applyFill="1" applyBorder="1"/>
    <xf numFmtId="165" fontId="5" fillId="8" borderId="1" xfId="0" applyNumberFormat="1" applyFont="1" applyFill="1" applyBorder="1" applyAlignment="1">
      <alignment horizontal="center"/>
    </xf>
    <xf numFmtId="165" fontId="5" fillId="8" borderId="0" xfId="0" applyNumberFormat="1" applyFont="1" applyFill="1"/>
    <xf numFmtId="165" fontId="5" fillId="8" borderId="0" xfId="1" applyNumberFormat="1" applyFont="1" applyFill="1"/>
    <xf numFmtId="167" fontId="5" fillId="0" borderId="0" xfId="2" applyNumberFormat="1" applyFont="1" applyAlignment="1">
      <alignment horizontal="center"/>
    </xf>
    <xf numFmtId="0" fontId="6" fillId="6" borderId="0" xfId="0" applyFont="1" applyFill="1"/>
    <xf numFmtId="164" fontId="5" fillId="6" borderId="0" xfId="0" applyNumberFormat="1" applyFont="1" applyFill="1"/>
    <xf numFmtId="0" fontId="5" fillId="6" borderId="1" xfId="0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166" fontId="5" fillId="6" borderId="0" xfId="0" applyNumberFormat="1" applyFont="1" applyFill="1" applyAlignment="1">
      <alignment horizontal="center"/>
    </xf>
    <xf numFmtId="0" fontId="8" fillId="6" borderId="0" xfId="0" applyFont="1" applyFill="1"/>
    <xf numFmtId="165" fontId="5" fillId="6" borderId="0" xfId="1" applyNumberFormat="1" applyFont="1" applyFill="1" applyAlignment="1">
      <alignment horizontal="center"/>
    </xf>
    <xf numFmtId="10" fontId="5" fillId="6" borderId="0" xfId="0" applyNumberFormat="1" applyFont="1" applyFill="1" applyAlignment="1">
      <alignment horizontal="center"/>
    </xf>
    <xf numFmtId="10" fontId="5" fillId="6" borderId="0" xfId="3" applyNumberFormat="1" applyFont="1" applyFill="1" applyAlignment="1">
      <alignment horizontal="center"/>
    </xf>
    <xf numFmtId="168" fontId="5" fillId="6" borderId="0" xfId="3" applyNumberFormat="1" applyFont="1" applyFill="1" applyAlignment="1">
      <alignment horizontal="center"/>
    </xf>
    <xf numFmtId="165" fontId="5" fillId="6" borderId="0" xfId="0" applyNumberFormat="1" applyFont="1" applyFill="1" applyAlignment="1">
      <alignment horizontal="center"/>
    </xf>
    <xf numFmtId="0" fontId="5" fillId="6" borderId="1" xfId="0" applyFont="1" applyFill="1" applyBorder="1"/>
    <xf numFmtId="165" fontId="5" fillId="6" borderId="1" xfId="0" applyNumberFormat="1" applyFont="1" applyFill="1" applyBorder="1" applyAlignment="1">
      <alignment horizontal="center"/>
    </xf>
    <xf numFmtId="165" fontId="5" fillId="6" borderId="0" xfId="0" applyNumberFormat="1" applyFont="1" applyFill="1"/>
    <xf numFmtId="165" fontId="0" fillId="6" borderId="0" xfId="0" applyNumberFormat="1" applyFill="1"/>
    <xf numFmtId="0" fontId="5" fillId="6" borderId="3" xfId="0" applyFont="1" applyFill="1" applyBorder="1"/>
    <xf numFmtId="164" fontId="5" fillId="6" borderId="3" xfId="0" applyNumberFormat="1" applyFont="1" applyFill="1" applyBorder="1"/>
    <xf numFmtId="0" fontId="5" fillId="6" borderId="3" xfId="0" applyFont="1" applyFill="1" applyBorder="1" applyAlignment="1">
      <alignment horizontal="center"/>
    </xf>
    <xf numFmtId="165" fontId="5" fillId="6" borderId="3" xfId="1" applyNumberFormat="1" applyFont="1" applyFill="1" applyBorder="1" applyAlignment="1">
      <alignment horizontal="center"/>
    </xf>
    <xf numFmtId="165" fontId="5" fillId="6" borderId="3" xfId="1" applyNumberFormat="1" applyFont="1" applyFill="1" applyBorder="1"/>
    <xf numFmtId="0" fontId="0" fillId="6" borderId="3" xfId="0" applyFill="1" applyBorder="1"/>
    <xf numFmtId="0" fontId="6" fillId="5" borderId="0" xfId="0" applyFont="1" applyFill="1"/>
    <xf numFmtId="164" fontId="5" fillId="5" borderId="0" xfId="0" applyNumberFormat="1" applyFont="1" applyFill="1"/>
    <xf numFmtId="0" fontId="5" fillId="5" borderId="1" xfId="0" applyFont="1" applyFill="1" applyBorder="1" applyAlignment="1">
      <alignment horizontal="center"/>
    </xf>
    <xf numFmtId="166" fontId="5" fillId="5" borderId="1" xfId="0" applyNumberFormat="1" applyFont="1" applyFill="1" applyBorder="1" applyAlignment="1">
      <alignment horizontal="center"/>
    </xf>
    <xf numFmtId="0" fontId="0" fillId="5" borderId="0" xfId="0" applyFill="1"/>
    <xf numFmtId="0" fontId="5" fillId="5" borderId="0" xfId="0" applyFont="1" applyFill="1" applyAlignment="1">
      <alignment horizontal="center"/>
    </xf>
    <xf numFmtId="166" fontId="5" fillId="5" borderId="0" xfId="0" applyNumberFormat="1" applyFont="1" applyFill="1" applyAlignment="1">
      <alignment horizontal="center"/>
    </xf>
    <xf numFmtId="0" fontId="8" fillId="5" borderId="0" xfId="0" applyFont="1" applyFill="1"/>
    <xf numFmtId="165" fontId="5" fillId="5" borderId="0" xfId="1" applyNumberFormat="1" applyFont="1" applyFill="1" applyAlignment="1">
      <alignment horizontal="center"/>
    </xf>
    <xf numFmtId="10" fontId="5" fillId="5" borderId="0" xfId="0" applyNumberFormat="1" applyFont="1" applyFill="1" applyAlignment="1">
      <alignment horizontal="center"/>
    </xf>
    <xf numFmtId="10" fontId="5" fillId="5" borderId="0" xfId="3" applyNumberFormat="1" applyFont="1" applyFill="1" applyAlignment="1">
      <alignment horizontal="center"/>
    </xf>
    <xf numFmtId="168" fontId="5" fillId="5" borderId="0" xfId="3" applyNumberFormat="1" applyFont="1" applyFill="1" applyAlignment="1">
      <alignment horizontal="center"/>
    </xf>
    <xf numFmtId="165" fontId="5" fillId="5" borderId="0" xfId="0" applyNumberFormat="1" applyFont="1" applyFill="1" applyAlignment="1">
      <alignment horizontal="center"/>
    </xf>
    <xf numFmtId="0" fontId="5" fillId="5" borderId="1" xfId="0" applyFont="1" applyFill="1" applyBorder="1"/>
    <xf numFmtId="165" fontId="5" fillId="5" borderId="1" xfId="0" applyNumberFormat="1" applyFont="1" applyFill="1" applyBorder="1" applyAlignment="1">
      <alignment horizontal="center"/>
    </xf>
    <xf numFmtId="165" fontId="5" fillId="5" borderId="0" xfId="0" applyNumberFormat="1" applyFont="1" applyFill="1"/>
    <xf numFmtId="165" fontId="0" fillId="5" borderId="0" xfId="0" applyNumberFormat="1" applyFill="1"/>
    <xf numFmtId="165" fontId="5" fillId="5" borderId="0" xfId="1" applyNumberFormat="1" applyFont="1" applyFill="1"/>
    <xf numFmtId="1" fontId="5" fillId="0" borderId="2" xfId="0" applyNumberFormat="1" applyFont="1" applyBorder="1"/>
    <xf numFmtId="165" fontId="5" fillId="7" borderId="2" xfId="0" applyNumberFormat="1" applyFont="1" applyFill="1" applyBorder="1"/>
    <xf numFmtId="165" fontId="5" fillId="0" borderId="2" xfId="0" applyNumberFormat="1" applyFont="1" applyBorder="1"/>
    <xf numFmtId="165" fontId="5" fillId="0" borderId="2" xfId="1" applyNumberFormat="1" applyFont="1" applyBorder="1"/>
    <xf numFmtId="43" fontId="5" fillId="0" borderId="2" xfId="0" applyNumberFormat="1" applyFont="1" applyBorder="1"/>
    <xf numFmtId="0" fontId="5" fillId="7" borderId="2" xfId="0" applyFont="1" applyFill="1" applyBorder="1"/>
    <xf numFmtId="44" fontId="5" fillId="0" borderId="2" xfId="2" applyFont="1" applyBorder="1"/>
    <xf numFmtId="0" fontId="6" fillId="0" borderId="2" xfId="0" applyFont="1" applyBorder="1"/>
    <xf numFmtId="167" fontId="5" fillId="7" borderId="2" xfId="2" applyNumberFormat="1" applyFont="1" applyFill="1" applyBorder="1"/>
    <xf numFmtId="43" fontId="5" fillId="7" borderId="2" xfId="0" applyNumberFormat="1" applyFont="1" applyFill="1" applyBorder="1"/>
    <xf numFmtId="10" fontId="5" fillId="7" borderId="2" xfId="3" applyNumberFormat="1" applyFont="1" applyFill="1" applyBorder="1"/>
    <xf numFmtId="0" fontId="5" fillId="0" borderId="8" xfId="0" applyFont="1" applyBorder="1"/>
    <xf numFmtId="0" fontId="13" fillId="0" borderId="11" xfId="0" applyFont="1" applyBorder="1"/>
    <xf numFmtId="0" fontId="13" fillId="0" borderId="12" xfId="0" applyFont="1" applyBorder="1"/>
    <xf numFmtId="0" fontId="14" fillId="0" borderId="13" xfId="0" applyFont="1" applyBorder="1"/>
    <xf numFmtId="0" fontId="14" fillId="0" borderId="6" xfId="0" applyFont="1" applyBorder="1"/>
    <xf numFmtId="3" fontId="14" fillId="0" borderId="6" xfId="0" applyNumberFormat="1" applyFont="1" applyBorder="1"/>
    <xf numFmtId="0" fontId="15" fillId="0" borderId="0" xfId="0" applyFont="1"/>
    <xf numFmtId="0" fontId="16" fillId="0" borderId="0" xfId="4"/>
    <xf numFmtId="0" fontId="16" fillId="0" borderId="0" xfId="4" applyAlignment="1">
      <alignment horizontal="center"/>
    </xf>
    <xf numFmtId="0" fontId="19" fillId="9" borderId="2" xfId="4" applyFont="1" applyFill="1" applyBorder="1" applyAlignment="1">
      <alignment horizontal="center" wrapText="1"/>
    </xf>
    <xf numFmtId="3" fontId="19" fillId="9" borderId="2" xfId="4" applyNumberFormat="1" applyFont="1" applyFill="1" applyBorder="1" applyAlignment="1">
      <alignment horizontal="center" wrapText="1"/>
    </xf>
    <xf numFmtId="0" fontId="20" fillId="9" borderId="2" xfId="4" applyFont="1" applyFill="1" applyBorder="1" applyAlignment="1">
      <alignment horizontal="center" wrapText="1"/>
    </xf>
    <xf numFmtId="0" fontId="16" fillId="0" borderId="0" xfId="4" applyAlignment="1">
      <alignment wrapText="1"/>
    </xf>
    <xf numFmtId="167" fontId="20" fillId="9" borderId="2" xfId="6" applyNumberFormat="1" applyFont="1" applyFill="1" applyBorder="1" applyAlignment="1">
      <alignment horizontal="center" wrapText="1"/>
    </xf>
    <xf numFmtId="167" fontId="21" fillId="0" borderId="2" xfId="5" applyNumberFormat="1" applyFont="1" applyFill="1" applyBorder="1"/>
    <xf numFmtId="167" fontId="21" fillId="0" borderId="2" xfId="5" applyNumberFormat="1" applyFont="1" applyFill="1" applyBorder="1" applyAlignment="1">
      <alignment horizontal="center"/>
    </xf>
    <xf numFmtId="167" fontId="18" fillId="0" borderId="2" xfId="4" applyNumberFormat="1" applyFont="1" applyBorder="1"/>
    <xf numFmtId="0" fontId="19" fillId="9" borderId="10" xfId="4" applyFont="1" applyFill="1" applyBorder="1" applyAlignment="1">
      <alignment horizontal="center" wrapText="1"/>
    </xf>
    <xf numFmtId="170" fontId="19" fillId="9" borderId="10" xfId="4" applyNumberFormat="1" applyFont="1" applyFill="1" applyBorder="1" applyAlignment="1">
      <alignment horizontal="center" wrapText="1"/>
    </xf>
    <xf numFmtId="3" fontId="19" fillId="9" borderId="10" xfId="4" applyNumberFormat="1" applyFont="1" applyFill="1" applyBorder="1" applyAlignment="1">
      <alignment horizontal="center" wrapText="1"/>
    </xf>
    <xf numFmtId="0" fontId="20" fillId="9" borderId="10" xfId="4" applyFont="1" applyFill="1" applyBorder="1" applyAlignment="1">
      <alignment horizontal="center" wrapText="1"/>
    </xf>
    <xf numFmtId="167" fontId="20" fillId="9" borderId="10" xfId="6" applyNumberFormat="1" applyFont="1" applyFill="1" applyBorder="1" applyAlignment="1">
      <alignment horizontal="center" wrapText="1"/>
    </xf>
    <xf numFmtId="0" fontId="13" fillId="0" borderId="5" xfId="0" applyFont="1" applyBorder="1"/>
    <xf numFmtId="0" fontId="25" fillId="0" borderId="0" xfId="0" applyFont="1"/>
    <xf numFmtId="3" fontId="25" fillId="0" borderId="5" xfId="0" applyNumberFormat="1" applyFont="1" applyBorder="1"/>
    <xf numFmtId="167" fontId="0" fillId="0" borderId="0" xfId="2" applyNumberFormat="1" applyFont="1"/>
    <xf numFmtId="167" fontId="0" fillId="0" borderId="0" xfId="0" applyNumberFormat="1"/>
    <xf numFmtId="0" fontId="24" fillId="0" borderId="0" xfId="4" applyFont="1" applyAlignment="1">
      <alignment horizontal="center"/>
    </xf>
    <xf numFmtId="0" fontId="21" fillId="0" borderId="0" xfId="4" applyFont="1"/>
    <xf numFmtId="0" fontId="22" fillId="0" borderId="0" xfId="4" applyFont="1" applyAlignment="1">
      <alignment horizontal="center"/>
    </xf>
    <xf numFmtId="14" fontId="23" fillId="0" borderId="0" xfId="4" applyNumberFormat="1" applyFont="1" applyAlignment="1">
      <alignment horizontal="center"/>
    </xf>
    <xf numFmtId="14" fontId="24" fillId="0" borderId="0" xfId="4" applyNumberFormat="1" applyFont="1" applyAlignment="1">
      <alignment horizontal="right"/>
    </xf>
    <xf numFmtId="167" fontId="22" fillId="0" borderId="0" xfId="4" applyNumberFormat="1" applyFont="1"/>
    <xf numFmtId="0" fontId="21" fillId="0" borderId="2" xfId="4" applyFont="1" applyBorder="1"/>
    <xf numFmtId="0" fontId="21" fillId="0" borderId="2" xfId="4" applyFont="1" applyBorder="1" applyAlignment="1">
      <alignment horizontal="center"/>
    </xf>
    <xf numFmtId="3" fontId="21" fillId="0" borderId="2" xfId="4" applyNumberFormat="1" applyFont="1" applyBorder="1" applyAlignment="1">
      <alignment horizontal="center" wrapText="1"/>
    </xf>
    <xf numFmtId="0" fontId="21" fillId="0" borderId="2" xfId="4" applyFont="1" applyBorder="1" applyAlignment="1">
      <alignment horizontal="left"/>
    </xf>
    <xf numFmtId="167" fontId="16" fillId="0" borderId="2" xfId="4" applyNumberFormat="1" applyBorder="1"/>
    <xf numFmtId="3" fontId="21" fillId="0" borderId="2" xfId="4" applyNumberFormat="1" applyFont="1" applyBorder="1"/>
    <xf numFmtId="3" fontId="21" fillId="0" borderId="2" xfId="4" applyNumberFormat="1" applyFont="1" applyBorder="1" applyAlignment="1">
      <alignment horizontal="left"/>
    </xf>
    <xf numFmtId="0" fontId="26" fillId="0" borderId="5" xfId="0" applyFont="1" applyBorder="1"/>
    <xf numFmtId="6" fontId="0" fillId="0" borderId="0" xfId="0" applyNumberFormat="1"/>
    <xf numFmtId="6" fontId="16" fillId="0" borderId="0" xfId="4" applyNumberFormat="1"/>
    <xf numFmtId="1" fontId="21" fillId="0" borderId="2" xfId="4" applyNumberFormat="1" applyFont="1" applyBorder="1" applyAlignment="1">
      <alignment horizontal="center"/>
    </xf>
    <xf numFmtId="1" fontId="21" fillId="0" borderId="2" xfId="4" applyNumberFormat="1" applyFont="1" applyBorder="1" applyAlignment="1">
      <alignment horizontal="center" wrapText="1"/>
    </xf>
    <xf numFmtId="1" fontId="16" fillId="0" borderId="0" xfId="4" applyNumberFormat="1"/>
    <xf numFmtId="0" fontId="26" fillId="0" borderId="11" xfId="0" applyFont="1" applyBorder="1" applyAlignment="1">
      <alignment wrapText="1"/>
    </xf>
    <xf numFmtId="1" fontId="30" fillId="0" borderId="6" xfId="0" applyNumberFormat="1" applyFont="1" applyBorder="1"/>
    <xf numFmtId="0" fontId="31" fillId="0" borderId="4" xfId="0" applyFont="1" applyBorder="1" applyAlignment="1">
      <alignment horizontal="center"/>
    </xf>
    <xf numFmtId="165" fontId="31" fillId="0" borderId="0" xfId="1" applyNumberFormat="1" applyFont="1"/>
    <xf numFmtId="0" fontId="31" fillId="0" borderId="0" xfId="0" applyFont="1"/>
    <xf numFmtId="165" fontId="31" fillId="0" borderId="0" xfId="0" applyNumberFormat="1" applyFont="1"/>
    <xf numFmtId="0" fontId="28" fillId="10" borderId="9" xfId="0" applyFont="1" applyFill="1" applyBorder="1" applyAlignment="1">
      <alignment horizontal="center"/>
    </xf>
    <xf numFmtId="0" fontId="28" fillId="10" borderId="15" xfId="0" applyFont="1" applyFill="1" applyBorder="1" applyAlignment="1">
      <alignment horizontal="center"/>
    </xf>
    <xf numFmtId="0" fontId="29" fillId="0" borderId="9" xfId="0" applyFont="1" applyBorder="1" applyAlignment="1">
      <alignment horizontal="center"/>
    </xf>
    <xf numFmtId="0" fontId="27" fillId="0" borderId="0" xfId="0" applyFont="1"/>
    <xf numFmtId="171" fontId="27" fillId="0" borderId="9" xfId="0" applyNumberFormat="1" applyFont="1" applyBorder="1"/>
    <xf numFmtId="171" fontId="27" fillId="0" borderId="0" xfId="0" applyNumberFormat="1" applyFont="1"/>
    <xf numFmtId="0" fontId="0" fillId="0" borderId="2" xfId="0" applyBorder="1" applyAlignment="1">
      <alignment horizontal="center" vertical="center" wrapText="1"/>
    </xf>
    <xf numFmtId="2" fontId="0" fillId="0" borderId="0" xfId="0" applyNumberFormat="1"/>
    <xf numFmtId="44" fontId="0" fillId="0" borderId="0" xfId="2" applyFont="1"/>
    <xf numFmtId="0" fontId="26" fillId="0" borderId="12" xfId="0" applyFont="1" applyBorder="1"/>
    <xf numFmtId="165" fontId="14" fillId="0" borderId="0" xfId="1" applyNumberFormat="1" applyFont="1" applyFill="1" applyBorder="1"/>
    <xf numFmtId="0" fontId="32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14" fillId="0" borderId="11" xfId="1" applyNumberFormat="1" applyFont="1" applyBorder="1"/>
    <xf numFmtId="0" fontId="14" fillId="0" borderId="11" xfId="0" applyFont="1" applyBorder="1"/>
    <xf numFmtId="0" fontId="24" fillId="0" borderId="0" xfId="4" applyFont="1"/>
    <xf numFmtId="0" fontId="21" fillId="11" borderId="2" xfId="4" applyFont="1" applyFill="1" applyBorder="1" applyAlignment="1">
      <alignment horizontal="center"/>
    </xf>
    <xf numFmtId="0" fontId="21" fillId="11" borderId="2" xfId="4" applyFont="1" applyFill="1" applyBorder="1"/>
    <xf numFmtId="3" fontId="21" fillId="11" borderId="2" xfId="4" applyNumberFormat="1" applyFont="1" applyFill="1" applyBorder="1" applyAlignment="1">
      <alignment horizontal="center" wrapText="1"/>
    </xf>
    <xf numFmtId="1" fontId="21" fillId="11" borderId="2" xfId="4" applyNumberFormat="1" applyFont="1" applyFill="1" applyBorder="1" applyAlignment="1">
      <alignment horizontal="center" wrapText="1"/>
    </xf>
    <xf numFmtId="0" fontId="21" fillId="11" borderId="2" xfId="4" applyFont="1" applyFill="1" applyBorder="1" applyAlignment="1">
      <alignment horizontal="left"/>
    </xf>
    <xf numFmtId="167" fontId="21" fillId="11" borderId="2" xfId="5" applyNumberFormat="1" applyFont="1" applyFill="1" applyBorder="1"/>
    <xf numFmtId="167" fontId="21" fillId="11" borderId="2" xfId="5" applyNumberFormat="1" applyFont="1" applyFill="1" applyBorder="1" applyAlignment="1">
      <alignment horizontal="center"/>
    </xf>
    <xf numFmtId="167" fontId="16" fillId="11" borderId="2" xfId="4" applyNumberFormat="1" applyFill="1" applyBorder="1"/>
    <xf numFmtId="1" fontId="21" fillId="0" borderId="2" xfId="4" applyNumberFormat="1" applyFont="1" applyBorder="1" applyAlignment="1">
      <alignment horizontal="left"/>
    </xf>
    <xf numFmtId="1" fontId="21" fillId="11" borderId="2" xfId="4" applyNumberFormat="1" applyFont="1" applyFill="1" applyBorder="1" applyAlignment="1">
      <alignment horizontal="left"/>
    </xf>
    <xf numFmtId="0" fontId="16" fillId="0" borderId="2" xfId="4" applyBorder="1"/>
    <xf numFmtId="0" fontId="16" fillId="11" borderId="2" xfId="4" applyFill="1" applyBorder="1"/>
    <xf numFmtId="165" fontId="16" fillId="0" borderId="0" xfId="4" applyNumberFormat="1"/>
    <xf numFmtId="43" fontId="16" fillId="0" borderId="0" xfId="4" applyNumberFormat="1"/>
    <xf numFmtId="2" fontId="16" fillId="0" borderId="0" xfId="4" applyNumberFormat="1"/>
    <xf numFmtId="0" fontId="17" fillId="0" borderId="0" xfId="4" applyFont="1"/>
    <xf numFmtId="44" fontId="5" fillId="0" borderId="0" xfId="2" applyFont="1" applyBorder="1"/>
    <xf numFmtId="43" fontId="5" fillId="7" borderId="7" xfId="0" applyNumberFormat="1" applyFont="1" applyFill="1" applyBorder="1"/>
    <xf numFmtId="0" fontId="5" fillId="7" borderId="7" xfId="0" applyFont="1" applyFill="1" applyBorder="1"/>
    <xf numFmtId="1" fontId="5" fillId="7" borderId="7" xfId="0" applyNumberFormat="1" applyFont="1" applyFill="1" applyBorder="1"/>
    <xf numFmtId="165" fontId="5" fillId="7" borderId="7" xfId="0" applyNumberFormat="1" applyFont="1" applyFill="1" applyBorder="1"/>
    <xf numFmtId="165" fontId="5" fillId="7" borderId="7" xfId="1" applyNumberFormat="1" applyFont="1" applyFill="1" applyBorder="1"/>
    <xf numFmtId="0" fontId="6" fillId="0" borderId="9" xfId="0" applyFont="1" applyBorder="1"/>
    <xf numFmtId="44" fontId="6" fillId="0" borderId="2" xfId="2" applyFont="1" applyBorder="1"/>
    <xf numFmtId="165" fontId="6" fillId="7" borderId="10" xfId="0" applyNumberFormat="1" applyFont="1" applyFill="1" applyBorder="1"/>
    <xf numFmtId="165" fontId="0" fillId="0" borderId="0" xfId="1" applyNumberFormat="1" applyFont="1" applyBorder="1"/>
    <xf numFmtId="3" fontId="25" fillId="0" borderId="0" xfId="0" applyNumberFormat="1" applyFont="1"/>
    <xf numFmtId="0" fontId="0" fillId="0" borderId="4" xfId="0" applyBorder="1"/>
    <xf numFmtId="165" fontId="5" fillId="0" borderId="0" xfId="1" applyNumberFormat="1" applyFont="1" applyBorder="1"/>
    <xf numFmtId="44" fontId="6" fillId="0" borderId="14" xfId="2" applyFont="1" applyBorder="1"/>
    <xf numFmtId="165" fontId="6" fillId="0" borderId="2" xfId="0" applyNumberFormat="1" applyFont="1" applyBorder="1"/>
    <xf numFmtId="44" fontId="5" fillId="7" borderId="2" xfId="2" applyFont="1" applyFill="1" applyBorder="1"/>
    <xf numFmtId="172" fontId="6" fillId="0" borderId="0" xfId="2" applyNumberFormat="1" applyFont="1" applyBorder="1"/>
    <xf numFmtId="0" fontId="5" fillId="0" borderId="2" xfId="1" applyNumberFormat="1" applyFont="1" applyBorder="1"/>
    <xf numFmtId="0" fontId="5" fillId="7" borderId="2" xfId="1" applyNumberFormat="1" applyFont="1" applyFill="1" applyBorder="1"/>
    <xf numFmtId="44" fontId="5" fillId="7" borderId="7" xfId="2" applyFont="1" applyFill="1" applyBorder="1"/>
    <xf numFmtId="2" fontId="5" fillId="0" borderId="0" xfId="0" applyNumberFormat="1" applyFont="1"/>
    <xf numFmtId="167" fontId="5" fillId="0" borderId="0" xfId="0" applyNumberFormat="1" applyFont="1"/>
    <xf numFmtId="166" fontId="5" fillId="0" borderId="0" xfId="0" applyNumberFormat="1" applyFont="1"/>
    <xf numFmtId="9" fontId="5" fillId="7" borderId="2" xfId="0" applyNumberFormat="1" applyFont="1" applyFill="1" applyBorder="1"/>
    <xf numFmtId="0" fontId="5" fillId="0" borderId="2" xfId="0" quotePrefix="1" applyFont="1" applyBorder="1" applyAlignment="1">
      <alignment horizontal="center"/>
    </xf>
    <xf numFmtId="9" fontId="5" fillId="0" borderId="2" xfId="0" applyNumberFormat="1" applyFont="1" applyBorder="1"/>
    <xf numFmtId="167" fontId="5" fillId="0" borderId="2" xfId="0" applyNumberFormat="1" applyFont="1" applyBorder="1"/>
    <xf numFmtId="167" fontId="5" fillId="0" borderId="2" xfId="2" applyNumberFormat="1" applyFont="1" applyBorder="1"/>
    <xf numFmtId="0" fontId="7" fillId="0" borderId="0" xfId="0" applyFont="1"/>
    <xf numFmtId="0" fontId="33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12" borderId="2" xfId="0" applyFont="1" applyFill="1" applyBorder="1"/>
    <xf numFmtId="0" fontId="34" fillId="0" borderId="0" xfId="0" applyFont="1"/>
    <xf numFmtId="0" fontId="35" fillId="13" borderId="0" xfId="0" applyFont="1" applyFill="1"/>
    <xf numFmtId="0" fontId="36" fillId="13" borderId="0" xfId="0" applyFont="1" applyFill="1"/>
    <xf numFmtId="0" fontId="35" fillId="13" borderId="0" xfId="0" applyFont="1" applyFill="1" applyAlignment="1">
      <alignment horizontal="center" vertical="center" wrapText="1"/>
    </xf>
    <xf numFmtId="0" fontId="4" fillId="14" borderId="2" xfId="0" applyFont="1" applyFill="1" applyBorder="1" applyAlignment="1">
      <alignment wrapText="1"/>
    </xf>
    <xf numFmtId="0" fontId="6" fillId="14" borderId="2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left" indent="2"/>
    </xf>
    <xf numFmtId="44" fontId="5" fillId="0" borderId="2" xfId="2" applyFont="1" applyFill="1" applyBorder="1"/>
    <xf numFmtId="0" fontId="5" fillId="0" borderId="17" xfId="0" applyFont="1" applyBorder="1"/>
    <xf numFmtId="0" fontId="0" fillId="0" borderId="17" xfId="0" applyBorder="1"/>
    <xf numFmtId="43" fontId="5" fillId="0" borderId="17" xfId="0" applyNumberFormat="1" applyFont="1" applyBorder="1"/>
    <xf numFmtId="0" fontId="30" fillId="0" borderId="6" xfId="0" applyFont="1" applyBorder="1"/>
    <xf numFmtId="165" fontId="14" fillId="0" borderId="11" xfId="1" applyNumberFormat="1" applyFont="1" applyFill="1" applyBorder="1"/>
    <xf numFmtId="167" fontId="0" fillId="0" borderId="0" xfId="2" applyNumberFormat="1" applyFont="1" applyFill="1"/>
    <xf numFmtId="0" fontId="14" fillId="0" borderId="0" xfId="0" applyFont="1"/>
    <xf numFmtId="3" fontId="14" fillId="0" borderId="0" xfId="0" applyNumberFormat="1" applyFont="1"/>
    <xf numFmtId="0" fontId="14" fillId="12" borderId="13" xfId="0" applyFont="1" applyFill="1" applyBorder="1"/>
    <xf numFmtId="0" fontId="30" fillId="12" borderId="6" xfId="0" applyFont="1" applyFill="1" applyBorder="1"/>
    <xf numFmtId="3" fontId="14" fillId="12" borderId="6" xfId="0" applyNumberFormat="1" applyFont="1" applyFill="1" applyBorder="1"/>
    <xf numFmtId="0" fontId="14" fillId="12" borderId="6" xfId="0" applyFont="1" applyFill="1" applyBorder="1"/>
    <xf numFmtId="165" fontId="14" fillId="12" borderId="11" xfId="1" applyNumberFormat="1" applyFont="1" applyFill="1" applyBorder="1"/>
    <xf numFmtId="0" fontId="6" fillId="12" borderId="2" xfId="0" applyFont="1" applyFill="1" applyBorder="1"/>
    <xf numFmtId="167" fontId="6" fillId="0" borderId="2" xfId="2" applyNumberFormat="1" applyFont="1" applyBorder="1"/>
    <xf numFmtId="165" fontId="6" fillId="0" borderId="2" xfId="1" applyNumberFormat="1" applyFont="1" applyBorder="1"/>
    <xf numFmtId="44" fontId="5" fillId="0" borderId="2" xfId="2" quotePrefix="1" applyFont="1" applyFill="1" applyBorder="1"/>
    <xf numFmtId="0" fontId="0" fillId="12" borderId="0" xfId="0" applyFill="1"/>
    <xf numFmtId="166" fontId="7" fillId="0" borderId="0" xfId="0" applyNumberFormat="1" applyFont="1"/>
    <xf numFmtId="0" fontId="7" fillId="2" borderId="4" xfId="0" applyFont="1" applyFill="1" applyBorder="1" applyAlignment="1">
      <alignment horizontal="left"/>
    </xf>
    <xf numFmtId="0" fontId="0" fillId="0" borderId="16" xfId="0" applyBorder="1" applyAlignment="1">
      <alignment horizontal="center" wrapText="1"/>
    </xf>
    <xf numFmtId="0" fontId="24" fillId="0" borderId="0" xfId="4" applyFont="1" applyAlignment="1">
      <alignment horizontal="center"/>
    </xf>
  </cellXfs>
  <cellStyles count="9">
    <cellStyle name="Comma" xfId="1" builtinId="3"/>
    <cellStyle name="Currency" xfId="2" builtinId="4"/>
    <cellStyle name="Currency 2" xfId="6" xr:uid="{F6F78024-9185-4D7F-87D3-1FC9E07CB3D0}"/>
    <cellStyle name="Currency 3" xfId="5" xr:uid="{95F21519-61E1-4F16-AA2C-9F956F4141A1}"/>
    <cellStyle name="Currency 4" xfId="8" xr:uid="{BA270113-4E5A-43B5-925A-4454C1B9C8F3}"/>
    <cellStyle name="Normal" xfId="0" builtinId="0"/>
    <cellStyle name="Normal 2" xfId="4" xr:uid="{01DC05FE-D94D-4790-B594-F3B176DFB07A}"/>
    <cellStyle name="Normal 3" xfId="7" xr:uid="{F939ABCE-1118-40F6-9121-715D9E3BE67D}"/>
    <cellStyle name="Percent" xfId="3" builtinId="5"/>
  </cellStyles>
  <dxfs count="0"/>
  <tableStyles count="0" defaultTableStyle="TableStyleMedium2" defaultPivotStyle="PivotStyleLight16"/>
  <colors>
    <mruColors>
      <color rgb="FFD4C6F6"/>
      <color rgb="FF8E6A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ocumenttasks/documenttask1.xml><?xml version="1.0" encoding="utf-8"?>
<Tasks xmlns="http://schemas.microsoft.com/office/tasks/2019/documenttasks">
  <Task id="{12CB4090-A00D-4AD0-ACE9-94E7FAB221E1}">
    <Anchor>
      <Comment id="{681B7854-8273-4A04-9AD4-5C1DB7C053F7}"/>
    </Anchor>
    <History>
      <Event time="2024-03-07T15:22:51.68" id="{9816E525-9A3A-4DC1-9BF5-23123D236AAE}">
        <Attribution userId="S::apolematidis@hanson-inc.com::d6734a83-3a6c-4ad0-9f28-8b296f3a3437" userName="Amanda Josefa Polematidis" userProvider="AD"/>
        <Anchor>
          <Comment id="{681B7854-8273-4A04-9AD4-5C1DB7C053F7}"/>
        </Anchor>
        <Create/>
      </Event>
      <Event time="2024-03-07T15:22:51.68" id="{F83306BA-1AE1-40F5-80D2-58C1C055153C}">
        <Attribution userId="S::apolematidis@hanson-inc.com::d6734a83-3a6c-4ad0-9f28-8b296f3a3437" userName="Amanda Josefa Polematidis" userProvider="AD"/>
        <Anchor>
          <Comment id="{681B7854-8273-4A04-9AD4-5C1DB7C053F7}"/>
        </Anchor>
        <Assign userId="S::apolematidis@hanson-inc.com::d6734a83-3a6c-4ad0-9f28-8b296f3a3437" userName="Amanda Josefa Polematidis" userProvider="AD"/>
      </Event>
      <Event time="2024-03-07T15:22:51.68" id="{D6413C7A-4A46-4637-BFA7-8EA3BEF80643}">
        <Attribution userId="S::apolematidis@hanson-inc.com::d6734a83-3a6c-4ad0-9f28-8b296f3a3437" userName="Amanda Josefa Polematidis" userProvider="AD"/>
        <Anchor>
          <Comment id="{681B7854-8273-4A04-9AD4-5C1DB7C053F7}"/>
        </Anchor>
        <SetTitle title="@Amanda Josefa Polematidis confirm value"/>
      </Event>
    </History>
  </Task>
</Tasks>
</file>

<file path=xl/persons/person.xml><?xml version="1.0" encoding="utf-8"?>
<personList xmlns="http://schemas.microsoft.com/office/spreadsheetml/2018/threadedcomments" xmlns:x="http://schemas.openxmlformats.org/spreadsheetml/2006/main">
  <person displayName="Amanda Josefa Polematidis" id="{5A63B912-B1EC-476F-97B0-570C4DAE1EC9}" userId="apolematidis@hanson-inc.com" providerId="PeoplePicker"/>
  <person displayName="Tad Gass" id="{A81CB46A-7E56-4DFD-A4BB-7D8861F07C18}" userId="S::tgass@hanson-inc.com::4c4c67de-5c62-438e-971d-87f665c58c5b" providerId="AD"/>
  <person displayName="Amanda Josefa Polematidis" id="{0B521EFF-060C-4C67-904E-C2A4F8CCB656}" userId="S::apolematidis@hanson-inc.com::d6734a83-3a6c-4ad0-9f28-8b296f3a343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0" dT="2024-03-27T14:27:13.52" personId="{0B521EFF-060C-4C67-904E-C2A4F8CCB656}" id="{60028D9D-3AE2-4171-9C76-589C95987527}">
    <text>Add NEFL Counties 32 EV city vehicles over 5 years.  Assume 50% passenger vehicles, 50% trucks.</text>
  </threadedComment>
  <threadedComment ref="A20" dT="2024-03-27T14:29:39.17" personId="{0B521EFF-060C-4C67-904E-C2A4F8CCB656}" id="{68EA83D7-7237-4E7A-94F3-18689DD21DC8}">
    <text>Add rows for St Johns and Clay mobility hubs</text>
  </threadedComment>
  <threadedComment ref="D20" dT="2024-03-27T14:28:58.07" personId="{0B521EFF-060C-4C67-904E-C2A4F8CCB656}" id="{908BF143-6591-4D16-B0D4-E783A2B1D570}">
    <text>Conversion per year based on predicted usage from COJ between 2025-2030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5" dT="2024-03-07T15:31:00.74" personId="{0B521EFF-060C-4C67-904E-C2A4F8CCB656}" id="{6F92A048-E356-4B26-A63E-23748E4DF1BE}">
    <text>Based of JTA Sustainability plan and move 27</text>
  </threadedComment>
  <threadedComment ref="B15" dT="2024-03-15T16:03:40.51" personId="{A81CB46A-7E56-4DFD-A4BB-7D8861F07C18}" id="{812B99AF-B616-476B-B5E0-9933434F2D7E}" parentId="{6F92A048-E356-4B26-A63E-23748E4DF1BE}">
    <text>https://www.homearea.com/rankings/place-in-fl/percent_using_public_transportation/#:~:text=The%20Florida%20percent%20using%20public,from%20%239%20to%20%235.</text>
    <extLst>
      <x:ext xmlns:xltc2="http://schemas.microsoft.com/office/spreadsheetml/2020/threadedcomments2" uri="{F7C98A9C-CBB3-438F-8F68-D28B6AF4A901}">
        <xltc2:checksum>2815212134</xltc2:checksum>
        <xltc2:hyperlink startIndex="0" length="155" url="https://www.homearea.com/rankings/place-in-fl/percent_using_public_transportation/#:~:text=The%20Florida%20percent%20using%20public,from%20%239%20to%20%235"/>
      </x:ext>
    </extLst>
  </threadedComment>
  <threadedComment ref="C15" dT="2024-03-15T16:07:18.81" personId="{A81CB46A-7E56-4DFD-A4BB-7D8861F07C18}" id="{338ED528-C43A-4813-88B1-AA8EDF1F10E8}">
    <text xml:space="preserve">https://www.homearea.com/county/clay-county-florida/12019/
</text>
    <extLst>
      <x:ext xmlns:xltc2="http://schemas.microsoft.com/office/spreadsheetml/2020/threadedcomments2" uri="{F7C98A9C-CBB3-438F-8F68-D28B6AF4A901}">
        <xltc2:checksum>3997024614</xltc2:checksum>
        <xltc2:hyperlink startIndex="0" length="58" url="https://www.homearea.com/county/clay-county-florida/12019/"/>
      </x:ext>
    </extLst>
  </threadedComment>
  <threadedComment ref="E15" dT="2024-03-15T16:07:18.81" personId="{A81CB46A-7E56-4DFD-A4BB-7D8861F07C18}" id="{080A8688-793C-46CD-B848-D9722B34A0D3}">
    <text xml:space="preserve">https://www.homearea.com/county/st-johns-county-florida/12109/
</text>
    <extLst>
      <x:ext xmlns:xltc2="http://schemas.microsoft.com/office/spreadsheetml/2020/threadedcomments2" uri="{F7C98A9C-CBB3-438F-8F68-D28B6AF4A901}">
        <xltc2:checksum>2282175994</xltc2:checksum>
        <xltc2:hyperlink startIndex="0" length="62" url="https://www.homearea.com/county/st-johns-county-florida/12109/"/>
      </x:ext>
    </extLst>
  </threadedComment>
  <threadedComment ref="B29" dT="2024-03-07T15:22:51.68" personId="{0B521EFF-060C-4C67-904E-C2A4F8CCB656}" id="{681B7854-8273-4A04-9AD4-5C1DB7C053F7}">
    <text>@Amanda Josefa Polematidis  confirm value</text>
    <mentions>
      <mention mentionpersonId="{5A63B912-B1EC-476F-97B0-570C4DAE1EC9}" mentionId="{52F12B9B-1523-4939-A3F6-3D387C410B4F}" startIndex="0" length="26"/>
    </mentions>
  </threadedComment>
  <threadedComment ref="A30" dT="2024-03-26T19:51:46.68" personId="{0B521EFF-060C-4C67-904E-C2A4F8CCB656}" id="{6DD63891-54C9-4B1D-94E9-67F797C8A2A2}">
    <text>https://afdc.energy.gov/vehicles/electric_school_buses_p8_m1.html</text>
    <extLst>
      <x:ext xmlns:xltc2="http://schemas.microsoft.com/office/spreadsheetml/2020/threadedcomments2" uri="{F7C98A9C-CBB3-438F-8F68-D28B6AF4A901}">
        <xltc2:checksum>1851332187</xltc2:checksum>
        <xltc2:hyperlink startIndex="0" length="65" url="https://afdc.energy.gov/vehicles/electric_school_buses_p8_m1.html"/>
      </x:ext>
    </extLst>
  </threadedComment>
  <threadedComment ref="B32" dT="2024-03-15T15:24:00.71" personId="{A81CB46A-7E56-4DFD-A4BB-7D8861F07C18}" id="{AC3955A5-C975-426A-951C-25F83A93E7FC}">
    <text xml:space="preserve">From AFLEET tool
</text>
  </threadedComment>
  <threadedComment ref="B52" dT="2024-03-07T15:28:12.08" personId="{0B521EFF-060C-4C67-904E-C2A4F8CCB656}" id="{61D0D569-ACC1-418B-AA33-B1D41E889BE0}">
    <text># of students riding these buses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microsoft.com/office/2019/04/relationships/documenttask" Target="../documenttasks/documenttask1.xml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6B793-3479-4754-899C-4A8D314FE485}">
  <dimension ref="A1:ES61"/>
  <sheetViews>
    <sheetView tabSelected="1" topLeftCell="B1" zoomScale="60" zoomScaleNormal="60" workbookViewId="0">
      <selection activeCell="E3" sqref="E3:E7"/>
    </sheetView>
  </sheetViews>
  <sheetFormatPr baseColWidth="10" defaultColWidth="10.83203125" defaultRowHeight="16" x14ac:dyDescent="0.2"/>
  <cols>
    <col min="1" max="1" width="54.33203125" style="1" customWidth="1"/>
    <col min="2" max="2" width="18" style="1" bestFit="1" customWidth="1"/>
    <col min="3" max="4" width="21" style="1" bestFit="1" customWidth="1"/>
    <col min="5" max="5" width="19.83203125" style="1" bestFit="1" customWidth="1"/>
    <col min="6" max="6" width="16" style="1" customWidth="1"/>
    <col min="7" max="7" width="17.33203125" style="1" customWidth="1"/>
    <col min="8" max="8" width="18.6640625" style="1" bestFit="1" customWidth="1"/>
    <col min="9" max="9" width="28.5" style="1" bestFit="1" customWidth="1"/>
    <col min="10" max="10" width="15.6640625" style="1" customWidth="1"/>
    <col min="11" max="11" width="17.6640625" style="1" bestFit="1" customWidth="1"/>
    <col min="12" max="12" width="26.1640625" style="1" bestFit="1" customWidth="1"/>
    <col min="13" max="13" width="18.1640625" style="1" bestFit="1" customWidth="1"/>
    <col min="14" max="14" width="23.83203125" style="1" bestFit="1" customWidth="1"/>
    <col min="15" max="15" width="18.6640625" style="1" bestFit="1" customWidth="1"/>
    <col min="16" max="16" width="15.6640625" style="1" customWidth="1"/>
    <col min="17" max="17" width="13.1640625" style="1" customWidth="1"/>
    <col min="18" max="18" width="18.6640625" style="1" bestFit="1" customWidth="1"/>
    <col min="19" max="19" width="14.1640625" style="1" customWidth="1"/>
    <col min="20" max="20" width="16" style="1" customWidth="1"/>
    <col min="21" max="21" width="15.83203125" style="1" customWidth="1"/>
    <col min="22" max="22" width="14" style="1" customWidth="1"/>
    <col min="23" max="16384" width="10.83203125" style="1"/>
  </cols>
  <sheetData>
    <row r="1" spans="1:149" s="247" customFormat="1" ht="30" x14ac:dyDescent="0.3">
      <c r="A1" s="248" t="s">
        <v>0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9"/>
      <c r="N1" s="248"/>
      <c r="O1" s="250"/>
      <c r="P1" s="249"/>
      <c r="Q1" s="249"/>
      <c r="R1" s="249"/>
    </row>
    <row r="2" spans="1:149" ht="20" x14ac:dyDescent="0.2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N2" s="5"/>
      <c r="O2" s="244"/>
    </row>
    <row r="3" spans="1:149" ht="34" x14ac:dyDescent="0.2">
      <c r="A3" s="251" t="s">
        <v>1</v>
      </c>
      <c r="B3" s="252" t="s">
        <v>2</v>
      </c>
      <c r="C3" s="252" t="s">
        <v>3</v>
      </c>
      <c r="D3" s="252" t="s">
        <v>4</v>
      </c>
      <c r="E3" s="252" t="s">
        <v>5</v>
      </c>
      <c r="F3" s="243"/>
      <c r="G3" s="243"/>
      <c r="H3" s="243"/>
      <c r="I3" s="243"/>
      <c r="J3" s="243"/>
      <c r="K3" s="243"/>
      <c r="L3" s="243"/>
      <c r="N3" s="5"/>
      <c r="O3" s="244"/>
    </row>
    <row r="4" spans="1:149" ht="20" x14ac:dyDescent="0.2">
      <c r="A4" s="246" t="s">
        <v>6</v>
      </c>
      <c r="B4" s="241">
        <f>16702702</f>
        <v>16702702</v>
      </c>
      <c r="C4" s="123">
        <f>O12</f>
        <v>1552941.7376295289</v>
      </c>
      <c r="D4" s="123">
        <f>P12</f>
        <v>9597290.1385839097</v>
      </c>
      <c r="E4" s="126">
        <f>B4/C4</f>
        <v>10.755523916496481</v>
      </c>
      <c r="F4" s="243"/>
      <c r="G4" s="243"/>
      <c r="H4" s="243"/>
      <c r="I4" s="243"/>
      <c r="J4" s="243"/>
      <c r="K4" s="243"/>
      <c r="L4" s="243"/>
      <c r="N4" s="5"/>
      <c r="O4" s="244"/>
    </row>
    <row r="5" spans="1:149" ht="20" x14ac:dyDescent="0.2">
      <c r="A5" s="246" t="s">
        <v>7</v>
      </c>
      <c r="B5" s="241">
        <f>SUM(I21:I23)</f>
        <v>13219833</v>
      </c>
      <c r="C5" s="123">
        <f>K21</f>
        <v>1968.9095972087823</v>
      </c>
      <c r="D5" s="123">
        <f>L21</f>
        <v>10623.125754210341</v>
      </c>
      <c r="E5" s="126">
        <f t="shared" ref="E5:E6" si="0">B5/C5</f>
        <v>6714.2915138110193</v>
      </c>
      <c r="F5" s="243"/>
      <c r="G5" s="243"/>
      <c r="H5" s="243"/>
      <c r="I5" s="243"/>
      <c r="J5" s="243"/>
      <c r="K5" s="243"/>
      <c r="L5" s="243"/>
      <c r="N5" s="5"/>
      <c r="O5" s="244"/>
    </row>
    <row r="6" spans="1:149" ht="20" x14ac:dyDescent="0.2">
      <c r="A6" s="246" t="s">
        <v>8</v>
      </c>
      <c r="B6" s="242">
        <v>20077464</v>
      </c>
      <c r="C6" s="220">
        <f>K27</f>
        <v>4546.1000000000004</v>
      </c>
      <c r="D6" s="220">
        <f>L27</f>
        <v>22730.5</v>
      </c>
      <c r="E6" s="126">
        <f t="shared" si="0"/>
        <v>4416.4149490772306</v>
      </c>
      <c r="F6" s="243"/>
      <c r="G6" s="243"/>
      <c r="H6" s="243"/>
      <c r="I6" s="243"/>
      <c r="J6" s="243"/>
      <c r="K6" s="243"/>
      <c r="L6" s="243"/>
      <c r="N6" s="5"/>
      <c r="O6" s="244"/>
    </row>
    <row r="7" spans="1:149" ht="20" x14ac:dyDescent="0.2">
      <c r="A7" s="268" t="s">
        <v>9</v>
      </c>
      <c r="B7" s="269">
        <v>49999999</v>
      </c>
      <c r="C7" s="270">
        <f>SUM(C4:C6)</f>
        <v>1559456.7472267377</v>
      </c>
      <c r="D7" s="270">
        <f>SUM(D4:D6)</f>
        <v>9630643.7643381208</v>
      </c>
      <c r="E7" s="222">
        <f>B7/C7</f>
        <v>32.062446803297092</v>
      </c>
      <c r="F7" s="273"/>
      <c r="G7" s="243"/>
      <c r="H7" s="243"/>
      <c r="I7" s="243"/>
      <c r="J7" s="243"/>
      <c r="K7" s="243"/>
      <c r="L7" s="243"/>
      <c r="N7" s="5"/>
      <c r="O7" s="244"/>
    </row>
    <row r="8" spans="1:149" ht="17" thickBot="1" x14ac:dyDescent="0.25">
      <c r="N8" s="236"/>
      <c r="O8" s="237"/>
    </row>
    <row r="9" spans="1:149" ht="17" thickTop="1" x14ac:dyDescent="0.2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</row>
    <row r="10" spans="1:149" ht="85" x14ac:dyDescent="0.2">
      <c r="A10" s="251" t="s">
        <v>10</v>
      </c>
      <c r="B10" s="252" t="s">
        <v>11</v>
      </c>
      <c r="C10" s="252" t="s">
        <v>12</v>
      </c>
      <c r="D10" s="252" t="s">
        <v>13</v>
      </c>
      <c r="E10" s="252" t="s">
        <v>14</v>
      </c>
      <c r="F10" s="252" t="s">
        <v>15</v>
      </c>
      <c r="G10" s="252" t="s">
        <v>16</v>
      </c>
      <c r="H10" s="252" t="s">
        <v>17</v>
      </c>
      <c r="I10" s="252" t="s">
        <v>18</v>
      </c>
      <c r="J10" s="252" t="s">
        <v>19</v>
      </c>
      <c r="K10" s="252" t="s">
        <v>20</v>
      </c>
      <c r="L10" s="252" t="s">
        <v>21</v>
      </c>
      <c r="M10" s="252" t="s">
        <v>22</v>
      </c>
      <c r="N10" s="252" t="s">
        <v>23</v>
      </c>
      <c r="O10" s="252" t="s">
        <v>24</v>
      </c>
      <c r="P10" s="252" t="s">
        <v>25</v>
      </c>
      <c r="R10" s="245"/>
    </row>
    <row r="11" spans="1:149" x14ac:dyDescent="0.2">
      <c r="A11" s="246" t="s">
        <v>26</v>
      </c>
      <c r="B11" s="127"/>
      <c r="C11" s="127"/>
      <c r="D11" s="127"/>
      <c r="E11" s="127"/>
      <c r="F11" s="127"/>
      <c r="H11" s="127"/>
      <c r="I11" s="127"/>
      <c r="J11" s="127"/>
      <c r="K11" s="127"/>
      <c r="L11" s="127"/>
      <c r="M11" s="127"/>
      <c r="N11" s="5"/>
      <c r="O11" s="221"/>
      <c r="P11" s="221"/>
    </row>
    <row r="12" spans="1:149" s="137" customFormat="1" x14ac:dyDescent="0.2">
      <c r="A12" s="253" t="s">
        <v>27</v>
      </c>
      <c r="B12" s="39">
        <v>69</v>
      </c>
      <c r="C12" s="120">
        <v>69</v>
      </c>
      <c r="D12" s="120">
        <v>69</v>
      </c>
      <c r="E12" s="123">
        <f>'COJ Fleet'!K161</f>
        <v>72762776.48112756</v>
      </c>
      <c r="F12" s="123">
        <f>'COJ Fleet'!K163</f>
        <v>383046316.48112756</v>
      </c>
      <c r="G12" s="254">
        <f>914690+862500*2</f>
        <v>2639690</v>
      </c>
      <c r="H12" s="124">
        <f>E12*0.008887</f>
        <v>646642.79458778072</v>
      </c>
      <c r="I12" s="124">
        <f t="shared" ref="H12:I15" si="1">F12*0.008887</f>
        <v>3404132.6145677809</v>
      </c>
      <c r="J12" s="122">
        <f>'COJ Fleet'!M161</f>
        <v>1507106.2894291966</v>
      </c>
      <c r="K12" s="122">
        <f>'COJ Fleet'!M163</f>
        <v>7982661.2760594133</v>
      </c>
      <c r="L12" s="121">
        <f>'COJ Fleet'!N161</f>
        <v>421.41530140189906</v>
      </c>
      <c r="M12" s="129">
        <f>'COJ Fleet'!N163</f>
        <v>1633.5576029062445</v>
      </c>
      <c r="N12" s="222">
        <f>(SUM(G12:G17))/O12</f>
        <v>12.110480737485712</v>
      </c>
      <c r="O12" s="223">
        <f>(SUM(H12:H17))-(SUM(L12:L17))</f>
        <v>1552941.7376295289</v>
      </c>
      <c r="P12" s="223">
        <f>(SUM(I12:I17))-(SUM(M12:M17))</f>
        <v>9597290.1385839097</v>
      </c>
    </row>
    <row r="13" spans="1:149" s="137" customFormat="1" x14ac:dyDescent="0.2">
      <c r="A13" s="253" t="s">
        <v>28</v>
      </c>
      <c r="B13" s="125">
        <v>77</v>
      </c>
      <c r="C13" s="120">
        <v>77</v>
      </c>
      <c r="D13" s="120">
        <v>77</v>
      </c>
      <c r="E13" s="123">
        <f>'DCPS Non Bus Fleet'!J162</f>
        <v>49042000</v>
      </c>
      <c r="F13" s="123">
        <f>'DCPS Non Bus Fleet'!J163</f>
        <v>376253200</v>
      </c>
      <c r="G13" s="230">
        <v>2689600</v>
      </c>
      <c r="H13" s="124">
        <f t="shared" si="1"/>
        <v>435836.25400000002</v>
      </c>
      <c r="I13" s="124">
        <f t="shared" si="1"/>
        <v>3343762.1884000003</v>
      </c>
      <c r="J13" s="122">
        <f>'DCPS Non Bus Fleet'!L162</f>
        <v>620000</v>
      </c>
      <c r="K13" s="122">
        <f>'DCPS Non Bus Fleet'!L163</f>
        <v>4753340</v>
      </c>
      <c r="L13" s="121">
        <f>'DCPS Non Bus Fleet'!M162</f>
        <v>165.81118800000002</v>
      </c>
      <c r="M13" s="129">
        <f>'DCPS Non Bus Fleet'!M163</f>
        <v>939.52035591599986</v>
      </c>
      <c r="N13" s="215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</row>
    <row r="14" spans="1:149" x14ac:dyDescent="0.2">
      <c r="A14" s="253"/>
      <c r="B14" s="217"/>
      <c r="C14" s="218"/>
      <c r="D14" s="218"/>
      <c r="E14" s="220"/>
      <c r="F14" s="220"/>
      <c r="G14" s="234"/>
      <c r="H14" s="216"/>
      <c r="I14" s="129"/>
      <c r="J14" s="219"/>
      <c r="K14" s="219"/>
      <c r="L14" s="219"/>
      <c r="M14" s="216"/>
      <c r="N14" s="215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</row>
    <row r="15" spans="1:149" x14ac:dyDescent="0.2">
      <c r="A15" s="253" t="s">
        <v>29</v>
      </c>
      <c r="B15" s="39">
        <f>26*2</f>
        <v>52</v>
      </c>
      <c r="C15" s="39">
        <v>52</v>
      </c>
      <c r="D15" s="39">
        <v>52</v>
      </c>
      <c r="E15" s="123">
        <f>'NEFL Counties Fleet'!J91</f>
        <v>38564000</v>
      </c>
      <c r="F15" s="123">
        <f>'NEFL Counties Fleet'!J92</f>
        <v>242668000</v>
      </c>
      <c r="G15" s="126">
        <v>1300000</v>
      </c>
      <c r="H15" s="216">
        <f t="shared" si="1"/>
        <v>342718.26800000004</v>
      </c>
      <c r="I15" s="124">
        <f t="shared" si="1"/>
        <v>2156590.5160000003</v>
      </c>
      <c r="J15" s="39">
        <f>'NEFL Counties Fleet'!L91</f>
        <v>396800</v>
      </c>
      <c r="K15" s="39">
        <f>'NEFL Counties Fleet'!L92</f>
        <v>4530140</v>
      </c>
      <c r="L15" s="124">
        <f>'NEFL Counties Fleet'!M91</f>
        <v>106.016156</v>
      </c>
      <c r="M15" s="124">
        <f>'NEFL Counties Fleet'!M92</f>
        <v>879.72532391600009</v>
      </c>
      <c r="N15" s="215"/>
    </row>
    <row r="16" spans="1:149" x14ac:dyDescent="0.2">
      <c r="A16" s="246" t="s">
        <v>30</v>
      </c>
      <c r="B16" s="232">
        <v>16</v>
      </c>
      <c r="C16" s="233">
        <v>16</v>
      </c>
      <c r="D16" s="232">
        <v>16</v>
      </c>
      <c r="E16" s="123">
        <f>'DCPS Buses'!K51</f>
        <v>154286.57142857142</v>
      </c>
      <c r="F16" s="123">
        <f>'DCPS Buses'!K52</f>
        <v>840006.57142857136</v>
      </c>
      <c r="G16" s="230">
        <v>5920000</v>
      </c>
      <c r="H16" s="122">
        <f>E16*0.01018</f>
        <v>1570.6372971428571</v>
      </c>
      <c r="I16" s="122">
        <f>F16*0.01018</f>
        <v>8551.2668971428557</v>
      </c>
      <c r="J16" s="123">
        <f>'DCPS Buses'!M51</f>
        <v>360000</v>
      </c>
      <c r="K16" s="123">
        <f>'DCPS Buses'!M52</f>
        <v>1960000</v>
      </c>
      <c r="L16" s="129">
        <f>'DCPS Buses'!N51</f>
        <v>99.975959999999986</v>
      </c>
      <c r="M16" s="129">
        <f>'DCPS Buses'!N52</f>
        <v>399.47579999999999</v>
      </c>
      <c r="N16" s="215"/>
    </row>
    <row r="17" spans="1:18" x14ac:dyDescent="0.2">
      <c r="A17" s="246" t="s">
        <v>31</v>
      </c>
      <c r="B17" s="39">
        <v>26</v>
      </c>
      <c r="C17" s="120">
        <v>26</v>
      </c>
      <c r="D17" s="120">
        <v>26</v>
      </c>
      <c r="E17" s="122">
        <f>'COJ Fleet'!K162</f>
        <v>12488008.57161665</v>
      </c>
      <c r="F17" s="123">
        <f>'COJ Fleet'!K164</f>
        <v>67656868.57161665</v>
      </c>
      <c r="G17" s="271">
        <f>8897271-G12</f>
        <v>6257581</v>
      </c>
      <c r="H17" s="129">
        <f>E17*0.01018</f>
        <v>127127.92725905748</v>
      </c>
      <c r="I17" s="124">
        <f>F17*0.01018</f>
        <v>688746.92205905751</v>
      </c>
      <c r="J17" s="124">
        <f>'COJ Fleet'!M162</f>
        <v>579073.68470055889</v>
      </c>
      <c r="K17" s="122">
        <f>'COJ Fleet'!M164</f>
        <v>3144232.1744475942</v>
      </c>
      <c r="L17" s="122">
        <f>'COJ Fleet'!N162</f>
        <v>160.92490905021393</v>
      </c>
      <c r="M17" s="121">
        <f>'COJ Fleet'!N164</f>
        <v>641.09025733388808</v>
      </c>
      <c r="N17" s="215"/>
    </row>
    <row r="18" spans="1:18" s="137" customFormat="1" ht="17" thickBot="1" x14ac:dyDescent="0.25">
      <c r="A18" s="255"/>
      <c r="B18" s="255"/>
      <c r="C18" s="255"/>
      <c r="D18" s="255"/>
      <c r="E18" s="255"/>
      <c r="F18" s="256"/>
      <c r="G18" s="257"/>
      <c r="H18" s="257"/>
      <c r="I18" s="257"/>
      <c r="J18" s="257"/>
      <c r="K18" s="255"/>
      <c r="L18" s="255"/>
      <c r="M18" s="255"/>
      <c r="N18" s="255"/>
      <c r="O18" s="255"/>
      <c r="P18" s="255"/>
      <c r="Q18" s="255"/>
      <c r="R18" s="255"/>
    </row>
    <row r="19" spans="1:18" s="137" customFormat="1" ht="17" thickTop="1" x14ac:dyDescent="0.2">
      <c r="A19" s="1"/>
      <c r="B19" s="1"/>
      <c r="C19" s="1"/>
      <c r="D19" s="1"/>
      <c r="E19" s="1"/>
      <c r="F19"/>
      <c r="G19" s="13"/>
      <c r="H19" s="13"/>
      <c r="I19" s="13"/>
      <c r="J19" s="13"/>
      <c r="K19" s="1"/>
      <c r="L19" s="1"/>
      <c r="M19" s="1"/>
      <c r="N19" s="1"/>
      <c r="O19" s="1"/>
      <c r="P19" s="1"/>
      <c r="Q19" s="1"/>
      <c r="R19" s="1"/>
    </row>
    <row r="20" spans="1:18" ht="68" x14ac:dyDescent="0.2">
      <c r="A20" s="251" t="s">
        <v>32</v>
      </c>
      <c r="B20" s="252" t="s">
        <v>33</v>
      </c>
      <c r="C20" s="252" t="s">
        <v>34</v>
      </c>
      <c r="D20" s="252" t="s">
        <v>35</v>
      </c>
      <c r="E20" s="252" t="s">
        <v>36</v>
      </c>
      <c r="F20" s="252" t="s">
        <v>37</v>
      </c>
      <c r="G20" s="252" t="s">
        <v>38</v>
      </c>
      <c r="H20" s="252" t="s">
        <v>39</v>
      </c>
      <c r="I20" s="252" t="s">
        <v>40</v>
      </c>
      <c r="J20" s="252" t="s">
        <v>41</v>
      </c>
      <c r="K20" s="252" t="s">
        <v>24</v>
      </c>
      <c r="L20" s="252" t="s">
        <v>25</v>
      </c>
      <c r="N20" s="245"/>
    </row>
    <row r="21" spans="1:18" x14ac:dyDescent="0.2">
      <c r="A21" s="246" t="s">
        <v>42</v>
      </c>
      <c r="B21" s="123">
        <f>DATA!B15</f>
        <v>11132.8776</v>
      </c>
      <c r="C21" s="123">
        <f>DATA!B53-DATA!C53</f>
        <v>4719.1071428571431</v>
      </c>
      <c r="D21" s="130">
        <v>7.4999999999999997E-3</v>
      </c>
      <c r="E21" s="123">
        <f>(B21*(1+D21)^5)-B21</f>
        <v>423.79229686717008</v>
      </c>
      <c r="F21" s="123">
        <f>(B21*(1+D21)^25)-B21</f>
        <v>2286.5442220749137</v>
      </c>
      <c r="G21" s="123">
        <f>E21*DATA!E53</f>
        <v>172665.09009502415</v>
      </c>
      <c r="H21" s="123">
        <f>F21*DATA!E53</f>
        <v>931603.44590823632</v>
      </c>
      <c r="I21" s="128">
        <f>7500000/12500000*13219833</f>
        <v>7931899.7999999998</v>
      </c>
      <c r="J21" s="228">
        <f>(SUM(I21:I23))/K21</f>
        <v>6714.2915138110193</v>
      </c>
      <c r="K21" s="229">
        <f>SUM(G21*0.01018,G22*0.01018,G23*0.01018)</f>
        <v>1968.9095972087823</v>
      </c>
      <c r="L21" s="229">
        <f>SUM(H21*0.01018,H22*0.01018,H23*0.01018)</f>
        <v>10623.125754210341</v>
      </c>
    </row>
    <row r="22" spans="1:18" x14ac:dyDescent="0.2">
      <c r="A22" s="246" t="s">
        <v>43</v>
      </c>
      <c r="B22" s="123">
        <f>DATA!C15</f>
        <v>697.31700000000001</v>
      </c>
      <c r="C22" s="123">
        <f>DATA!B53-DATA!C53</f>
        <v>4719.1071428571431</v>
      </c>
      <c r="D22" s="130">
        <v>7.4999999999999997E-3</v>
      </c>
      <c r="E22" s="123">
        <f t="shared" ref="E22:E23" si="2">(B22*(1+D22)^5)-B22</f>
        <v>26.54458116691444</v>
      </c>
      <c r="F22" s="123">
        <f t="shared" ref="F22:F23" si="3">(B22*(1+D22)^25)-B22</f>
        <v>143.21958927354171</v>
      </c>
      <c r="G22" s="123">
        <f>E22*DATA!E53</f>
        <v>10815.020784005712</v>
      </c>
      <c r="H22" s="123">
        <f>F22*DATA!E53</f>
        <v>58351.752658305857</v>
      </c>
      <c r="I22" s="128">
        <f>2500000/12500000*13219833</f>
        <v>2643966.6</v>
      </c>
      <c r="J22" s="215"/>
      <c r="K22" s="12"/>
      <c r="L22" s="12"/>
    </row>
    <row r="23" spans="1:18" x14ac:dyDescent="0.2">
      <c r="A23" s="246" t="s">
        <v>44</v>
      </c>
      <c r="B23" s="123">
        <f>DATA!E15</f>
        <v>640.22</v>
      </c>
      <c r="C23" s="123">
        <f>DATA!B53-DATA!C53</f>
        <v>4719.1071428571431</v>
      </c>
      <c r="D23" s="130">
        <v>7.4999999999999997E-3</v>
      </c>
      <c r="E23" s="123">
        <f t="shared" si="2"/>
        <v>24.371084821798377</v>
      </c>
      <c r="F23" s="123">
        <f t="shared" si="3"/>
        <v>131.49262881115317</v>
      </c>
      <c r="G23" s="123">
        <f>E23*DATA!E53</f>
        <v>9929.4762731098526</v>
      </c>
      <c r="H23" s="123">
        <f>F23*DATA!E53</f>
        <v>53573.853909915553</v>
      </c>
      <c r="I23" s="128">
        <f>2500000/12500000*13219833</f>
        <v>2643966.6</v>
      </c>
      <c r="J23" s="215"/>
      <c r="K23" s="12"/>
      <c r="L23" s="12"/>
    </row>
    <row r="24" spans="1:18" s="137" customFormat="1" ht="17" thickBot="1" x14ac:dyDescent="0.25">
      <c r="A24" s="255"/>
      <c r="B24" s="255"/>
      <c r="C24" s="255"/>
      <c r="D24" s="255"/>
      <c r="E24" s="255"/>
      <c r="F24" s="256"/>
      <c r="G24" s="257"/>
      <c r="H24" s="257"/>
      <c r="I24" s="257"/>
      <c r="J24" s="257"/>
      <c r="K24" s="255"/>
      <c r="L24" s="255"/>
      <c r="M24" s="255"/>
      <c r="N24" s="255"/>
      <c r="O24" s="255"/>
      <c r="P24" s="255"/>
      <c r="Q24" s="255"/>
      <c r="R24" s="255"/>
    </row>
    <row r="25" spans="1:18" s="137" customFormat="1" ht="17" thickTop="1" x14ac:dyDescent="0.2">
      <c r="A25" s="1"/>
      <c r="B25" s="1"/>
      <c r="C25" s="1"/>
      <c r="D25" s="1"/>
      <c r="E25" s="1"/>
      <c r="F25"/>
      <c r="G25" s="13"/>
      <c r="H25" s="13"/>
      <c r="I25" s="13"/>
      <c r="J25" s="13"/>
      <c r="K25" s="1"/>
      <c r="L25" s="1"/>
      <c r="M25" s="1"/>
      <c r="N25" s="1"/>
      <c r="O25" s="1"/>
      <c r="P25" s="1"/>
      <c r="Q25" s="1"/>
      <c r="R25" s="1"/>
    </row>
    <row r="26" spans="1:18" ht="68" x14ac:dyDescent="0.2">
      <c r="A26" s="251" t="s">
        <v>45</v>
      </c>
      <c r="B26" s="252" t="s">
        <v>46</v>
      </c>
      <c r="C26" s="252" t="s">
        <v>47</v>
      </c>
      <c r="D26" s="252" t="s">
        <v>48</v>
      </c>
      <c r="E26" s="252" t="s">
        <v>49</v>
      </c>
      <c r="F26" s="252" t="s">
        <v>50</v>
      </c>
      <c r="G26" s="252" t="s">
        <v>51</v>
      </c>
      <c r="H26" s="252" t="s">
        <v>52</v>
      </c>
      <c r="I26" s="252" t="s">
        <v>53</v>
      </c>
      <c r="J26" s="252" t="s">
        <v>23</v>
      </c>
      <c r="K26" s="252" t="s">
        <v>24</v>
      </c>
      <c r="L26" s="252" t="s">
        <v>25</v>
      </c>
      <c r="N26" s="245"/>
    </row>
    <row r="27" spans="1:18" ht="21" customHeight="1" x14ac:dyDescent="0.2">
      <c r="A27" s="246" t="s">
        <v>54</v>
      </c>
      <c r="B27" s="39">
        <v>1625</v>
      </c>
      <c r="C27" s="238">
        <v>0.35</v>
      </c>
      <c r="D27" s="120">
        <f>B27*C27</f>
        <v>568.75</v>
      </c>
      <c r="E27" s="39">
        <v>26</v>
      </c>
      <c r="F27" s="232">
        <v>52</v>
      </c>
      <c r="G27" s="39">
        <v>400</v>
      </c>
      <c r="H27" s="123">
        <f>((D27*E27*F27*G27)/1000000)*5</f>
        <v>1537.8999999999999</v>
      </c>
      <c r="I27" s="123">
        <f>H27*5</f>
        <v>7689.4999999999991</v>
      </c>
      <c r="J27" s="222">
        <f>B6/K27</f>
        <v>4416.4149490772306</v>
      </c>
      <c r="K27" s="229">
        <f>SUM(H27,H28,H29)</f>
        <v>4546.1000000000004</v>
      </c>
      <c r="L27" s="229">
        <f>SUM(I27,I28,I29)</f>
        <v>22730.5</v>
      </c>
    </row>
    <row r="28" spans="1:18" ht="21" customHeight="1" x14ac:dyDescent="0.2">
      <c r="A28" s="246" t="s">
        <v>55</v>
      </c>
      <c r="B28" s="239" t="s">
        <v>56</v>
      </c>
      <c r="C28" s="239" t="s">
        <v>56</v>
      </c>
      <c r="D28" s="39">
        <v>300</v>
      </c>
      <c r="E28" s="39">
        <v>26</v>
      </c>
      <c r="F28" s="39">
        <v>52</v>
      </c>
      <c r="G28" s="232">
        <v>400</v>
      </c>
      <c r="H28" s="123">
        <f>((D28*E28*F28*G28)/1000000)*5</f>
        <v>811.2</v>
      </c>
      <c r="I28" s="123">
        <f>H28*5</f>
        <v>4056</v>
      </c>
      <c r="J28" s="231"/>
      <c r="K28" s="231"/>
      <c r="L28" s="231"/>
    </row>
    <row r="29" spans="1:18" ht="21" customHeight="1" x14ac:dyDescent="0.2">
      <c r="A29" s="246" t="s">
        <v>57</v>
      </c>
      <c r="B29" s="39">
        <v>1625</v>
      </c>
      <c r="C29" s="240">
        <v>0.5</v>
      </c>
      <c r="D29" s="120">
        <f>B29*C29</f>
        <v>812.5</v>
      </c>
      <c r="E29" s="39">
        <v>26</v>
      </c>
      <c r="F29" s="232">
        <v>52</v>
      </c>
      <c r="G29" s="39">
        <v>400</v>
      </c>
      <c r="H29" s="123">
        <f>((D29*E29*F29*G29)/1000000)*5</f>
        <v>2197</v>
      </c>
      <c r="I29" s="123">
        <f>H29*5</f>
        <v>10985</v>
      </c>
      <c r="J29"/>
      <c r="K29"/>
      <c r="L29"/>
    </row>
    <row r="30" spans="1:18" x14ac:dyDescent="0.2">
      <c r="F30" s="227"/>
      <c r="G30" s="235"/>
      <c r="H30" s="227"/>
      <c r="I30" s="13"/>
      <c r="J30" s="43"/>
      <c r="K30"/>
      <c r="L30"/>
      <c r="M30"/>
    </row>
    <row r="31" spans="1:18" x14ac:dyDescent="0.2">
      <c r="D31"/>
      <c r="E31"/>
      <c r="F31" s="224"/>
      <c r="G31" s="190"/>
      <c r="H31" s="224"/>
      <c r="I31" s="43"/>
      <c r="J31" s="43"/>
      <c r="K31"/>
      <c r="L31"/>
      <c r="M31"/>
    </row>
    <row r="32" spans="1:18" x14ac:dyDescent="0.2">
      <c r="D32"/>
      <c r="E32"/>
      <c r="F32" s="224"/>
      <c r="G32" s="190"/>
      <c r="H32" s="224"/>
      <c r="I32" s="43"/>
      <c r="J32" s="43"/>
      <c r="K32"/>
      <c r="L32"/>
      <c r="M32"/>
    </row>
    <row r="33" spans="4:13" x14ac:dyDescent="0.2">
      <c r="D33"/>
      <c r="E33"/>
      <c r="F33" s="224"/>
      <c r="G33" s="190"/>
      <c r="H33" s="224"/>
      <c r="I33" s="43"/>
      <c r="J33" s="43"/>
      <c r="K33"/>
      <c r="L33"/>
      <c r="M33"/>
    </row>
    <row r="34" spans="4:13" x14ac:dyDescent="0.2">
      <c r="D34"/>
      <c r="E34"/>
      <c r="F34" s="224"/>
      <c r="G34" s="190"/>
      <c r="H34" s="224"/>
      <c r="I34" s="43"/>
      <c r="J34" s="43"/>
      <c r="K34"/>
      <c r="L34"/>
      <c r="M34"/>
    </row>
    <row r="35" spans="4:13" x14ac:dyDescent="0.2">
      <c r="D35"/>
      <c r="E35"/>
      <c r="F35" s="224"/>
      <c r="G35" s="190"/>
      <c r="H35" s="224"/>
      <c r="I35" s="43"/>
      <c r="J35" s="43"/>
      <c r="K35"/>
      <c r="L35"/>
      <c r="M35"/>
    </row>
    <row r="36" spans="4:13" x14ac:dyDescent="0.2">
      <c r="D36"/>
      <c r="E36"/>
      <c r="F36" s="224"/>
      <c r="G36" s="190"/>
      <c r="H36" s="224"/>
      <c r="I36" s="43"/>
      <c r="J36" s="43"/>
      <c r="K36"/>
      <c r="L36"/>
      <c r="M36"/>
    </row>
    <row r="37" spans="4:13" x14ac:dyDescent="0.2">
      <c r="D37"/>
      <c r="E37"/>
      <c r="F37" s="224"/>
      <c r="G37" s="190"/>
      <c r="H37" s="224"/>
      <c r="I37" s="43"/>
      <c r="J37" s="43"/>
      <c r="K37"/>
      <c r="L37"/>
      <c r="M37"/>
    </row>
    <row r="38" spans="4:13" x14ac:dyDescent="0.2">
      <c r="D38"/>
      <c r="E38"/>
      <c r="F38" s="224"/>
      <c r="G38" s="190"/>
      <c r="H38" s="224"/>
      <c r="I38" s="43"/>
      <c r="J38" s="43"/>
      <c r="K38"/>
      <c r="L38"/>
      <c r="M38"/>
    </row>
    <row r="39" spans="4:13" x14ac:dyDescent="0.2">
      <c r="D39"/>
      <c r="E39"/>
      <c r="F39" s="224"/>
      <c r="G39" s="190"/>
      <c r="H39" s="224"/>
      <c r="I39" s="43"/>
      <c r="J39" s="43"/>
      <c r="K39"/>
      <c r="L39"/>
      <c r="M39"/>
    </row>
    <row r="40" spans="4:13" x14ac:dyDescent="0.2">
      <c r="D40"/>
      <c r="E40"/>
      <c r="F40" s="224"/>
      <c r="G40" s="190"/>
      <c r="H40" s="224"/>
      <c r="I40" s="43"/>
      <c r="J40" s="43"/>
      <c r="K40"/>
      <c r="L40"/>
      <c r="M40"/>
    </row>
    <row r="41" spans="4:13" x14ac:dyDescent="0.2">
      <c r="D41"/>
      <c r="E41"/>
      <c r="F41" s="224"/>
      <c r="G41" s="190"/>
      <c r="H41" s="224"/>
      <c r="I41" s="43"/>
      <c r="J41" s="43"/>
      <c r="K41"/>
      <c r="L41"/>
      <c r="M41"/>
    </row>
    <row r="42" spans="4:13" x14ac:dyDescent="0.2">
      <c r="D42"/>
      <c r="E42"/>
      <c r="F42" s="224"/>
      <c r="G42" s="190"/>
      <c r="H42" s="224"/>
      <c r="I42" s="43"/>
      <c r="J42" s="43"/>
      <c r="K42"/>
      <c r="L42"/>
      <c r="M42"/>
    </row>
    <row r="43" spans="4:13" x14ac:dyDescent="0.2">
      <c r="D43"/>
      <c r="E43"/>
      <c r="F43" s="224"/>
      <c r="G43" s="190"/>
      <c r="H43" s="224"/>
      <c r="I43" s="43"/>
      <c r="J43" s="43"/>
      <c r="K43"/>
      <c r="L43"/>
      <c r="M43"/>
    </row>
    <row r="44" spans="4:13" x14ac:dyDescent="0.2">
      <c r="D44"/>
      <c r="E44"/>
      <c r="F44" s="224"/>
      <c r="G44" s="190"/>
      <c r="H44" s="224"/>
      <c r="I44" s="43"/>
      <c r="J44" s="43"/>
      <c r="K44"/>
      <c r="L44"/>
      <c r="M44"/>
    </row>
    <row r="45" spans="4:13" x14ac:dyDescent="0.2">
      <c r="D45"/>
      <c r="E45"/>
      <c r="F45" s="224"/>
      <c r="G45" s="190"/>
      <c r="H45" s="224"/>
      <c r="I45" s="43"/>
      <c r="J45" s="43"/>
      <c r="K45"/>
      <c r="L45"/>
      <c r="M45"/>
    </row>
    <row r="46" spans="4:13" x14ac:dyDescent="0.2">
      <c r="D46"/>
      <c r="E46"/>
      <c r="F46" s="224"/>
      <c r="G46" s="190"/>
      <c r="H46" s="224"/>
      <c r="I46" s="43"/>
      <c r="J46" s="43"/>
      <c r="K46"/>
      <c r="L46"/>
      <c r="M46"/>
    </row>
    <row r="47" spans="4:13" x14ac:dyDescent="0.2">
      <c r="D47"/>
      <c r="E47"/>
      <c r="F47" s="224"/>
      <c r="G47" s="190"/>
      <c r="H47" s="224"/>
      <c r="I47" s="43"/>
      <c r="J47" s="43"/>
      <c r="K47"/>
      <c r="L47"/>
      <c r="M47"/>
    </row>
    <row r="48" spans="4:13" x14ac:dyDescent="0.2">
      <c r="D48"/>
      <c r="E48"/>
      <c r="F48" s="224"/>
      <c r="G48" s="190"/>
      <c r="H48" s="224"/>
      <c r="I48" s="43"/>
      <c r="J48" s="43"/>
      <c r="K48"/>
      <c r="L48"/>
      <c r="M48"/>
    </row>
    <row r="49" spans="3:13" x14ac:dyDescent="0.2">
      <c r="D49"/>
      <c r="E49"/>
      <c r="F49" s="224"/>
      <c r="G49" s="190"/>
      <c r="H49" s="224"/>
      <c r="I49" s="43"/>
      <c r="J49" s="43"/>
      <c r="K49"/>
      <c r="L49"/>
      <c r="M49"/>
    </row>
    <row r="50" spans="3:13" x14ac:dyDescent="0.2">
      <c r="D50"/>
      <c r="E50"/>
      <c r="F50"/>
      <c r="G50"/>
      <c r="H50"/>
      <c r="I50"/>
      <c r="J50" s="43"/>
      <c r="K50"/>
      <c r="L50"/>
      <c r="M50"/>
    </row>
    <row r="51" spans="3:13" x14ac:dyDescent="0.2">
      <c r="D51"/>
      <c r="E51" s="214"/>
      <c r="F51" s="28"/>
      <c r="G51"/>
      <c r="H51" s="28"/>
      <c r="I51" s="43"/>
      <c r="J51" s="43"/>
      <c r="K51"/>
      <c r="L51"/>
      <c r="M51"/>
    </row>
    <row r="52" spans="3:13" x14ac:dyDescent="0.2">
      <c r="D52"/>
      <c r="E52" s="214"/>
      <c r="F52" s="28"/>
      <c r="G52"/>
      <c r="H52" s="28"/>
      <c r="I52" s="43"/>
      <c r="J52"/>
      <c r="K52"/>
      <c r="L52"/>
      <c r="M52"/>
    </row>
    <row r="53" spans="3:13" x14ac:dyDescent="0.2">
      <c r="J53"/>
      <c r="K53"/>
      <c r="L53"/>
      <c r="M53"/>
    </row>
    <row r="54" spans="3:13" x14ac:dyDescent="0.2">
      <c r="J54"/>
      <c r="K54"/>
      <c r="L54"/>
      <c r="M54"/>
    </row>
    <row r="61" spans="3:13" x14ac:dyDescent="0.2">
      <c r="C61" s="12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E8CF4-66B7-8148-AEB3-D4646FB9E442}">
  <dimension ref="A2:L161"/>
  <sheetViews>
    <sheetView zoomScale="85" zoomScaleNormal="85" workbookViewId="0">
      <selection activeCell="E53" sqref="E53"/>
    </sheetView>
  </sheetViews>
  <sheetFormatPr baseColWidth="10" defaultColWidth="11" defaultRowHeight="16" x14ac:dyDescent="0.2"/>
  <cols>
    <col min="1" max="1" width="45" customWidth="1"/>
    <col min="2" max="2" width="22.33203125" bestFit="1" customWidth="1"/>
    <col min="3" max="3" width="16" customWidth="1"/>
    <col min="4" max="4" width="18" customWidth="1"/>
    <col min="5" max="5" width="17.5" customWidth="1"/>
    <col min="6" max="6" width="19.6640625" customWidth="1"/>
    <col min="7" max="7" width="18.83203125" customWidth="1"/>
    <col min="8" max="8" width="29.6640625" customWidth="1"/>
    <col min="9" max="9" width="16.83203125" customWidth="1"/>
    <col min="10" max="10" width="18.1640625" customWidth="1"/>
  </cols>
  <sheetData>
    <row r="2" spans="1:10" ht="17" thickBot="1" x14ac:dyDescent="0.25"/>
    <row r="3" spans="1:10" ht="20" x14ac:dyDescent="0.2">
      <c r="A3" s="274" t="s">
        <v>58</v>
      </c>
      <c r="B3" s="274"/>
      <c r="C3" s="274"/>
      <c r="D3" s="274"/>
      <c r="E3" s="274"/>
      <c r="F3" s="274"/>
      <c r="G3" s="274"/>
      <c r="H3" s="274"/>
      <c r="I3" s="274"/>
      <c r="J3" s="274"/>
    </row>
    <row r="4" spans="1:10" x14ac:dyDescent="0.2">
      <c r="A4" s="1"/>
      <c r="B4" s="1"/>
      <c r="C4" s="2"/>
      <c r="D4" s="1"/>
      <c r="E4" s="3"/>
      <c r="F4" s="3"/>
      <c r="G4" s="3"/>
      <c r="H4" s="4"/>
      <c r="I4" s="1"/>
      <c r="J4" s="1"/>
    </row>
    <row r="5" spans="1:10" x14ac:dyDescent="0.2">
      <c r="A5" s="1"/>
      <c r="B5" s="1"/>
      <c r="C5" s="2"/>
      <c r="D5" s="1"/>
      <c r="E5" s="3"/>
      <c r="F5" s="3"/>
      <c r="G5" s="3"/>
      <c r="H5" s="4"/>
      <c r="I5" s="1"/>
      <c r="J5" s="1"/>
    </row>
    <row r="6" spans="1:10" s="26" customFormat="1" ht="17" x14ac:dyDescent="0.2">
      <c r="A6" s="24"/>
      <c r="B6" s="25" t="s">
        <v>59</v>
      </c>
      <c r="C6" s="25" t="s">
        <v>60</v>
      </c>
      <c r="D6" s="25" t="s">
        <v>61</v>
      </c>
      <c r="E6" s="25" t="s">
        <v>62</v>
      </c>
      <c r="F6" s="25" t="s">
        <v>63</v>
      </c>
      <c r="G6" s="25" t="s">
        <v>64</v>
      </c>
    </row>
    <row r="7" spans="1:10" x14ac:dyDescent="0.2">
      <c r="A7" s="1"/>
      <c r="B7" s="3"/>
      <c r="C7" s="3"/>
      <c r="D7" s="3"/>
      <c r="E7" s="3"/>
      <c r="F7" s="3"/>
      <c r="G7" s="3"/>
    </row>
    <row r="8" spans="1:10" x14ac:dyDescent="0.2">
      <c r="A8" s="1" t="s">
        <v>65</v>
      </c>
      <c r="B8" s="7">
        <v>1030822</v>
      </c>
      <c r="C8" s="7">
        <v>232439</v>
      </c>
      <c r="D8" s="7">
        <v>101501</v>
      </c>
      <c r="E8" s="7">
        <v>320110</v>
      </c>
      <c r="F8" s="15">
        <v>28368</v>
      </c>
      <c r="G8" s="15">
        <f>SUM(B8:E8)</f>
        <v>1684872</v>
      </c>
    </row>
    <row r="9" spans="1:10" s="56" customFormat="1" x14ac:dyDescent="0.2">
      <c r="A9" s="54" t="s">
        <v>66</v>
      </c>
      <c r="B9" s="51">
        <v>1021.9</v>
      </c>
      <c r="C9" s="51">
        <v>273.7</v>
      </c>
      <c r="D9" s="51">
        <v>746.9</v>
      </c>
      <c r="E9" s="51">
        <v>472.5</v>
      </c>
      <c r="F9" s="52"/>
      <c r="G9" s="55"/>
    </row>
    <row r="10" spans="1:10" s="56" customFormat="1" x14ac:dyDescent="0.2">
      <c r="A10" s="54" t="s">
        <v>67</v>
      </c>
      <c r="B10" s="58">
        <v>128948</v>
      </c>
      <c r="C10" s="51">
        <v>95446</v>
      </c>
      <c r="D10" s="51">
        <v>81857</v>
      </c>
      <c r="E10" s="51">
        <v>23404</v>
      </c>
      <c r="F10" s="52"/>
      <c r="G10" s="55">
        <f>SUM(B10:E10)</f>
        <v>329655</v>
      </c>
    </row>
    <row r="11" spans="1:10" s="56" customFormat="1" x14ac:dyDescent="0.2">
      <c r="A11" s="54" t="s">
        <v>68</v>
      </c>
      <c r="B11" s="51">
        <v>70</v>
      </c>
      <c r="C11" s="51">
        <v>36</v>
      </c>
      <c r="D11" s="51">
        <v>20</v>
      </c>
      <c r="E11" s="51">
        <v>14</v>
      </c>
      <c r="F11" s="52"/>
      <c r="G11" s="55">
        <f>SUM(B11:E11)</f>
        <v>140</v>
      </c>
    </row>
    <row r="12" spans="1:10" s="56" customFormat="1" x14ac:dyDescent="0.2">
      <c r="A12" s="54" t="s">
        <v>69</v>
      </c>
      <c r="B12" s="51">
        <v>110</v>
      </c>
      <c r="C12" s="51">
        <v>47</v>
      </c>
      <c r="D12" s="51">
        <v>33</v>
      </c>
      <c r="E12" s="51">
        <v>12</v>
      </c>
      <c r="F12" s="52"/>
      <c r="G12" s="55">
        <f>SUM(B12:E12)</f>
        <v>202</v>
      </c>
    </row>
    <row r="13" spans="1:10" s="56" customFormat="1" x14ac:dyDescent="0.2">
      <c r="A13" s="54" t="s">
        <v>70</v>
      </c>
      <c r="B13" s="51">
        <v>196</v>
      </c>
      <c r="C13" s="51">
        <v>96</v>
      </c>
      <c r="D13" s="51">
        <v>62</v>
      </c>
      <c r="E13" s="51">
        <v>7</v>
      </c>
      <c r="F13" s="52"/>
      <c r="G13" s="55">
        <f>SUM(B13:E13)</f>
        <v>361</v>
      </c>
      <c r="H13" s="57">
        <f>SUM(G11:G13)</f>
        <v>703</v>
      </c>
      <c r="I13" s="56" t="s">
        <v>71</v>
      </c>
    </row>
    <row r="14" spans="1:10" x14ac:dyDescent="0.2">
      <c r="A14" s="1" t="s">
        <v>72</v>
      </c>
      <c r="B14" s="7">
        <v>40</v>
      </c>
      <c r="C14" s="51"/>
      <c r="D14" s="51"/>
      <c r="E14" s="51"/>
      <c r="F14" s="52"/>
      <c r="G14" s="11">
        <f>SUM(B14:E14)</f>
        <v>40</v>
      </c>
    </row>
    <row r="15" spans="1:10" x14ac:dyDescent="0.2">
      <c r="A15" s="1" t="s">
        <v>73</v>
      </c>
      <c r="B15" s="58">
        <f>0.0108*B8</f>
        <v>11132.8776</v>
      </c>
      <c r="C15" s="58">
        <f>0.003*C8</f>
        <v>697.31700000000001</v>
      </c>
      <c r="D15" s="51"/>
      <c r="E15" s="58">
        <f>0.002*E8</f>
        <v>640.22</v>
      </c>
      <c r="F15" s="51"/>
      <c r="G15" s="11">
        <f>SUM(B15:F15)</f>
        <v>12470.414599999998</v>
      </c>
    </row>
    <row r="16" spans="1:10" x14ac:dyDescent="0.2">
      <c r="A16" s="1"/>
      <c r="B16" s="1"/>
      <c r="C16" s="1"/>
      <c r="D16" s="1"/>
      <c r="E16" s="1"/>
      <c r="F16" s="3"/>
      <c r="G16" s="11"/>
    </row>
    <row r="17" spans="1:10" x14ac:dyDescent="0.2">
      <c r="A17" s="1"/>
      <c r="B17" s="3"/>
      <c r="C17" s="6"/>
      <c r="D17" s="3"/>
      <c r="E17" s="3"/>
      <c r="F17" s="4"/>
      <c r="G17" s="3"/>
      <c r="H17" s="1"/>
    </row>
    <row r="18" spans="1:10" x14ac:dyDescent="0.2">
      <c r="A18" s="1" t="s">
        <v>74</v>
      </c>
      <c r="B18" s="17">
        <v>690244</v>
      </c>
      <c r="C18" s="17">
        <v>157229</v>
      </c>
      <c r="D18" s="17">
        <v>75364</v>
      </c>
      <c r="E18" s="17">
        <v>221050</v>
      </c>
      <c r="F18" s="3"/>
      <c r="G18" s="15">
        <f>SUM(B18:E18)</f>
        <v>1143887</v>
      </c>
    </row>
    <row r="19" spans="1:10" x14ac:dyDescent="0.2">
      <c r="A19" s="1" t="s">
        <v>75</v>
      </c>
      <c r="B19" s="17">
        <v>2428</v>
      </c>
      <c r="C19" s="17">
        <v>385</v>
      </c>
      <c r="D19" s="17">
        <v>360</v>
      </c>
      <c r="E19" s="17">
        <v>684</v>
      </c>
      <c r="F19" s="3"/>
      <c r="G19" s="15">
        <f>SUM(B19:E19)</f>
        <v>3857</v>
      </c>
    </row>
    <row r="20" spans="1:10" x14ac:dyDescent="0.2">
      <c r="A20" s="1" t="s">
        <v>76</v>
      </c>
      <c r="B20" s="17">
        <v>71728</v>
      </c>
      <c r="C20" s="17">
        <v>20817</v>
      </c>
      <c r="D20" s="17">
        <v>11726</v>
      </c>
      <c r="E20" s="17">
        <v>22644</v>
      </c>
      <c r="F20" s="3"/>
      <c r="G20" s="15">
        <f>SUM(B20:E20)</f>
        <v>126915</v>
      </c>
      <c r="H20" s="28">
        <f>G20+G19</f>
        <v>130772</v>
      </c>
      <c r="I20" t="s">
        <v>77</v>
      </c>
    </row>
    <row r="21" spans="1:10" x14ac:dyDescent="0.2">
      <c r="A21" s="1" t="s">
        <v>78</v>
      </c>
      <c r="B21" s="7">
        <v>6000</v>
      </c>
      <c r="C21" s="3"/>
      <c r="D21" s="3"/>
      <c r="E21" s="4"/>
      <c r="F21" s="3"/>
      <c r="G21" s="3"/>
    </row>
    <row r="22" spans="1:10" x14ac:dyDescent="0.2">
      <c r="A22" s="1" t="s">
        <v>79</v>
      </c>
      <c r="B22" s="3">
        <v>26.6</v>
      </c>
      <c r="C22" s="3"/>
      <c r="D22" s="3">
        <v>25.1</v>
      </c>
      <c r="E22" s="4"/>
      <c r="F22" s="3"/>
      <c r="G22" s="3"/>
    </row>
    <row r="23" spans="1:10" x14ac:dyDescent="0.2">
      <c r="A23" s="1" t="s">
        <v>79</v>
      </c>
      <c r="B23" s="3">
        <f>5810.3+601.76</f>
        <v>6412.06</v>
      </c>
      <c r="C23" s="3">
        <f>680.17+5572.6</f>
        <v>6252.77</v>
      </c>
      <c r="D23" s="3">
        <f>15020+1555.6</f>
        <v>16575.599999999999</v>
      </c>
      <c r="E23" s="3">
        <f>11359+1176.5</f>
        <v>12535.5</v>
      </c>
      <c r="F23" s="3">
        <f>1563.5+15096</f>
        <v>16659.5</v>
      </c>
      <c r="G23" s="3">
        <f>AVERAGE(B23:F23)</f>
        <v>11687.085999999999</v>
      </c>
    </row>
    <row r="24" spans="1:10" x14ac:dyDescent="0.2">
      <c r="A24" s="1"/>
      <c r="B24" s="3"/>
      <c r="C24" s="3"/>
      <c r="D24" s="3"/>
      <c r="E24" s="4"/>
      <c r="F24" s="3"/>
      <c r="G24" s="3"/>
    </row>
    <row r="25" spans="1:10" x14ac:dyDescent="0.2">
      <c r="A25" s="1"/>
      <c r="B25" s="10"/>
      <c r="C25" s="3"/>
      <c r="D25" s="10"/>
      <c r="E25" s="3"/>
      <c r="F25" s="11"/>
    </row>
    <row r="26" spans="1:10" x14ac:dyDescent="0.2">
      <c r="A26" s="1" t="s">
        <v>80</v>
      </c>
      <c r="B26" s="18">
        <v>1.2E-2</v>
      </c>
      <c r="C26" s="3"/>
      <c r="D26" s="18">
        <v>0.01</v>
      </c>
      <c r="E26" s="3"/>
      <c r="F26" s="11"/>
    </row>
    <row r="27" spans="1:10" x14ac:dyDescent="0.2">
      <c r="A27" s="1"/>
      <c r="B27" s="10"/>
      <c r="C27" s="11"/>
      <c r="D27" s="3"/>
      <c r="E27" s="10"/>
      <c r="F27" s="10"/>
      <c r="G27" s="19"/>
      <c r="H27" s="3"/>
      <c r="I27" s="11"/>
    </row>
    <row r="28" spans="1:10" x14ac:dyDescent="0.2">
      <c r="A28" s="9" t="s">
        <v>81</v>
      </c>
      <c r="B28" s="21"/>
      <c r="C28" s="32"/>
      <c r="D28" s="21"/>
      <c r="E28" s="21"/>
      <c r="F28" s="21"/>
      <c r="G28" s="21"/>
      <c r="H28" s="22"/>
      <c r="I28" s="21"/>
      <c r="J28" s="3"/>
    </row>
    <row r="29" spans="1:10" x14ac:dyDescent="0.2">
      <c r="A29" s="1" t="s">
        <v>82</v>
      </c>
      <c r="B29" s="53">
        <v>400000</v>
      </c>
      <c r="C29" s="79">
        <v>300000</v>
      </c>
      <c r="D29" s="3"/>
      <c r="E29" s="3"/>
      <c r="F29" s="3"/>
      <c r="G29" s="3"/>
      <c r="H29" s="4"/>
      <c r="I29" s="3"/>
      <c r="J29" s="3"/>
    </row>
    <row r="30" spans="1:10" x14ac:dyDescent="0.2">
      <c r="A30" s="1" t="s">
        <v>83</v>
      </c>
      <c r="B30" s="8">
        <v>140000</v>
      </c>
      <c r="C30" s="6"/>
      <c r="D30" s="3"/>
      <c r="E30" s="3"/>
      <c r="F30" s="3"/>
      <c r="G30" s="3"/>
      <c r="H30" s="4"/>
      <c r="I30" s="3"/>
      <c r="J30" s="3"/>
    </row>
    <row r="31" spans="1:10" x14ac:dyDescent="0.2">
      <c r="A31" s="1"/>
      <c r="B31" s="3"/>
      <c r="C31" s="6"/>
      <c r="D31" s="3"/>
      <c r="E31" s="3"/>
      <c r="F31" s="3"/>
      <c r="G31" s="3"/>
      <c r="H31" s="4"/>
      <c r="I31" s="3"/>
      <c r="J31" s="3"/>
    </row>
    <row r="32" spans="1:10" s="27" customFormat="1" x14ac:dyDescent="0.2">
      <c r="A32" s="33" t="s">
        <v>84</v>
      </c>
      <c r="B32" s="15">
        <v>15000</v>
      </c>
      <c r="C32" s="6"/>
      <c r="D32" s="3" t="s">
        <v>85</v>
      </c>
      <c r="E32" s="3"/>
      <c r="F32" s="3" t="s">
        <v>86</v>
      </c>
      <c r="G32" s="3" t="s">
        <v>87</v>
      </c>
      <c r="H32" s="4"/>
      <c r="I32" s="3"/>
      <c r="J32" s="3"/>
    </row>
    <row r="33" spans="1:10" x14ac:dyDescent="0.2">
      <c r="A33" s="1" t="s">
        <v>88</v>
      </c>
      <c r="B33" s="3">
        <v>7</v>
      </c>
      <c r="C33" s="14"/>
      <c r="D33" s="13">
        <f>B32/B33</f>
        <v>2142.8571428571427</v>
      </c>
      <c r="E33" s="3"/>
      <c r="F33" s="3"/>
      <c r="G33" s="3"/>
      <c r="H33" s="4"/>
      <c r="I33" s="1"/>
      <c r="J33" s="1"/>
    </row>
    <row r="34" spans="1:10" x14ac:dyDescent="0.2">
      <c r="A34" s="1" t="s">
        <v>89</v>
      </c>
      <c r="B34" s="3">
        <v>22.5</v>
      </c>
      <c r="C34" s="14"/>
      <c r="D34" s="13">
        <f>B32/B34</f>
        <v>666.66666666666663</v>
      </c>
      <c r="E34" s="3"/>
      <c r="F34" s="23">
        <f>1-(B33/B34)</f>
        <v>0.68888888888888888</v>
      </c>
      <c r="G34" s="23">
        <f>(D33-D34)/D33</f>
        <v>0.68888888888888888</v>
      </c>
      <c r="H34" s="4"/>
      <c r="I34" s="1"/>
      <c r="J34" s="1"/>
    </row>
    <row r="35" spans="1:10" x14ac:dyDescent="0.2">
      <c r="A35" s="1" t="s">
        <v>90</v>
      </c>
      <c r="B35" s="3">
        <f>B34-B33</f>
        <v>15.5</v>
      </c>
      <c r="C35" s="15"/>
      <c r="D35" s="13">
        <f>D33-D34</f>
        <v>1476.1904761904761</v>
      </c>
      <c r="E35" s="3"/>
      <c r="F35" s="3"/>
      <c r="G35" s="3"/>
      <c r="H35" s="4"/>
      <c r="I35" s="1"/>
      <c r="J35" s="1"/>
    </row>
    <row r="36" spans="1:10" x14ac:dyDescent="0.2">
      <c r="A36" s="1"/>
      <c r="B36" s="3"/>
      <c r="C36" s="11"/>
      <c r="D36" s="1"/>
      <c r="E36" s="3"/>
      <c r="F36" s="3"/>
      <c r="G36" s="3"/>
      <c r="H36" s="4"/>
      <c r="I36" s="1"/>
      <c r="J36" s="1"/>
    </row>
    <row r="37" spans="1:10" x14ac:dyDescent="0.2">
      <c r="A37" s="34" t="s">
        <v>91</v>
      </c>
      <c r="B37" s="35"/>
      <c r="C37" s="36"/>
      <c r="D37" s="37"/>
      <c r="E37" s="35"/>
      <c r="F37" s="35"/>
      <c r="G37" s="35"/>
      <c r="H37" s="38"/>
      <c r="I37" s="37"/>
      <c r="J37" s="1"/>
    </row>
    <row r="38" spans="1:10" s="27" customFormat="1" x14ac:dyDescent="0.2">
      <c r="A38" s="3" t="s">
        <v>92</v>
      </c>
      <c r="B38" s="15">
        <v>12400</v>
      </c>
      <c r="C38" s="11"/>
      <c r="D38" s="3" t="s">
        <v>93</v>
      </c>
      <c r="E38" s="3"/>
      <c r="F38" s="3" t="s">
        <v>94</v>
      </c>
      <c r="G38" s="3" t="s">
        <v>87</v>
      </c>
      <c r="H38" s="4" t="s">
        <v>95</v>
      </c>
      <c r="I38" s="3" t="s">
        <v>96</v>
      </c>
      <c r="J38" s="3"/>
    </row>
    <row r="39" spans="1:10" x14ac:dyDescent="0.2">
      <c r="A39" s="1" t="s">
        <v>97</v>
      </c>
      <c r="B39" s="3">
        <v>25</v>
      </c>
      <c r="C39" s="11"/>
      <c r="D39" s="12">
        <f>B38/B39</f>
        <v>496</v>
      </c>
      <c r="E39" s="3"/>
      <c r="F39" s="3"/>
      <c r="G39" s="3"/>
      <c r="H39" s="4">
        <v>0.15</v>
      </c>
      <c r="I39" s="23">
        <f>(H39/H40)-1</f>
        <v>0.66666666666666674</v>
      </c>
      <c r="J39" s="1"/>
    </row>
    <row r="40" spans="1:10" x14ac:dyDescent="0.2">
      <c r="A40" s="1" t="s">
        <v>98</v>
      </c>
      <c r="B40" s="3">
        <v>118</v>
      </c>
      <c r="C40" s="11"/>
      <c r="D40" s="13">
        <f>B38/B40</f>
        <v>105.08474576271186</v>
      </c>
      <c r="E40" s="3"/>
      <c r="F40" s="23">
        <f>1-(B39/B40)</f>
        <v>0.78813559322033899</v>
      </c>
      <c r="G40" s="23">
        <f>(D39-D40)/D39</f>
        <v>0.78813559322033899</v>
      </c>
      <c r="H40" s="4">
        <v>0.09</v>
      </c>
      <c r="I40" s="1"/>
      <c r="J40" s="1"/>
    </row>
    <row r="41" spans="1:10" x14ac:dyDescent="0.2">
      <c r="A41" s="1" t="s">
        <v>99</v>
      </c>
      <c r="B41" s="3">
        <f>B40-B39</f>
        <v>93</v>
      </c>
      <c r="C41" s="11"/>
      <c r="D41" s="13">
        <f>D39-D40</f>
        <v>390.91525423728814</v>
      </c>
      <c r="E41" s="3"/>
      <c r="F41" s="3"/>
      <c r="G41" s="3"/>
      <c r="H41" s="4"/>
      <c r="I41" s="1"/>
      <c r="J41" s="1"/>
    </row>
    <row r="42" spans="1:10" x14ac:dyDescent="0.2">
      <c r="A42" s="1" t="s">
        <v>100</v>
      </c>
      <c r="B42" s="8">
        <v>60000</v>
      </c>
      <c r="C42" s="2"/>
      <c r="D42" s="1"/>
      <c r="E42" s="3"/>
      <c r="F42" s="3"/>
      <c r="G42" s="3"/>
      <c r="H42" s="4"/>
      <c r="I42" s="1"/>
      <c r="J42" s="1"/>
    </row>
    <row r="43" spans="1:10" x14ac:dyDescent="0.2">
      <c r="A43" s="1"/>
      <c r="B43" s="8"/>
      <c r="C43" s="2"/>
      <c r="D43" s="1"/>
      <c r="E43" s="3"/>
      <c r="F43" s="3"/>
      <c r="G43" s="3"/>
      <c r="H43" s="4"/>
      <c r="I43" s="1"/>
      <c r="J43" s="1"/>
    </row>
    <row r="44" spans="1:10" x14ac:dyDescent="0.2">
      <c r="A44" s="34" t="s">
        <v>101</v>
      </c>
      <c r="B44" s="35"/>
      <c r="C44" s="36"/>
      <c r="D44" s="37"/>
      <c r="E44" s="35"/>
      <c r="F44" s="35"/>
      <c r="G44" s="35"/>
      <c r="H44" s="38"/>
      <c r="I44" s="37"/>
      <c r="J44" s="1"/>
    </row>
    <row r="45" spans="1:10" s="27" customFormat="1" x14ac:dyDescent="0.2">
      <c r="A45" s="3" t="s">
        <v>92</v>
      </c>
      <c r="B45" s="15">
        <v>12400</v>
      </c>
      <c r="C45" s="11"/>
      <c r="D45" s="3" t="s">
        <v>93</v>
      </c>
      <c r="E45" s="3"/>
      <c r="F45" s="3" t="s">
        <v>94</v>
      </c>
      <c r="G45" s="3" t="s">
        <v>87</v>
      </c>
      <c r="H45" s="4" t="s">
        <v>95</v>
      </c>
      <c r="I45" s="3" t="s">
        <v>96</v>
      </c>
      <c r="J45" s="3"/>
    </row>
    <row r="46" spans="1:10" x14ac:dyDescent="0.2">
      <c r="A46" s="1" t="s">
        <v>102</v>
      </c>
      <c r="B46" s="3">
        <v>15</v>
      </c>
      <c r="C46" s="11"/>
      <c r="D46" s="12">
        <f>B45/B46</f>
        <v>826.66666666666663</v>
      </c>
      <c r="E46" s="3"/>
      <c r="F46" s="3"/>
      <c r="G46" s="3"/>
      <c r="H46" s="4">
        <v>0.21</v>
      </c>
      <c r="I46" s="23">
        <f>(H46/H47)-1</f>
        <v>0.6153846153846152</v>
      </c>
      <c r="J46" s="1"/>
    </row>
    <row r="47" spans="1:10" x14ac:dyDescent="0.2">
      <c r="A47" s="1" t="s">
        <v>103</v>
      </c>
      <c r="B47" s="3">
        <v>45</v>
      </c>
      <c r="C47" s="11"/>
      <c r="D47" s="13">
        <f>B45/B47</f>
        <v>275.55555555555554</v>
      </c>
      <c r="E47" s="3"/>
      <c r="F47" s="23">
        <f>1-(B46/B47)</f>
        <v>0.66666666666666674</v>
      </c>
      <c r="G47" s="23">
        <f>(D46-D47)/D46</f>
        <v>0.66666666666666663</v>
      </c>
      <c r="H47" s="4">
        <v>0.13</v>
      </c>
      <c r="I47" s="1"/>
      <c r="J47" s="1"/>
    </row>
    <row r="48" spans="1:10" x14ac:dyDescent="0.2">
      <c r="A48" s="1" t="s">
        <v>99</v>
      </c>
      <c r="B48" s="3">
        <f>B47-B46</f>
        <v>30</v>
      </c>
      <c r="C48" s="11"/>
      <c r="D48" s="13">
        <f>D46-D47</f>
        <v>551.11111111111109</v>
      </c>
      <c r="E48" s="3"/>
      <c r="F48" s="3"/>
      <c r="G48" s="3"/>
      <c r="H48" s="4"/>
      <c r="I48" s="1"/>
      <c r="J48" s="1"/>
    </row>
    <row r="49" spans="1:11" x14ac:dyDescent="0.2">
      <c r="A49" s="1" t="s">
        <v>100</v>
      </c>
      <c r="B49" s="8">
        <v>80000</v>
      </c>
      <c r="C49" s="2"/>
      <c r="D49" s="1"/>
      <c r="E49" s="3"/>
      <c r="F49" s="3"/>
      <c r="G49" s="3"/>
      <c r="H49" s="4"/>
      <c r="I49" s="1"/>
      <c r="J49" s="1"/>
    </row>
    <row r="50" spans="1:11" x14ac:dyDescent="0.2">
      <c r="A50" s="1"/>
      <c r="B50" s="8"/>
      <c r="C50" s="2"/>
      <c r="D50" s="1"/>
      <c r="E50" s="3"/>
      <c r="F50" s="3"/>
      <c r="G50" s="3"/>
      <c r="H50" s="4"/>
      <c r="I50" s="1"/>
      <c r="J50" s="1"/>
    </row>
    <row r="51" spans="1:11" x14ac:dyDescent="0.2">
      <c r="A51" s="1"/>
      <c r="B51" s="8"/>
      <c r="C51" s="2"/>
      <c r="D51" s="1"/>
      <c r="E51" s="3"/>
      <c r="F51" s="3"/>
      <c r="G51" s="3"/>
      <c r="H51" s="4"/>
      <c r="I51" s="1"/>
      <c r="J51" s="1"/>
    </row>
    <row r="52" spans="1:11" ht="68" x14ac:dyDescent="0.2">
      <c r="A52" s="5" t="s">
        <v>104</v>
      </c>
      <c r="B52" s="48" t="s">
        <v>105</v>
      </c>
      <c r="C52" s="46" t="s">
        <v>106</v>
      </c>
      <c r="D52" s="45" t="s">
        <v>107</v>
      </c>
      <c r="E52" s="45" t="s">
        <v>108</v>
      </c>
      <c r="F52" s="45" t="s">
        <v>109</v>
      </c>
      <c r="G52" s="49" t="s">
        <v>110</v>
      </c>
      <c r="H52" s="45" t="s">
        <v>111</v>
      </c>
      <c r="I52" s="45" t="s">
        <v>112</v>
      </c>
      <c r="J52" s="1"/>
      <c r="K52" s="4" t="s">
        <v>113</v>
      </c>
    </row>
    <row r="53" spans="1:11" x14ac:dyDescent="0.2">
      <c r="A53" s="1"/>
      <c r="B53" s="15">
        <v>5745</v>
      </c>
      <c r="C53" s="14">
        <f>B53*B39/(B33*20)</f>
        <v>1025.8928571428571</v>
      </c>
      <c r="D53" s="16">
        <f>(B53-C53)/B53</f>
        <v>0.82142857142857151</v>
      </c>
      <c r="E53" s="19">
        <f>D39*D53</f>
        <v>407.42857142857144</v>
      </c>
      <c r="F53" s="11" t="e">
        <f>(B53-C53)*#REF!</f>
        <v>#REF!</v>
      </c>
      <c r="G53" s="41" t="e">
        <f>E53*#REF!</f>
        <v>#REF!</v>
      </c>
      <c r="H53" s="15" t="e">
        <f>F53/(B32*20)</f>
        <v>#REF!</v>
      </c>
      <c r="I53" s="44" t="e">
        <f>H53*0.55</f>
        <v>#REF!</v>
      </c>
      <c r="J53" s="1"/>
      <c r="K53" s="1"/>
    </row>
    <row r="54" spans="1:11" x14ac:dyDescent="0.2">
      <c r="A54" s="1"/>
      <c r="B54" s="15"/>
      <c r="C54" s="14"/>
      <c r="D54" s="16"/>
      <c r="E54" s="19"/>
      <c r="F54" s="19"/>
      <c r="G54" s="15"/>
      <c r="H54" s="44"/>
      <c r="I54" s="4"/>
      <c r="J54" s="1"/>
      <c r="K54" s="1"/>
    </row>
    <row r="55" spans="1:11" ht="68" x14ac:dyDescent="0.2">
      <c r="A55" s="1"/>
      <c r="B55" s="15"/>
      <c r="C55" s="14"/>
      <c r="D55" s="16"/>
      <c r="E55" s="19"/>
      <c r="F55" s="45" t="s">
        <v>114</v>
      </c>
      <c r="G55" s="50" t="s">
        <v>115</v>
      </c>
      <c r="H55" s="45" t="s">
        <v>116</v>
      </c>
      <c r="I55" s="47" t="s">
        <v>117</v>
      </c>
      <c r="J55" s="1"/>
      <c r="K55" s="1"/>
    </row>
    <row r="56" spans="1:11" x14ac:dyDescent="0.2">
      <c r="A56" s="1"/>
      <c r="B56" s="15">
        <f>B53*G15</f>
        <v>71642531.876999989</v>
      </c>
      <c r="C56" s="14">
        <f>C53*20*365</f>
        <v>7489017.8571428563</v>
      </c>
      <c r="D56" s="1">
        <v>134731520</v>
      </c>
      <c r="E56" s="19"/>
      <c r="F56" s="15" t="e">
        <f>C53*#REF!</f>
        <v>#REF!</v>
      </c>
      <c r="G56" s="41" t="e">
        <f>E53*#REF!</f>
        <v>#REF!</v>
      </c>
      <c r="H56" s="44" t="e">
        <f>F56/(B32*20)</f>
        <v>#REF!</v>
      </c>
      <c r="I56" s="4" t="e">
        <f>H56*0.55</f>
        <v>#REF!</v>
      </c>
      <c r="J56" s="1"/>
      <c r="K56" s="1"/>
    </row>
    <row r="57" spans="1:11" x14ac:dyDescent="0.2">
      <c r="A57" s="1"/>
      <c r="C57" s="43"/>
      <c r="D57" s="1"/>
      <c r="E57" s="3"/>
      <c r="F57" s="3"/>
      <c r="G57" s="3"/>
      <c r="H57" s="4"/>
      <c r="I57" s="1"/>
      <c r="J57" s="1"/>
    </row>
    <row r="58" spans="1:11" x14ac:dyDescent="0.2">
      <c r="A58" s="1"/>
      <c r="B58" s="1"/>
      <c r="C58" s="2"/>
      <c r="D58" s="1"/>
      <c r="E58" s="3"/>
      <c r="F58" s="3"/>
      <c r="G58" s="3"/>
      <c r="H58" s="4"/>
      <c r="I58" s="1"/>
      <c r="J58" s="1"/>
    </row>
    <row r="59" spans="1:11" x14ac:dyDescent="0.2">
      <c r="A59" s="62" t="s">
        <v>118</v>
      </c>
      <c r="B59" s="63"/>
      <c r="C59" s="64"/>
      <c r="D59" s="63"/>
      <c r="E59" s="65" t="s">
        <v>119</v>
      </c>
      <c r="F59" s="65" t="s">
        <v>120</v>
      </c>
      <c r="G59" s="65" t="s">
        <v>121</v>
      </c>
      <c r="H59" s="66" t="s">
        <v>122</v>
      </c>
      <c r="I59" s="63"/>
      <c r="J59" s="63"/>
    </row>
    <row r="60" spans="1:11" x14ac:dyDescent="0.2">
      <c r="A60" s="63"/>
      <c r="B60" s="63"/>
      <c r="C60" s="64"/>
      <c r="D60" s="63"/>
      <c r="E60" s="67"/>
      <c r="F60" s="67"/>
      <c r="G60" s="67"/>
      <c r="H60" s="68"/>
      <c r="I60" s="63"/>
      <c r="J60" s="63"/>
    </row>
    <row r="61" spans="1:11" x14ac:dyDescent="0.2">
      <c r="A61" s="69" t="s">
        <v>123</v>
      </c>
      <c r="B61" s="63"/>
      <c r="C61" s="64"/>
      <c r="D61" s="63"/>
      <c r="E61" s="70">
        <v>2128363501.7</v>
      </c>
      <c r="F61" s="71">
        <v>2.93E-2</v>
      </c>
      <c r="G61" s="72">
        <v>8.3799999999999999E-2</v>
      </c>
      <c r="H61" s="73">
        <v>0.88700000000000001</v>
      </c>
      <c r="I61" s="63"/>
      <c r="J61" s="63"/>
    </row>
    <row r="62" spans="1:11" x14ac:dyDescent="0.2">
      <c r="A62" s="69" t="s">
        <v>124</v>
      </c>
      <c r="B62" s="63"/>
      <c r="C62" s="64"/>
      <c r="D62" s="63"/>
      <c r="E62" s="70">
        <v>17813866301.82</v>
      </c>
      <c r="F62" s="71">
        <v>0.72770000000000001</v>
      </c>
      <c r="G62" s="71">
        <v>0.2492</v>
      </c>
      <c r="H62" s="72">
        <v>1.6299999999999999E-2</v>
      </c>
      <c r="I62" s="63"/>
      <c r="J62" s="63"/>
    </row>
    <row r="63" spans="1:11" x14ac:dyDescent="0.2">
      <c r="A63" s="69" t="s">
        <v>125</v>
      </c>
      <c r="B63" s="63"/>
      <c r="C63" s="64"/>
      <c r="D63" s="63" t="s">
        <v>126</v>
      </c>
      <c r="E63" s="70">
        <v>16915610.364999998</v>
      </c>
      <c r="F63" s="67"/>
      <c r="G63" s="67"/>
      <c r="H63" s="68"/>
      <c r="I63" s="63"/>
      <c r="J63" s="63"/>
    </row>
    <row r="64" spans="1:11" x14ac:dyDescent="0.2">
      <c r="A64" s="63"/>
      <c r="B64" s="63"/>
      <c r="C64" s="64"/>
      <c r="D64" s="63"/>
      <c r="E64" s="67"/>
      <c r="F64" s="67"/>
      <c r="G64" s="67"/>
      <c r="H64" s="68"/>
      <c r="I64" s="63"/>
      <c r="J64" s="63"/>
    </row>
    <row r="65" spans="1:12" x14ac:dyDescent="0.2">
      <c r="A65" s="62" t="s">
        <v>118</v>
      </c>
      <c r="B65" s="63"/>
      <c r="C65" s="64"/>
      <c r="D65" s="63"/>
      <c r="E65" s="65" t="s">
        <v>119</v>
      </c>
      <c r="F65" s="65" t="s">
        <v>127</v>
      </c>
      <c r="G65" s="65" t="s">
        <v>128</v>
      </c>
      <c r="H65" s="66" t="s">
        <v>129</v>
      </c>
      <c r="I65" s="63"/>
      <c r="J65" s="63"/>
    </row>
    <row r="66" spans="1:12" x14ac:dyDescent="0.2">
      <c r="A66" s="63"/>
      <c r="B66" s="63"/>
      <c r="C66" s="64"/>
      <c r="D66" s="63"/>
      <c r="E66" s="67"/>
      <c r="F66" s="67"/>
      <c r="G66" s="67"/>
      <c r="H66" s="68"/>
      <c r="I66" s="63"/>
      <c r="J66" s="63"/>
    </row>
    <row r="67" spans="1:12" x14ac:dyDescent="0.2">
      <c r="A67" s="69" t="s">
        <v>123</v>
      </c>
      <c r="B67" s="63"/>
      <c r="C67" s="64"/>
      <c r="D67" s="63"/>
      <c r="E67" s="70">
        <v>2128363501.7</v>
      </c>
      <c r="F67" s="70">
        <f>E67*F61</f>
        <v>62361050.599810004</v>
      </c>
      <c r="G67" s="70">
        <f>E67*G61</f>
        <v>178356861.44246</v>
      </c>
      <c r="H67" s="70">
        <f>E67*H61</f>
        <v>1887858426.0079</v>
      </c>
      <c r="I67" s="63"/>
      <c r="J67" s="63"/>
    </row>
    <row r="68" spans="1:12" x14ac:dyDescent="0.2">
      <c r="A68" s="69" t="s">
        <v>124</v>
      </c>
      <c r="B68" s="63"/>
      <c r="C68" s="64"/>
      <c r="D68" s="63"/>
      <c r="E68" s="70">
        <v>17813866301.82</v>
      </c>
      <c r="F68" s="74">
        <f>E68*F62</f>
        <v>12963150507.834414</v>
      </c>
      <c r="G68" s="74">
        <f>E68*G62</f>
        <v>4439215482.4135437</v>
      </c>
      <c r="H68" s="74">
        <f>E68*H62</f>
        <v>290366020.71966594</v>
      </c>
      <c r="I68" s="63"/>
      <c r="J68" s="63"/>
    </row>
    <row r="69" spans="1:12" x14ac:dyDescent="0.2">
      <c r="A69" s="69" t="s">
        <v>125</v>
      </c>
      <c r="B69" s="63"/>
      <c r="C69" s="64"/>
      <c r="D69" s="63" t="s">
        <v>126</v>
      </c>
      <c r="E69" s="70">
        <v>16915610.364999998</v>
      </c>
      <c r="F69" s="67"/>
      <c r="G69" s="67"/>
      <c r="H69" s="68"/>
      <c r="I69" s="63"/>
      <c r="J69" s="63"/>
    </row>
    <row r="70" spans="1:12" x14ac:dyDescent="0.2">
      <c r="A70" s="63"/>
      <c r="B70" s="63"/>
      <c r="C70" s="64"/>
      <c r="D70" s="63"/>
      <c r="E70" s="67"/>
      <c r="F70" s="67"/>
      <c r="G70" s="67"/>
      <c r="H70" s="68"/>
      <c r="I70" s="63"/>
      <c r="J70" s="63"/>
    </row>
    <row r="71" spans="1:12" x14ac:dyDescent="0.2">
      <c r="A71" s="63"/>
      <c r="B71" s="63"/>
      <c r="C71" s="64"/>
      <c r="D71" s="63"/>
      <c r="E71" s="67"/>
      <c r="F71" s="67"/>
      <c r="G71" s="67"/>
      <c r="H71" s="68"/>
      <c r="I71" s="63"/>
      <c r="J71" s="63" t="s">
        <v>130</v>
      </c>
    </row>
    <row r="72" spans="1:12" x14ac:dyDescent="0.2">
      <c r="A72" s="63"/>
      <c r="B72" s="63"/>
      <c r="C72" s="64"/>
      <c r="D72" s="75" t="s">
        <v>131</v>
      </c>
      <c r="E72" s="76">
        <f>E67+E68</f>
        <v>19942229803.52</v>
      </c>
      <c r="F72" s="76">
        <f>F67+F68</f>
        <v>13025511558.434223</v>
      </c>
      <c r="G72" s="76">
        <f>G67+G68</f>
        <v>4617572343.8560038</v>
      </c>
      <c r="H72" s="76">
        <f>H67+H68</f>
        <v>2178224446.7275658</v>
      </c>
      <c r="I72" s="63"/>
      <c r="J72" s="77">
        <f>G72+H72</f>
        <v>6795796790.5835695</v>
      </c>
    </row>
    <row r="73" spans="1:12" x14ac:dyDescent="0.2">
      <c r="A73" s="63"/>
      <c r="B73" s="63"/>
      <c r="C73" s="64"/>
      <c r="D73" s="63" t="s">
        <v>132</v>
      </c>
      <c r="E73" s="67"/>
      <c r="F73" s="70">
        <f>F72/G18</f>
        <v>11387.061447882723</v>
      </c>
      <c r="G73" s="70">
        <f>G72/G19</f>
        <v>1197192.7259154792</v>
      </c>
      <c r="H73" s="70">
        <f>H72/G20</f>
        <v>17162.860550191592</v>
      </c>
      <c r="I73" s="63"/>
      <c r="J73" s="78" t="e">
        <f>J72/#REF!</f>
        <v>#REF!</v>
      </c>
    </row>
    <row r="74" spans="1:12" x14ac:dyDescent="0.2">
      <c r="A74" s="61"/>
      <c r="B74" s="61"/>
      <c r="C74" s="61"/>
      <c r="D74" s="61"/>
      <c r="E74" s="61"/>
      <c r="F74" s="61"/>
      <c r="G74" s="61"/>
      <c r="H74" s="61"/>
      <c r="I74" s="60"/>
      <c r="J74" s="60"/>
    </row>
    <row r="75" spans="1:12" x14ac:dyDescent="0.2">
      <c r="A75" s="80" t="s">
        <v>118</v>
      </c>
      <c r="B75" s="60"/>
      <c r="C75" s="81"/>
      <c r="D75" s="60"/>
      <c r="E75" s="82" t="s">
        <v>119</v>
      </c>
      <c r="F75" s="82" t="s">
        <v>120</v>
      </c>
      <c r="G75" s="82" t="s">
        <v>121</v>
      </c>
      <c r="H75" s="83" t="s">
        <v>122</v>
      </c>
      <c r="I75" s="60"/>
      <c r="J75" s="60"/>
      <c r="K75" s="61"/>
      <c r="L75" s="61"/>
    </row>
    <row r="76" spans="1:12" x14ac:dyDescent="0.2">
      <c r="A76" s="60"/>
      <c r="B76" s="60"/>
      <c r="C76" s="81"/>
      <c r="D76" s="60"/>
      <c r="E76" s="84"/>
      <c r="F76" s="84"/>
      <c r="G76" s="84"/>
      <c r="H76" s="85"/>
      <c r="I76" s="60"/>
      <c r="J76" s="60"/>
      <c r="K76" s="61"/>
      <c r="L76" s="61"/>
    </row>
    <row r="77" spans="1:12" x14ac:dyDescent="0.2">
      <c r="A77" s="86" t="s">
        <v>133</v>
      </c>
      <c r="B77" s="60"/>
      <c r="C77" s="81"/>
      <c r="D77" s="60"/>
      <c r="E77" s="87">
        <v>599091275.87</v>
      </c>
      <c r="F77" s="88">
        <v>3.4599999999999999E-2</v>
      </c>
      <c r="G77" s="89">
        <v>8.3099999999999993E-2</v>
      </c>
      <c r="H77" s="90">
        <v>0.88229999999999997</v>
      </c>
      <c r="I77" s="60"/>
      <c r="J77" s="60"/>
      <c r="K77" s="61"/>
      <c r="L77" s="61"/>
    </row>
    <row r="78" spans="1:12" x14ac:dyDescent="0.2">
      <c r="A78" s="86" t="s">
        <v>134</v>
      </c>
      <c r="B78" s="60"/>
      <c r="C78" s="81"/>
      <c r="D78" s="60"/>
      <c r="E78" s="87">
        <v>5784522313.6800003</v>
      </c>
      <c r="F78" s="88">
        <v>0.7591</v>
      </c>
      <c r="G78" s="88">
        <v>0.218</v>
      </c>
      <c r="H78" s="89">
        <v>1.6E-2</v>
      </c>
      <c r="I78" s="60"/>
      <c r="J78" s="60"/>
      <c r="K78" s="61"/>
      <c r="L78" s="61"/>
    </row>
    <row r="79" spans="1:12" x14ac:dyDescent="0.2">
      <c r="A79" s="86" t="s">
        <v>135</v>
      </c>
      <c r="B79" s="60"/>
      <c r="C79" s="81"/>
      <c r="D79" s="60" t="s">
        <v>126</v>
      </c>
      <c r="E79" s="87">
        <v>356607</v>
      </c>
      <c r="F79" s="84"/>
      <c r="G79" s="84"/>
      <c r="H79" s="85"/>
      <c r="I79" s="60"/>
      <c r="J79" s="60"/>
      <c r="K79" s="61"/>
      <c r="L79" s="61"/>
    </row>
    <row r="80" spans="1:12" x14ac:dyDescent="0.2">
      <c r="A80" s="60"/>
      <c r="B80" s="60"/>
      <c r="C80" s="81"/>
      <c r="D80" s="60"/>
      <c r="E80" s="84"/>
      <c r="F80" s="84"/>
      <c r="G80" s="84"/>
      <c r="H80" s="85"/>
      <c r="I80" s="60"/>
      <c r="J80" s="60"/>
      <c r="K80" s="61"/>
      <c r="L80" s="61"/>
    </row>
    <row r="81" spans="1:12" x14ac:dyDescent="0.2">
      <c r="A81" s="80" t="s">
        <v>118</v>
      </c>
      <c r="B81" s="60"/>
      <c r="C81" s="81"/>
      <c r="D81" s="60"/>
      <c r="E81" s="82" t="s">
        <v>119</v>
      </c>
      <c r="F81" s="82" t="s">
        <v>127</v>
      </c>
      <c r="G81" s="82" t="s">
        <v>128</v>
      </c>
      <c r="H81" s="83" t="s">
        <v>129</v>
      </c>
      <c r="I81" s="60"/>
      <c r="J81" s="60"/>
      <c r="K81" s="61"/>
      <c r="L81" s="61"/>
    </row>
    <row r="82" spans="1:12" x14ac:dyDescent="0.2">
      <c r="A82" s="60"/>
      <c r="B82" s="60"/>
      <c r="C82" s="81"/>
      <c r="D82" s="60"/>
      <c r="E82" s="84"/>
      <c r="F82" s="84"/>
      <c r="G82" s="84"/>
      <c r="H82" s="85"/>
      <c r="I82" s="60"/>
      <c r="J82" s="60"/>
      <c r="K82" s="61"/>
      <c r="L82" s="61"/>
    </row>
    <row r="83" spans="1:12" x14ac:dyDescent="0.2">
      <c r="A83" s="86" t="s">
        <v>133</v>
      </c>
      <c r="B83" s="60"/>
      <c r="C83" s="81"/>
      <c r="D83" s="60"/>
      <c r="E83" s="87">
        <v>599091275.87</v>
      </c>
      <c r="F83" s="87">
        <f>E83*F77</f>
        <v>20728558.145101998</v>
      </c>
      <c r="G83" s="87">
        <f>E83*G77</f>
        <v>49784485.024797</v>
      </c>
      <c r="H83" s="87">
        <f>E83*H77</f>
        <v>528578232.70010102</v>
      </c>
      <c r="I83" s="60"/>
      <c r="J83" s="60"/>
      <c r="K83" s="61"/>
      <c r="L83" s="61"/>
    </row>
    <row r="84" spans="1:12" x14ac:dyDescent="0.2">
      <c r="A84" s="86" t="s">
        <v>134</v>
      </c>
      <c r="B84" s="60"/>
      <c r="C84" s="81"/>
      <c r="D84" s="60"/>
      <c r="E84" s="87">
        <v>5784522313.6800003</v>
      </c>
      <c r="F84" s="91">
        <f>E84*F78</f>
        <v>4391030888.3144884</v>
      </c>
      <c r="G84" s="91">
        <f>E84*G78</f>
        <v>1261025864.3822401</v>
      </c>
      <c r="H84" s="91">
        <f>E84*H78</f>
        <v>92552357.01888001</v>
      </c>
      <c r="I84" s="60"/>
      <c r="J84" s="60"/>
      <c r="K84" s="61"/>
      <c r="L84" s="61"/>
    </row>
    <row r="85" spans="1:12" x14ac:dyDescent="0.2">
      <c r="A85" s="86" t="s">
        <v>135</v>
      </c>
      <c r="B85" s="60"/>
      <c r="C85" s="81"/>
      <c r="D85" s="60" t="s">
        <v>126</v>
      </c>
      <c r="E85" s="87">
        <v>356607</v>
      </c>
      <c r="F85" s="84"/>
      <c r="G85" s="84"/>
      <c r="H85" s="85"/>
      <c r="I85" s="60"/>
      <c r="J85" s="60"/>
      <c r="K85" s="61"/>
      <c r="L85" s="61"/>
    </row>
    <row r="86" spans="1:12" x14ac:dyDescent="0.2">
      <c r="A86" s="60"/>
      <c r="B86" s="60"/>
      <c r="C86" s="81"/>
      <c r="D86" s="60"/>
      <c r="E86" s="84"/>
      <c r="F86" s="84"/>
      <c r="G86" s="84"/>
      <c r="H86" s="85"/>
      <c r="I86" s="60"/>
      <c r="J86" s="60"/>
      <c r="K86" s="61"/>
      <c r="L86" s="61"/>
    </row>
    <row r="87" spans="1:12" x14ac:dyDescent="0.2">
      <c r="A87" s="60"/>
      <c r="B87" s="60"/>
      <c r="C87" s="81"/>
      <c r="D87" s="60"/>
      <c r="E87" s="84"/>
      <c r="F87" s="84"/>
      <c r="G87" s="84"/>
      <c r="H87" s="85"/>
      <c r="I87" s="60"/>
      <c r="J87" s="60" t="s">
        <v>130</v>
      </c>
      <c r="K87" s="61"/>
      <c r="L87" s="61"/>
    </row>
    <row r="88" spans="1:12" x14ac:dyDescent="0.2">
      <c r="A88" s="60"/>
      <c r="B88" s="60"/>
      <c r="C88" s="81"/>
      <c r="D88" s="92" t="s">
        <v>131</v>
      </c>
      <c r="E88" s="93">
        <f>E83+E84</f>
        <v>6383613589.5500002</v>
      </c>
      <c r="F88" s="93">
        <f>F83+F84</f>
        <v>4411759446.45959</v>
      </c>
      <c r="G88" s="93">
        <f>G83+G84</f>
        <v>1310810349.407037</v>
      </c>
      <c r="H88" s="93">
        <f>H83+H84</f>
        <v>621130589.71898103</v>
      </c>
      <c r="I88" s="60"/>
      <c r="J88" s="94">
        <f>G88+H88</f>
        <v>1931940939.126018</v>
      </c>
      <c r="K88" s="61"/>
      <c r="L88" s="95">
        <f>DATA!G20+DATA!G19</f>
        <v>130772</v>
      </c>
    </row>
    <row r="89" spans="1:12" ht="17" thickBot="1" x14ac:dyDescent="0.25">
      <c r="A89" s="96"/>
      <c r="B89" s="96"/>
      <c r="C89" s="97"/>
      <c r="D89" s="96" t="s">
        <v>132</v>
      </c>
      <c r="E89" s="98"/>
      <c r="F89" s="99">
        <f>F88/G18</f>
        <v>3856.8140440966545</v>
      </c>
      <c r="G89" s="99">
        <f>G88/G19</f>
        <v>339852.30733913329</v>
      </c>
      <c r="H89" s="99">
        <f>H88/G20</f>
        <v>4894.0676020878618</v>
      </c>
      <c r="I89" s="96"/>
      <c r="J89" s="100">
        <f>J88/L88</f>
        <v>14773.353157602683</v>
      </c>
      <c r="K89" s="101"/>
      <c r="L89" s="101"/>
    </row>
    <row r="90" spans="1:12" x14ac:dyDescent="0.2">
      <c r="A90" s="102" t="s">
        <v>118</v>
      </c>
      <c r="B90" s="59"/>
      <c r="C90" s="103"/>
      <c r="D90" s="59"/>
      <c r="E90" s="104" t="s">
        <v>119</v>
      </c>
      <c r="F90" s="104" t="s">
        <v>120</v>
      </c>
      <c r="G90" s="104" t="s">
        <v>121</v>
      </c>
      <c r="H90" s="105" t="s">
        <v>122</v>
      </c>
      <c r="I90" s="59"/>
      <c r="J90" s="59"/>
      <c r="K90" s="106"/>
      <c r="L90" s="106"/>
    </row>
    <row r="91" spans="1:12" x14ac:dyDescent="0.2">
      <c r="A91" s="59"/>
      <c r="B91" s="59"/>
      <c r="C91" s="103"/>
      <c r="D91" s="59"/>
      <c r="E91" s="107"/>
      <c r="F91" s="107"/>
      <c r="G91" s="107"/>
      <c r="H91" s="108"/>
      <c r="I91" s="59"/>
      <c r="J91" s="59"/>
      <c r="K91" s="106"/>
      <c r="L91" s="106"/>
    </row>
    <row r="92" spans="1:12" x14ac:dyDescent="0.2">
      <c r="A92" s="109" t="s">
        <v>136</v>
      </c>
      <c r="B92" s="59"/>
      <c r="C92" s="103"/>
      <c r="D92" s="59"/>
      <c r="E92" s="110">
        <v>149129123.99000001</v>
      </c>
      <c r="F92" s="111">
        <v>3.4599999999999999E-2</v>
      </c>
      <c r="G92" s="112">
        <v>8.3099999999999993E-2</v>
      </c>
      <c r="H92" s="113">
        <v>0.88229999999999997</v>
      </c>
      <c r="I92" s="59"/>
      <c r="J92" s="59"/>
      <c r="K92" s="106"/>
      <c r="L92" s="106"/>
    </row>
    <row r="93" spans="1:12" x14ac:dyDescent="0.2">
      <c r="A93" s="109" t="s">
        <v>137</v>
      </c>
      <c r="B93" s="59"/>
      <c r="C93" s="103"/>
      <c r="D93" s="59"/>
      <c r="E93" s="110">
        <v>1439915385</v>
      </c>
      <c r="F93" s="111">
        <v>0.7591</v>
      </c>
      <c r="G93" s="111">
        <v>0.218</v>
      </c>
      <c r="H93" s="112">
        <v>1.6199999999999999E-2</v>
      </c>
      <c r="I93" s="59"/>
      <c r="J93" s="59"/>
      <c r="K93" s="106"/>
      <c r="L93" s="106"/>
    </row>
    <row r="94" spans="1:12" x14ac:dyDescent="0.2">
      <c r="A94" s="109" t="s">
        <v>138</v>
      </c>
      <c r="B94" s="59"/>
      <c r="C94" s="103"/>
      <c r="D94" s="59" t="s">
        <v>126</v>
      </c>
      <c r="E94" s="110">
        <v>117789</v>
      </c>
      <c r="F94" s="107"/>
      <c r="G94" s="107"/>
      <c r="H94" s="108"/>
      <c r="I94" s="59"/>
      <c r="J94" s="59"/>
      <c r="K94" s="106"/>
      <c r="L94" s="106"/>
    </row>
    <row r="95" spans="1:12" x14ac:dyDescent="0.2">
      <c r="A95" s="59"/>
      <c r="B95" s="59"/>
      <c r="C95" s="103"/>
      <c r="D95" s="59"/>
      <c r="E95" s="107"/>
      <c r="F95" s="107"/>
      <c r="G95" s="107"/>
      <c r="H95" s="108"/>
      <c r="I95" s="59"/>
      <c r="J95" s="59"/>
      <c r="K95" s="106"/>
      <c r="L95" s="106"/>
    </row>
    <row r="96" spans="1:12" x14ac:dyDescent="0.2">
      <c r="A96" s="102" t="s">
        <v>118</v>
      </c>
      <c r="B96" s="59"/>
      <c r="C96" s="103"/>
      <c r="D96" s="59"/>
      <c r="E96" s="104" t="s">
        <v>119</v>
      </c>
      <c r="F96" s="104" t="s">
        <v>127</v>
      </c>
      <c r="G96" s="104" t="s">
        <v>128</v>
      </c>
      <c r="H96" s="105" t="s">
        <v>129</v>
      </c>
      <c r="I96" s="59"/>
      <c r="J96" s="59"/>
      <c r="K96" s="106"/>
      <c r="L96" s="106"/>
    </row>
    <row r="97" spans="1:12" x14ac:dyDescent="0.2">
      <c r="A97" s="59"/>
      <c r="B97" s="59"/>
      <c r="C97" s="103"/>
      <c r="D97" s="59"/>
      <c r="E97" s="107"/>
      <c r="F97" s="107"/>
      <c r="G97" s="107"/>
      <c r="H97" s="108"/>
      <c r="I97" s="59"/>
      <c r="J97" s="59"/>
      <c r="K97" s="106"/>
      <c r="L97" s="106"/>
    </row>
    <row r="98" spans="1:12" x14ac:dyDescent="0.2">
      <c r="A98" s="109" t="s">
        <v>136</v>
      </c>
      <c r="B98" s="59"/>
      <c r="C98" s="103"/>
      <c r="D98" s="59"/>
      <c r="E98" s="110">
        <v>149129123.99000001</v>
      </c>
      <c r="F98" s="110">
        <f>E98*F92</f>
        <v>5159867.6900540004</v>
      </c>
      <c r="G98" s="110">
        <f>E98*G92</f>
        <v>12392630.203569001</v>
      </c>
      <c r="H98" s="110">
        <f>E98*H92</f>
        <v>131576626.096377</v>
      </c>
      <c r="I98" s="59"/>
      <c r="J98" s="59"/>
      <c r="K98" s="106"/>
      <c r="L98" s="106"/>
    </row>
    <row r="99" spans="1:12" x14ac:dyDescent="0.2">
      <c r="A99" s="109" t="s">
        <v>137</v>
      </c>
      <c r="B99" s="59"/>
      <c r="C99" s="103"/>
      <c r="D99" s="59"/>
      <c r="E99" s="110">
        <v>1439915385</v>
      </c>
      <c r="F99" s="114">
        <f>E99*F93</f>
        <v>1093039768.7535</v>
      </c>
      <c r="G99" s="114">
        <f>E99*G93</f>
        <v>313901553.93000001</v>
      </c>
      <c r="H99" s="114">
        <f>E99*H93</f>
        <v>23326629.237</v>
      </c>
      <c r="I99" s="59"/>
      <c r="J99" s="59"/>
      <c r="K99" s="106"/>
      <c r="L99" s="106"/>
    </row>
    <row r="100" spans="1:12" x14ac:dyDescent="0.2">
      <c r="A100" s="109" t="s">
        <v>138</v>
      </c>
      <c r="B100" s="59"/>
      <c r="C100" s="103"/>
      <c r="D100" s="59" t="s">
        <v>126</v>
      </c>
      <c r="E100" s="110">
        <v>117789</v>
      </c>
      <c r="F100" s="107"/>
      <c r="G100" s="107"/>
      <c r="H100" s="108"/>
      <c r="I100" s="59"/>
      <c r="J100" s="59"/>
      <c r="K100" s="106"/>
      <c r="L100" s="106"/>
    </row>
    <row r="101" spans="1:12" x14ac:dyDescent="0.2">
      <c r="A101" s="59"/>
      <c r="B101" s="59"/>
      <c r="C101" s="103"/>
      <c r="D101" s="59"/>
      <c r="E101" s="107"/>
      <c r="F101" s="107"/>
      <c r="G101" s="107"/>
      <c r="H101" s="108"/>
      <c r="I101" s="59"/>
      <c r="J101" s="59"/>
      <c r="K101" s="106"/>
      <c r="L101" s="106"/>
    </row>
    <row r="102" spans="1:12" x14ac:dyDescent="0.2">
      <c r="A102" s="59"/>
      <c r="B102" s="59"/>
      <c r="C102" s="103"/>
      <c r="D102" s="59"/>
      <c r="E102" s="107"/>
      <c r="F102" s="107"/>
      <c r="G102" s="107"/>
      <c r="H102" s="108"/>
      <c r="I102" s="59"/>
      <c r="J102" s="59" t="s">
        <v>130</v>
      </c>
      <c r="K102" s="106"/>
      <c r="L102" s="106"/>
    </row>
    <row r="103" spans="1:12" x14ac:dyDescent="0.2">
      <c r="A103" s="59"/>
      <c r="B103" s="59"/>
      <c r="C103" s="103"/>
      <c r="D103" s="115" t="s">
        <v>131</v>
      </c>
      <c r="E103" s="116">
        <f>E98+E99</f>
        <v>1589044508.99</v>
      </c>
      <c r="F103" s="116">
        <f>F98+F99</f>
        <v>1098199636.4435539</v>
      </c>
      <c r="G103" s="116">
        <f>G98+G99</f>
        <v>326294184.133569</v>
      </c>
      <c r="H103" s="116">
        <f>H98+H99</f>
        <v>154903255.333377</v>
      </c>
      <c r="I103" s="59"/>
      <c r="J103" s="117">
        <f>G103+H103</f>
        <v>481197439.46694601</v>
      </c>
      <c r="K103" s="106"/>
      <c r="L103" s="118">
        <f>DATA!G35+DATA!G34</f>
        <v>0.68888888888888888</v>
      </c>
    </row>
    <row r="104" spans="1:12" x14ac:dyDescent="0.2">
      <c r="A104" s="59"/>
      <c r="B104" s="59"/>
      <c r="C104" s="103"/>
      <c r="D104" s="59" t="s">
        <v>132</v>
      </c>
      <c r="E104" s="107"/>
      <c r="F104" s="110">
        <f>F103/G18</f>
        <v>960.05954822771298</v>
      </c>
      <c r="G104" s="110">
        <f>G103/G34</f>
        <v>473652847.935826</v>
      </c>
      <c r="H104" s="110">
        <f>H103/G20</f>
        <v>1220.527560441059</v>
      </c>
      <c r="I104" s="59"/>
      <c r="J104" s="119">
        <f>J103/L103</f>
        <v>698512412.1294378</v>
      </c>
      <c r="K104" s="106"/>
      <c r="L104" s="106"/>
    </row>
    <row r="105" spans="1:12" x14ac:dyDescent="0.2">
      <c r="A105" s="1"/>
      <c r="B105" s="1"/>
      <c r="C105" s="2"/>
      <c r="D105" s="1"/>
      <c r="E105" s="3"/>
      <c r="F105" s="3"/>
      <c r="G105" s="3"/>
      <c r="H105" s="4"/>
      <c r="I105" s="1"/>
      <c r="J105" s="1"/>
    </row>
    <row r="106" spans="1:12" x14ac:dyDescent="0.2">
      <c r="A106" s="1"/>
      <c r="B106" s="1" t="s">
        <v>139</v>
      </c>
      <c r="C106" s="2" t="s">
        <v>140</v>
      </c>
      <c r="D106" s="1"/>
      <c r="E106" s="3"/>
      <c r="F106" s="3"/>
      <c r="G106" s="3"/>
      <c r="H106" s="4"/>
      <c r="I106" s="1"/>
      <c r="J106" s="1"/>
    </row>
    <row r="107" spans="1:12" x14ac:dyDescent="0.2">
      <c r="A107" s="1" t="s">
        <v>141</v>
      </c>
      <c r="B107" s="20">
        <v>0.05</v>
      </c>
      <c r="C107" s="29">
        <f>B107*1.05</f>
        <v>5.2500000000000005E-2</v>
      </c>
      <c r="D107" s="29">
        <f>C107*1.05</f>
        <v>5.5125000000000007E-2</v>
      </c>
      <c r="E107" s="31">
        <f>D107*1.05</f>
        <v>5.7881250000000009E-2</v>
      </c>
      <c r="F107" s="31">
        <f>E107*1.05</f>
        <v>6.0775312500000012E-2</v>
      </c>
      <c r="G107" s="31">
        <f>F107*1.05</f>
        <v>6.3814078125000021E-2</v>
      </c>
      <c r="H107" s="4"/>
      <c r="I107" s="1"/>
      <c r="J107" s="1"/>
    </row>
    <row r="108" spans="1:12" x14ac:dyDescent="0.2">
      <c r="A108" s="1"/>
      <c r="B108" s="30">
        <f>B107*(1+B107)^5</f>
        <v>6.3814078125000007E-2</v>
      </c>
      <c r="C108" s="2"/>
      <c r="D108" s="1"/>
      <c r="E108" s="3"/>
      <c r="F108" s="3"/>
      <c r="G108" s="3"/>
      <c r="H108" s="4"/>
      <c r="I108" s="1"/>
      <c r="J108" s="1"/>
    </row>
    <row r="109" spans="1:12" x14ac:dyDescent="0.2">
      <c r="A109" s="1"/>
      <c r="B109" s="1"/>
      <c r="C109" s="2"/>
      <c r="D109" s="1"/>
      <c r="E109" s="3"/>
      <c r="F109" s="3"/>
      <c r="G109" s="3"/>
      <c r="H109" s="4"/>
      <c r="I109" s="1"/>
      <c r="J109" s="1"/>
    </row>
    <row r="110" spans="1:12" x14ac:dyDescent="0.2">
      <c r="A110" s="1" t="s">
        <v>142</v>
      </c>
      <c r="B110" s="1">
        <v>1.94</v>
      </c>
      <c r="C110" s="2"/>
      <c r="D110" s="1"/>
      <c r="E110" s="3"/>
      <c r="F110" s="3"/>
      <c r="G110" s="3"/>
      <c r="H110" s="4"/>
      <c r="I110" s="1"/>
      <c r="J110" s="1"/>
    </row>
    <row r="111" spans="1:12" x14ac:dyDescent="0.2">
      <c r="A111" s="1"/>
      <c r="B111" s="1">
        <v>8</v>
      </c>
      <c r="C111" s="14">
        <v>9</v>
      </c>
      <c r="D111" s="1">
        <v>10</v>
      </c>
      <c r="E111" s="3">
        <v>11</v>
      </c>
      <c r="F111" s="3">
        <v>12</v>
      </c>
      <c r="G111" s="3">
        <v>13</v>
      </c>
      <c r="H111" s="15">
        <v>14</v>
      </c>
      <c r="I111" s="1">
        <v>15</v>
      </c>
      <c r="J111" s="1">
        <v>16</v>
      </c>
      <c r="K111">
        <v>17</v>
      </c>
      <c r="L111">
        <v>18</v>
      </c>
    </row>
    <row r="112" spans="1:12" x14ac:dyDescent="0.2">
      <c r="A112" s="1"/>
      <c r="B112" s="1">
        <v>3</v>
      </c>
      <c r="C112" s="20">
        <f>B112*$B$110</f>
        <v>5.82</v>
      </c>
      <c r="D112" s="20">
        <f t="shared" ref="D112:L112" si="0">C112*$B$110</f>
        <v>11.290800000000001</v>
      </c>
      <c r="E112" s="20">
        <f t="shared" si="0"/>
        <v>21.904152</v>
      </c>
      <c r="F112" s="20">
        <f t="shared" si="0"/>
        <v>42.49405488</v>
      </c>
      <c r="G112" s="20">
        <f t="shared" si="0"/>
        <v>82.438466467200001</v>
      </c>
      <c r="H112" s="20">
        <f t="shared" si="0"/>
        <v>159.930624946368</v>
      </c>
      <c r="I112" s="20">
        <f t="shared" si="0"/>
        <v>310.26541239595389</v>
      </c>
      <c r="J112" s="20">
        <f t="shared" si="0"/>
        <v>601.91490004815057</v>
      </c>
      <c r="K112" s="20">
        <f t="shared" si="0"/>
        <v>1167.7149060934121</v>
      </c>
      <c r="L112" s="20">
        <f t="shared" si="0"/>
        <v>2265.3669178212194</v>
      </c>
    </row>
    <row r="113" spans="1:10" x14ac:dyDescent="0.2">
      <c r="A113" s="1"/>
      <c r="B113" s="1"/>
      <c r="C113" s="2"/>
      <c r="D113" s="1"/>
      <c r="E113" s="3"/>
      <c r="F113" s="3"/>
      <c r="G113" s="3"/>
      <c r="H113" s="4"/>
      <c r="I113" s="1"/>
      <c r="J113" s="1"/>
    </row>
    <row r="114" spans="1:10" x14ac:dyDescent="0.2">
      <c r="A114" s="1"/>
      <c r="B114" s="1"/>
      <c r="C114" s="2"/>
      <c r="D114" s="1"/>
      <c r="E114" s="3"/>
      <c r="F114" s="3"/>
      <c r="G114" s="3"/>
      <c r="H114" s="4"/>
      <c r="I114" s="1"/>
      <c r="J114" s="1"/>
    </row>
    <row r="115" spans="1:10" x14ac:dyDescent="0.2">
      <c r="A115" s="1"/>
      <c r="B115" s="1"/>
      <c r="C115" s="2"/>
      <c r="D115" s="1"/>
      <c r="E115" s="3"/>
      <c r="F115" s="3"/>
      <c r="G115" s="3"/>
      <c r="H115" s="4"/>
      <c r="I115" s="1"/>
      <c r="J115" s="1"/>
    </row>
    <row r="116" spans="1:10" x14ac:dyDescent="0.2">
      <c r="A116" s="1" t="s">
        <v>143</v>
      </c>
      <c r="B116" s="1"/>
      <c r="C116" s="2"/>
      <c r="D116" s="1"/>
      <c r="E116" s="3"/>
      <c r="F116" s="3"/>
      <c r="G116" s="3"/>
      <c r="H116" s="4"/>
      <c r="I116" s="1"/>
      <c r="J116" s="1"/>
    </row>
    <row r="117" spans="1:10" x14ac:dyDescent="0.2">
      <c r="A117" s="1" t="s">
        <v>144</v>
      </c>
      <c r="B117" s="1"/>
      <c r="C117" s="2"/>
      <c r="D117" s="1"/>
      <c r="E117" s="3"/>
      <c r="F117" s="3"/>
      <c r="G117" s="3"/>
      <c r="H117" s="4"/>
      <c r="I117" s="1"/>
      <c r="J117" s="1"/>
    </row>
    <row r="118" spans="1:10" x14ac:dyDescent="0.2">
      <c r="A118" s="1" t="s">
        <v>145</v>
      </c>
      <c r="B118" s="1"/>
      <c r="C118" s="2"/>
      <c r="D118" s="1"/>
      <c r="E118" s="3"/>
      <c r="F118" s="3"/>
      <c r="G118" s="3"/>
      <c r="H118" s="4"/>
      <c r="I118" s="1"/>
      <c r="J118" s="1"/>
    </row>
    <row r="119" spans="1:10" x14ac:dyDescent="0.2">
      <c r="A119" s="1" t="s">
        <v>146</v>
      </c>
      <c r="B119" s="1"/>
      <c r="C119" s="2"/>
      <c r="D119" s="1"/>
      <c r="E119" s="3"/>
      <c r="F119" s="3"/>
      <c r="G119" s="3"/>
      <c r="H119" s="4"/>
      <c r="I119" s="1"/>
      <c r="J119" s="1"/>
    </row>
    <row r="120" spans="1:10" x14ac:dyDescent="0.2">
      <c r="A120" s="1" t="s">
        <v>147</v>
      </c>
      <c r="B120" s="1"/>
      <c r="C120" s="2"/>
      <c r="D120" s="1"/>
      <c r="E120" s="3"/>
      <c r="F120" s="3"/>
      <c r="G120" s="3"/>
      <c r="H120" s="4"/>
      <c r="I120" s="1"/>
      <c r="J120" s="1"/>
    </row>
    <row r="121" spans="1:10" x14ac:dyDescent="0.2">
      <c r="A121" s="1" t="s">
        <v>148</v>
      </c>
      <c r="B121" s="1"/>
      <c r="C121" s="2"/>
      <c r="D121" s="1"/>
      <c r="E121" s="3"/>
      <c r="F121" s="3"/>
      <c r="G121" s="3"/>
      <c r="H121" s="4"/>
      <c r="I121" s="1"/>
      <c r="J121" s="1"/>
    </row>
    <row r="122" spans="1:10" x14ac:dyDescent="0.2">
      <c r="A122" s="1" t="s">
        <v>149</v>
      </c>
      <c r="B122" s="1"/>
      <c r="C122" s="2"/>
      <c r="D122" s="1"/>
      <c r="E122" s="3"/>
      <c r="F122" s="3"/>
      <c r="G122" s="3"/>
      <c r="H122" s="4"/>
      <c r="I122" s="1"/>
      <c r="J122" s="1"/>
    </row>
    <row r="123" spans="1:10" x14ac:dyDescent="0.2">
      <c r="A123" s="1" t="s">
        <v>150</v>
      </c>
      <c r="B123" s="1"/>
      <c r="C123" s="2"/>
      <c r="D123" s="1"/>
      <c r="E123" s="3"/>
      <c r="F123" s="3"/>
      <c r="G123" s="3"/>
      <c r="H123" s="4"/>
      <c r="I123" s="1"/>
      <c r="J123" s="1"/>
    </row>
    <row r="124" spans="1:10" x14ac:dyDescent="0.2">
      <c r="A124" s="1" t="s">
        <v>151</v>
      </c>
      <c r="B124" s="1"/>
      <c r="C124" s="2"/>
      <c r="D124" s="1"/>
      <c r="E124" s="3"/>
      <c r="F124" s="3"/>
      <c r="G124" s="3"/>
      <c r="H124" s="4"/>
      <c r="I124" s="1"/>
      <c r="J124" s="1"/>
    </row>
    <row r="125" spans="1:10" x14ac:dyDescent="0.2">
      <c r="A125" s="1" t="s">
        <v>152</v>
      </c>
      <c r="B125" s="1"/>
      <c r="C125" s="2"/>
      <c r="D125" s="1"/>
      <c r="E125" s="3"/>
      <c r="F125" s="3"/>
      <c r="G125" s="3"/>
      <c r="H125" s="4"/>
      <c r="I125" s="1"/>
      <c r="J125" s="1"/>
    </row>
    <row r="126" spans="1:10" x14ac:dyDescent="0.2">
      <c r="A126" s="1" t="s">
        <v>153</v>
      </c>
      <c r="B126" s="1"/>
      <c r="C126" s="2"/>
      <c r="D126" s="1"/>
      <c r="E126" s="3"/>
      <c r="F126" s="3"/>
      <c r="G126" s="3"/>
      <c r="H126" s="4"/>
      <c r="I126" s="1"/>
      <c r="J126" s="1"/>
    </row>
    <row r="127" spans="1:10" x14ac:dyDescent="0.2">
      <c r="A127" s="1"/>
      <c r="B127" s="1"/>
      <c r="C127" s="2"/>
      <c r="D127" s="1"/>
      <c r="E127" s="3"/>
      <c r="F127" s="3"/>
      <c r="G127" s="3"/>
      <c r="H127" s="4"/>
      <c r="I127" s="1"/>
      <c r="J127" s="1"/>
    </row>
    <row r="128" spans="1:10" x14ac:dyDescent="0.2">
      <c r="A128" s="1"/>
      <c r="B128" s="1"/>
      <c r="C128" s="2"/>
      <c r="D128" s="1"/>
      <c r="E128" s="3"/>
      <c r="F128" s="3"/>
      <c r="G128" s="3"/>
      <c r="H128" s="4"/>
      <c r="I128" s="1"/>
      <c r="J128" s="1"/>
    </row>
    <row r="129" spans="1:10" x14ac:dyDescent="0.2">
      <c r="A129" s="1"/>
      <c r="B129" s="1"/>
      <c r="C129" s="2"/>
      <c r="D129" s="1"/>
      <c r="E129" s="3"/>
      <c r="F129" s="3"/>
      <c r="G129" s="3"/>
      <c r="H129" s="4"/>
      <c r="I129" s="1"/>
      <c r="J129" s="1"/>
    </row>
    <row r="130" spans="1:10" x14ac:dyDescent="0.2">
      <c r="A130" s="1"/>
      <c r="B130" s="1"/>
      <c r="C130" s="2"/>
      <c r="D130" s="1"/>
      <c r="E130" s="3"/>
      <c r="F130" s="3"/>
      <c r="G130" s="3"/>
      <c r="H130" s="4"/>
      <c r="I130" s="1"/>
      <c r="J130" s="1"/>
    </row>
    <row r="131" spans="1:10" x14ac:dyDescent="0.2">
      <c r="A131" s="1"/>
      <c r="B131" s="1"/>
      <c r="C131" s="2"/>
      <c r="D131" s="1"/>
      <c r="E131" s="3"/>
      <c r="F131" s="3"/>
      <c r="G131" s="3"/>
      <c r="H131" s="4"/>
      <c r="I131" s="1"/>
      <c r="J131" s="1"/>
    </row>
    <row r="132" spans="1:10" x14ac:dyDescent="0.2">
      <c r="B132" s="1"/>
      <c r="C132" s="28"/>
      <c r="D132" s="28"/>
      <c r="G132" s="3"/>
      <c r="H132" s="4"/>
      <c r="I132" s="1"/>
      <c r="J132" s="1"/>
    </row>
    <row r="133" spans="1:10" x14ac:dyDescent="0.2">
      <c r="G133" s="3"/>
      <c r="H133" s="4"/>
      <c r="I133" s="1"/>
      <c r="J133" s="1"/>
    </row>
    <row r="134" spans="1:10" x14ac:dyDescent="0.2">
      <c r="G134" s="3"/>
      <c r="H134" s="4"/>
      <c r="I134" s="1"/>
      <c r="J134" s="1"/>
    </row>
    <row r="135" spans="1:10" x14ac:dyDescent="0.2">
      <c r="G135" s="3"/>
      <c r="H135" s="4"/>
      <c r="I135" s="1"/>
      <c r="J135" s="1"/>
    </row>
    <row r="136" spans="1:10" x14ac:dyDescent="0.2">
      <c r="G136" s="3"/>
      <c r="H136" s="4"/>
      <c r="I136" s="1"/>
      <c r="J136" s="1"/>
    </row>
    <row r="137" spans="1:10" x14ac:dyDescent="0.2">
      <c r="G137" s="42"/>
      <c r="H137" s="4"/>
      <c r="I137" s="1"/>
      <c r="J137" s="1"/>
    </row>
    <row r="138" spans="1:10" x14ac:dyDescent="0.2">
      <c r="G138" s="42"/>
      <c r="H138" s="4"/>
      <c r="I138" s="1"/>
      <c r="J138" s="1"/>
    </row>
    <row r="139" spans="1:10" x14ac:dyDescent="0.2">
      <c r="G139" s="3"/>
      <c r="H139" s="4"/>
      <c r="I139" s="1"/>
      <c r="J139" s="1"/>
    </row>
    <row r="140" spans="1:10" x14ac:dyDescent="0.2">
      <c r="G140" s="3"/>
      <c r="H140" s="4"/>
      <c r="I140" s="1"/>
      <c r="J140" s="1"/>
    </row>
    <row r="141" spans="1:10" x14ac:dyDescent="0.2">
      <c r="G141" s="3"/>
      <c r="H141" s="4"/>
      <c r="I141" s="1"/>
      <c r="J141" s="1"/>
    </row>
    <row r="142" spans="1:10" x14ac:dyDescent="0.2">
      <c r="G142" s="3"/>
      <c r="H142" s="4"/>
      <c r="I142" s="1"/>
      <c r="J142" s="1"/>
    </row>
    <row r="143" spans="1:10" x14ac:dyDescent="0.2">
      <c r="G143" s="3"/>
      <c r="H143" s="4"/>
      <c r="I143" s="1"/>
      <c r="J143" s="1"/>
    </row>
    <row r="161" spans="7:7" x14ac:dyDescent="0.2">
      <c r="G161" s="40"/>
    </row>
  </sheetData>
  <mergeCells count="1">
    <mergeCell ref="A3:J3"/>
  </mergeCells>
  <phoneticPr fontId="3" type="noConversion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230FC-F24B-412B-AF2D-2B0FA7C02F8A}">
  <dimension ref="A1:R54"/>
  <sheetViews>
    <sheetView topLeftCell="A19" workbookViewId="0">
      <selection activeCell="A23" sqref="A23"/>
    </sheetView>
  </sheetViews>
  <sheetFormatPr baseColWidth="10" defaultColWidth="8.83203125" defaultRowHeight="16" x14ac:dyDescent="0.2"/>
  <cols>
    <col min="2" max="2" width="17.6640625" bestFit="1" customWidth="1"/>
    <col min="3" max="3" width="13" bestFit="1" customWidth="1"/>
    <col min="4" max="4" width="14.1640625" customWidth="1"/>
    <col min="5" max="5" width="18.33203125" bestFit="1" customWidth="1"/>
    <col min="6" max="6" width="13.33203125" bestFit="1" customWidth="1"/>
    <col min="7" max="7" width="18.33203125" bestFit="1" customWidth="1"/>
    <col min="8" max="8" width="20.1640625" bestFit="1" customWidth="1"/>
    <col min="9" max="9" width="23.1640625" customWidth="1"/>
    <col min="10" max="10" width="18.6640625" customWidth="1"/>
    <col min="11" max="11" width="13.6640625" customWidth="1"/>
    <col min="12" max="12" width="24" bestFit="1" customWidth="1"/>
    <col min="13" max="13" width="19.83203125" bestFit="1" customWidth="1"/>
    <col min="14" max="14" width="20.33203125" bestFit="1" customWidth="1"/>
    <col min="15" max="15" width="24" bestFit="1" customWidth="1"/>
    <col min="16" max="16" width="18.6640625" bestFit="1" customWidth="1"/>
    <col min="17" max="17" width="14.5" customWidth="1"/>
    <col min="18" max="18" width="17.1640625" bestFit="1" customWidth="1"/>
    <col min="19" max="19" width="18.6640625" bestFit="1" customWidth="1"/>
    <col min="20" max="20" width="16.33203125" bestFit="1" customWidth="1"/>
    <col min="21" max="21" width="17.83203125" customWidth="1"/>
  </cols>
  <sheetData>
    <row r="1" spans="1:14" ht="17" thickBot="1" x14ac:dyDescent="0.25">
      <c r="I1">
        <v>1120000</v>
      </c>
      <c r="J1" s="157">
        <f>SUM(H3:H18,I1)</f>
        <v>5920000</v>
      </c>
      <c r="K1" s="157"/>
      <c r="L1" s="156"/>
      <c r="M1" s="157"/>
      <c r="N1" s="172"/>
    </row>
    <row r="2" spans="1:14" ht="45.75" customHeight="1" thickBot="1" x14ac:dyDescent="0.25">
      <c r="A2" s="132" t="s">
        <v>154</v>
      </c>
      <c r="B2" s="133" t="s">
        <v>155</v>
      </c>
      <c r="C2" s="133" t="s">
        <v>156</v>
      </c>
      <c r="D2" s="133" t="s">
        <v>157</v>
      </c>
      <c r="E2" s="133" t="s">
        <v>158</v>
      </c>
      <c r="F2" s="133" t="s">
        <v>159</v>
      </c>
      <c r="G2" s="177" t="s">
        <v>160</v>
      </c>
      <c r="H2" s="153" t="s">
        <v>161</v>
      </c>
      <c r="I2" s="171" t="s">
        <v>162</v>
      </c>
      <c r="J2" s="171" t="s">
        <v>163</v>
      </c>
    </row>
    <row r="3" spans="1:14" ht="17" thickBot="1" x14ac:dyDescent="0.25">
      <c r="A3" s="134">
        <v>1</v>
      </c>
      <c r="B3" s="135" t="s">
        <v>164</v>
      </c>
      <c r="C3" s="136">
        <v>15000</v>
      </c>
      <c r="D3" s="135" t="s">
        <v>165</v>
      </c>
      <c r="E3" s="135">
        <v>7</v>
      </c>
      <c r="F3" s="135" t="s">
        <v>166</v>
      </c>
      <c r="G3" s="178">
        <f>C3/E3</f>
        <v>2142.8571428571427</v>
      </c>
      <c r="H3" s="156">
        <v>300000</v>
      </c>
    </row>
    <row r="4" spans="1:14" ht="17" thickBot="1" x14ac:dyDescent="0.25">
      <c r="A4" s="134">
        <v>2</v>
      </c>
      <c r="B4" s="135" t="s">
        <v>164</v>
      </c>
      <c r="C4" s="136">
        <v>15000</v>
      </c>
      <c r="D4" s="135" t="s">
        <v>165</v>
      </c>
      <c r="E4" s="135">
        <v>7</v>
      </c>
      <c r="F4" s="135" t="s">
        <v>166</v>
      </c>
      <c r="G4" s="178">
        <f t="shared" ref="G4:G18" si="0">C4/E4</f>
        <v>2142.8571428571427</v>
      </c>
      <c r="H4" s="156">
        <v>300000</v>
      </c>
    </row>
    <row r="5" spans="1:14" ht="17" thickBot="1" x14ac:dyDescent="0.25">
      <c r="A5" s="134">
        <v>3</v>
      </c>
      <c r="B5" s="135" t="s">
        <v>164</v>
      </c>
      <c r="C5" s="136">
        <v>15000</v>
      </c>
      <c r="D5" s="135" t="s">
        <v>165</v>
      </c>
      <c r="E5" s="135">
        <v>7</v>
      </c>
      <c r="F5" s="135" t="s">
        <v>166</v>
      </c>
      <c r="G5" s="178">
        <f t="shared" si="0"/>
        <v>2142.8571428571427</v>
      </c>
      <c r="H5" s="156">
        <v>300000</v>
      </c>
    </row>
    <row r="6" spans="1:14" ht="17" thickBot="1" x14ac:dyDescent="0.25">
      <c r="A6" s="134">
        <v>4</v>
      </c>
      <c r="B6" s="135" t="s">
        <v>164</v>
      </c>
      <c r="C6" s="136">
        <v>15000</v>
      </c>
      <c r="D6" s="135" t="s">
        <v>165</v>
      </c>
      <c r="E6" s="135">
        <v>7</v>
      </c>
      <c r="F6" s="135" t="s">
        <v>166</v>
      </c>
      <c r="G6" s="178">
        <f t="shared" si="0"/>
        <v>2142.8571428571427</v>
      </c>
      <c r="H6" s="156">
        <v>300000</v>
      </c>
    </row>
    <row r="7" spans="1:14" ht="17" thickBot="1" x14ac:dyDescent="0.25">
      <c r="A7" s="134">
        <v>5</v>
      </c>
      <c r="B7" s="135" t="s">
        <v>164</v>
      </c>
      <c r="C7" s="136">
        <v>15000</v>
      </c>
      <c r="D7" s="135" t="s">
        <v>165</v>
      </c>
      <c r="E7" s="135">
        <v>7</v>
      </c>
      <c r="F7" s="135" t="s">
        <v>166</v>
      </c>
      <c r="G7" s="178">
        <f t="shared" si="0"/>
        <v>2142.8571428571427</v>
      </c>
      <c r="H7" s="156">
        <v>300000</v>
      </c>
    </row>
    <row r="8" spans="1:14" ht="17" thickBot="1" x14ac:dyDescent="0.25">
      <c r="A8" s="134">
        <v>6</v>
      </c>
      <c r="B8" s="135" t="s">
        <v>164</v>
      </c>
      <c r="C8" s="136">
        <v>15000</v>
      </c>
      <c r="D8" s="135" t="s">
        <v>165</v>
      </c>
      <c r="E8" s="135">
        <v>7</v>
      </c>
      <c r="F8" s="135" t="s">
        <v>166</v>
      </c>
      <c r="G8" s="178">
        <f t="shared" si="0"/>
        <v>2142.8571428571427</v>
      </c>
      <c r="H8" s="156">
        <v>300000</v>
      </c>
    </row>
    <row r="9" spans="1:14" ht="17" thickBot="1" x14ac:dyDescent="0.25">
      <c r="A9" s="134">
        <v>7</v>
      </c>
      <c r="B9" s="135" t="s">
        <v>164</v>
      </c>
      <c r="C9" s="136">
        <v>15000</v>
      </c>
      <c r="D9" s="135" t="s">
        <v>165</v>
      </c>
      <c r="E9" s="135">
        <v>7</v>
      </c>
      <c r="F9" s="135" t="s">
        <v>166</v>
      </c>
      <c r="G9" s="178">
        <f t="shared" si="0"/>
        <v>2142.8571428571427</v>
      </c>
      <c r="H9" s="156">
        <v>300000</v>
      </c>
    </row>
    <row r="10" spans="1:14" ht="17" thickBot="1" x14ac:dyDescent="0.25">
      <c r="A10" s="134">
        <v>8</v>
      </c>
      <c r="B10" s="135" t="s">
        <v>164</v>
      </c>
      <c r="C10" s="136">
        <v>15000</v>
      </c>
      <c r="D10" s="135" t="s">
        <v>165</v>
      </c>
      <c r="E10" s="135">
        <v>7</v>
      </c>
      <c r="F10" s="135" t="s">
        <v>166</v>
      </c>
      <c r="G10" s="178">
        <f t="shared" si="0"/>
        <v>2142.8571428571427</v>
      </c>
      <c r="H10" s="156">
        <v>300000</v>
      </c>
    </row>
    <row r="11" spans="1:14" ht="17" thickBot="1" x14ac:dyDescent="0.25">
      <c r="A11" s="134">
        <v>9</v>
      </c>
      <c r="B11" s="135" t="s">
        <v>164</v>
      </c>
      <c r="C11" s="136">
        <v>15000</v>
      </c>
      <c r="D11" s="135" t="s">
        <v>165</v>
      </c>
      <c r="E11" s="135">
        <v>7</v>
      </c>
      <c r="F11" s="135" t="s">
        <v>166</v>
      </c>
      <c r="G11" s="178">
        <f t="shared" si="0"/>
        <v>2142.8571428571427</v>
      </c>
      <c r="H11" s="156">
        <v>300000</v>
      </c>
    </row>
    <row r="12" spans="1:14" ht="17" thickBot="1" x14ac:dyDescent="0.25">
      <c r="A12" s="134">
        <v>10</v>
      </c>
      <c r="B12" s="135" t="s">
        <v>164</v>
      </c>
      <c r="C12" s="136">
        <v>15000</v>
      </c>
      <c r="D12" s="135" t="s">
        <v>165</v>
      </c>
      <c r="E12" s="135">
        <v>7</v>
      </c>
      <c r="F12" s="135" t="s">
        <v>166</v>
      </c>
      <c r="G12" s="178">
        <f t="shared" si="0"/>
        <v>2142.8571428571427</v>
      </c>
      <c r="H12" s="156">
        <v>300000</v>
      </c>
    </row>
    <row r="13" spans="1:14" ht="17" thickBot="1" x14ac:dyDescent="0.25">
      <c r="A13" s="134">
        <v>11</v>
      </c>
      <c r="B13" s="135" t="s">
        <v>164</v>
      </c>
      <c r="C13" s="136">
        <v>15000</v>
      </c>
      <c r="D13" s="135" t="s">
        <v>165</v>
      </c>
      <c r="E13" s="135">
        <v>7</v>
      </c>
      <c r="F13" s="135" t="s">
        <v>166</v>
      </c>
      <c r="G13" s="178">
        <f t="shared" si="0"/>
        <v>2142.8571428571427</v>
      </c>
      <c r="H13" s="156">
        <v>300000</v>
      </c>
    </row>
    <row r="14" spans="1:14" ht="17" thickBot="1" x14ac:dyDescent="0.25">
      <c r="A14" s="134">
        <v>12</v>
      </c>
      <c r="B14" s="135" t="s">
        <v>164</v>
      </c>
      <c r="C14" s="136">
        <v>15000</v>
      </c>
      <c r="D14" s="135" t="s">
        <v>165</v>
      </c>
      <c r="E14" s="135">
        <v>7</v>
      </c>
      <c r="F14" s="135" t="s">
        <v>166</v>
      </c>
      <c r="G14" s="178">
        <f t="shared" si="0"/>
        <v>2142.8571428571427</v>
      </c>
      <c r="H14" s="156">
        <v>300000</v>
      </c>
    </row>
    <row r="15" spans="1:14" ht="17" thickBot="1" x14ac:dyDescent="0.25">
      <c r="A15" s="134">
        <v>13</v>
      </c>
      <c r="B15" s="135" t="s">
        <v>164</v>
      </c>
      <c r="C15" s="136">
        <v>15000</v>
      </c>
      <c r="D15" s="135" t="s">
        <v>165</v>
      </c>
      <c r="E15" s="135">
        <v>7</v>
      </c>
      <c r="F15" s="135" t="s">
        <v>166</v>
      </c>
      <c r="G15" s="178">
        <f t="shared" si="0"/>
        <v>2142.8571428571427</v>
      </c>
      <c r="H15" s="156">
        <v>300000</v>
      </c>
    </row>
    <row r="16" spans="1:14" ht="17" thickBot="1" x14ac:dyDescent="0.25">
      <c r="A16" s="134">
        <v>14</v>
      </c>
      <c r="B16" s="135" t="s">
        <v>164</v>
      </c>
      <c r="C16" s="136">
        <v>15000</v>
      </c>
      <c r="D16" s="135" t="s">
        <v>165</v>
      </c>
      <c r="E16" s="135">
        <v>7</v>
      </c>
      <c r="F16" s="135" t="s">
        <v>166</v>
      </c>
      <c r="G16" s="178">
        <f t="shared" si="0"/>
        <v>2142.8571428571427</v>
      </c>
      <c r="H16" s="156">
        <v>300000</v>
      </c>
    </row>
    <row r="17" spans="1:18" ht="17" thickBot="1" x14ac:dyDescent="0.25">
      <c r="A17" s="134">
        <v>15</v>
      </c>
      <c r="B17" s="135" t="s">
        <v>164</v>
      </c>
      <c r="C17" s="136">
        <v>15000</v>
      </c>
      <c r="D17" s="135" t="s">
        <v>165</v>
      </c>
      <c r="E17" s="135">
        <v>7</v>
      </c>
      <c r="F17" s="135" t="s">
        <v>166</v>
      </c>
      <c r="G17" s="178">
        <f t="shared" si="0"/>
        <v>2142.8571428571427</v>
      </c>
      <c r="H17" s="156">
        <v>300000</v>
      </c>
    </row>
    <row r="18" spans="1:18" ht="17" thickBot="1" x14ac:dyDescent="0.25">
      <c r="A18" s="134">
        <v>16</v>
      </c>
      <c r="B18" s="135" t="s">
        <v>164</v>
      </c>
      <c r="C18" s="136">
        <v>15000</v>
      </c>
      <c r="D18" s="135" t="s">
        <v>165</v>
      </c>
      <c r="E18" s="135">
        <v>7</v>
      </c>
      <c r="F18" s="135" t="s">
        <v>166</v>
      </c>
      <c r="G18" s="178">
        <f t="shared" si="0"/>
        <v>2142.8571428571427</v>
      </c>
      <c r="H18" s="156">
        <v>300000</v>
      </c>
    </row>
    <row r="19" spans="1:18" x14ac:dyDescent="0.2">
      <c r="C19" s="154"/>
      <c r="D19" s="225"/>
      <c r="E19" s="226"/>
    </row>
    <row r="24" spans="1:18" ht="34.5" customHeight="1" x14ac:dyDescent="0.2">
      <c r="A24" s="275" t="s">
        <v>167</v>
      </c>
      <c r="B24" s="275"/>
      <c r="I24" t="s">
        <v>168</v>
      </c>
      <c r="J24" t="s">
        <v>169</v>
      </c>
      <c r="K24" t="s">
        <v>170</v>
      </c>
      <c r="L24" s="189" t="s">
        <v>171</v>
      </c>
      <c r="M24" t="s">
        <v>172</v>
      </c>
      <c r="N24" s="26" t="s">
        <v>173</v>
      </c>
      <c r="O24" s="26" t="s">
        <v>174</v>
      </c>
      <c r="P24" s="26" t="s">
        <v>175</v>
      </c>
      <c r="Q24" s="26" t="s">
        <v>176</v>
      </c>
      <c r="R24" s="189" t="s">
        <v>23</v>
      </c>
    </row>
    <row r="25" spans="1:18" x14ac:dyDescent="0.2">
      <c r="A25" s="183" t="s">
        <v>168</v>
      </c>
      <c r="B25" s="184" t="s">
        <v>177</v>
      </c>
      <c r="E25" t="s">
        <v>178</v>
      </c>
      <c r="F25" t="s">
        <v>179</v>
      </c>
      <c r="G25" s="41">
        <f>C3/3</f>
        <v>5000</v>
      </c>
      <c r="I25">
        <v>1</v>
      </c>
      <c r="J25">
        <v>8</v>
      </c>
      <c r="K25" s="41">
        <f>SUM(G3:G10)</f>
        <v>17142.857142857141</v>
      </c>
      <c r="L25" s="190">
        <f>K25*0.01018</f>
        <v>174.51428571428571</v>
      </c>
      <c r="M25" s="28">
        <f>SUM(G25:G32)</f>
        <v>40000</v>
      </c>
      <c r="N25" s="43">
        <f t="shared" ref="N25:N49" si="1">M25*B28</f>
        <v>13.4038</v>
      </c>
      <c r="O25" s="43">
        <f>L25-N25</f>
        <v>161.11048571428572</v>
      </c>
      <c r="P25" s="43">
        <f>SUM(O25:O29)</f>
        <v>1470.6613371428571</v>
      </c>
      <c r="Q25" s="43">
        <f>SUM(O25:O49)</f>
        <v>8151.7910971428573</v>
      </c>
      <c r="R25" s="191">
        <f>J1/P25</f>
        <v>4025.3999003612503</v>
      </c>
    </row>
    <row r="26" spans="1:18" x14ac:dyDescent="0.2">
      <c r="A26" s="185">
        <v>2024</v>
      </c>
      <c r="B26" s="187">
        <v>3.6792299999999998E-4</v>
      </c>
      <c r="G26" s="41">
        <f t="shared" ref="G26:G35" si="2">C4/3</f>
        <v>5000</v>
      </c>
      <c r="I26">
        <v>2</v>
      </c>
      <c r="J26">
        <v>16</v>
      </c>
      <c r="K26" s="41">
        <f>SUM(G3:G18)</f>
        <v>34285.714285714275</v>
      </c>
      <c r="L26" s="190">
        <f t="shared" ref="L26:L49" si="3">K26*0.01018</f>
        <v>349.0285714285713</v>
      </c>
      <c r="M26" s="28">
        <f>SUM(G25:G40)</f>
        <v>80000</v>
      </c>
      <c r="N26" s="43">
        <f t="shared" si="1"/>
        <v>24.525199999999998</v>
      </c>
      <c r="O26" s="43">
        <f t="shared" ref="O26:O49" si="4">L26-N26</f>
        <v>324.50337142857131</v>
      </c>
    </row>
    <row r="27" spans="1:18" x14ac:dyDescent="0.2">
      <c r="A27" s="185">
        <v>2025</v>
      </c>
      <c r="B27" s="187">
        <f>B26-(C27/2)</f>
        <v>3.5150899999999996E-4</v>
      </c>
      <c r="C27">
        <f>B26-B28</f>
        <v>3.2827999999999991E-5</v>
      </c>
      <c r="G27" s="41">
        <f t="shared" si="2"/>
        <v>5000</v>
      </c>
      <c r="I27">
        <v>3</v>
      </c>
      <c r="J27">
        <v>16</v>
      </c>
      <c r="K27" s="41">
        <v>34286</v>
      </c>
      <c r="L27" s="190">
        <f t="shared" si="3"/>
        <v>349.03147999999999</v>
      </c>
      <c r="M27" s="28">
        <v>80000</v>
      </c>
      <c r="N27" s="43">
        <f t="shared" si="1"/>
        <v>22.242799999999999</v>
      </c>
      <c r="O27" s="43">
        <f t="shared" si="4"/>
        <v>326.78868</v>
      </c>
    </row>
    <row r="28" spans="1:18" x14ac:dyDescent="0.2">
      <c r="A28" s="185">
        <v>2026</v>
      </c>
      <c r="B28" s="187">
        <v>3.3509499999999999E-4</v>
      </c>
      <c r="G28" s="41">
        <f t="shared" si="2"/>
        <v>5000</v>
      </c>
      <c r="I28">
        <v>4</v>
      </c>
      <c r="J28">
        <v>16</v>
      </c>
      <c r="K28" s="41">
        <v>34286</v>
      </c>
      <c r="L28" s="190">
        <f t="shared" si="3"/>
        <v>349.03147999999999</v>
      </c>
      <c r="M28" s="28">
        <v>80000</v>
      </c>
      <c r="N28" s="43">
        <f t="shared" si="1"/>
        <v>20.682319999999997</v>
      </c>
      <c r="O28" s="43">
        <f t="shared" si="4"/>
        <v>328.34915999999998</v>
      </c>
    </row>
    <row r="29" spans="1:18" x14ac:dyDescent="0.2">
      <c r="A29" s="185">
        <v>2027</v>
      </c>
      <c r="B29" s="187">
        <f>B28-(C29/2)</f>
        <v>3.0656499999999996E-4</v>
      </c>
      <c r="C29">
        <f>B28-B30</f>
        <v>5.7059999999999999E-5</v>
      </c>
      <c r="G29" s="41">
        <f t="shared" si="2"/>
        <v>5000</v>
      </c>
      <c r="I29">
        <v>5</v>
      </c>
      <c r="J29">
        <v>16</v>
      </c>
      <c r="K29" s="41">
        <v>34286</v>
      </c>
      <c r="L29" s="190">
        <f t="shared" si="3"/>
        <v>349.03147999999999</v>
      </c>
      <c r="M29" s="28">
        <v>80000</v>
      </c>
      <c r="N29" s="43">
        <f t="shared" si="1"/>
        <v>19.121839999999999</v>
      </c>
      <c r="O29" s="43">
        <f t="shared" si="4"/>
        <v>329.90963999999997</v>
      </c>
    </row>
    <row r="30" spans="1:18" x14ac:dyDescent="0.2">
      <c r="A30" s="185">
        <v>2028</v>
      </c>
      <c r="B30" s="187">
        <v>2.7803499999999999E-4</v>
      </c>
      <c r="G30" s="41">
        <f t="shared" si="2"/>
        <v>5000</v>
      </c>
      <c r="I30">
        <v>6</v>
      </c>
      <c r="J30">
        <v>16</v>
      </c>
      <c r="K30" s="41">
        <v>34286</v>
      </c>
      <c r="L30" s="190">
        <f t="shared" si="3"/>
        <v>349.03147999999999</v>
      </c>
      <c r="M30" s="28">
        <v>80000</v>
      </c>
      <c r="N30" s="43">
        <f t="shared" si="1"/>
        <v>19.2318</v>
      </c>
      <c r="O30" s="43">
        <f t="shared" si="4"/>
        <v>329.79967999999997</v>
      </c>
    </row>
    <row r="31" spans="1:18" x14ac:dyDescent="0.2">
      <c r="A31" s="185">
        <v>2029</v>
      </c>
      <c r="B31" s="187">
        <f>B30-(C31/2)</f>
        <v>2.5852899999999996E-4</v>
      </c>
      <c r="C31">
        <f>B30-B32</f>
        <v>3.9011999999999999E-5</v>
      </c>
      <c r="G31" s="41">
        <f t="shared" si="2"/>
        <v>5000</v>
      </c>
      <c r="I31">
        <v>7</v>
      </c>
      <c r="J31">
        <v>16</v>
      </c>
      <c r="K31" s="41">
        <v>34286</v>
      </c>
      <c r="L31" s="190">
        <f t="shared" si="3"/>
        <v>349.03147999999999</v>
      </c>
      <c r="M31" s="28">
        <v>80000</v>
      </c>
      <c r="N31" s="43">
        <f t="shared" si="1"/>
        <v>19.341760000000001</v>
      </c>
      <c r="O31" s="43">
        <f t="shared" si="4"/>
        <v>329.68971999999997</v>
      </c>
    </row>
    <row r="32" spans="1:18" x14ac:dyDescent="0.2">
      <c r="A32" s="185">
        <v>2030</v>
      </c>
      <c r="B32" s="187">
        <v>2.3902299999999999E-4</v>
      </c>
      <c r="G32" s="41">
        <f t="shared" si="2"/>
        <v>5000</v>
      </c>
      <c r="I32">
        <v>8</v>
      </c>
      <c r="J32">
        <v>16</v>
      </c>
      <c r="K32" s="41">
        <v>34286</v>
      </c>
      <c r="L32" s="190">
        <f t="shared" si="3"/>
        <v>349.03147999999999</v>
      </c>
      <c r="M32" s="28">
        <v>80000</v>
      </c>
      <c r="N32" s="43">
        <f t="shared" si="1"/>
        <v>17.736799999999999</v>
      </c>
      <c r="O32" s="43">
        <f t="shared" si="4"/>
        <v>331.29467999999997</v>
      </c>
    </row>
    <row r="33" spans="1:15" x14ac:dyDescent="0.2">
      <c r="A33" s="185">
        <v>2031</v>
      </c>
      <c r="B33" s="187">
        <f>B32-(C33/2)</f>
        <v>2.403975E-4</v>
      </c>
      <c r="C33">
        <f>B32-B34</f>
        <v>-2.7489999999999969E-6</v>
      </c>
      <c r="G33" s="41">
        <f t="shared" si="2"/>
        <v>5000</v>
      </c>
      <c r="I33">
        <v>9</v>
      </c>
      <c r="J33">
        <v>16</v>
      </c>
      <c r="K33" s="41">
        <v>34286</v>
      </c>
      <c r="L33" s="190">
        <f t="shared" si="3"/>
        <v>349.03147999999999</v>
      </c>
      <c r="M33" s="28">
        <v>80000</v>
      </c>
      <c r="N33" s="43">
        <f t="shared" si="1"/>
        <v>16.13184</v>
      </c>
      <c r="O33" s="43">
        <f t="shared" si="4"/>
        <v>332.89963999999998</v>
      </c>
    </row>
    <row r="34" spans="1:15" x14ac:dyDescent="0.2">
      <c r="A34" s="185">
        <v>2032</v>
      </c>
      <c r="B34" s="187">
        <v>2.4177199999999999E-4</v>
      </c>
      <c r="G34" s="41">
        <f t="shared" si="2"/>
        <v>5000</v>
      </c>
      <c r="I34">
        <v>10</v>
      </c>
      <c r="J34">
        <v>16</v>
      </c>
      <c r="K34" s="41">
        <v>34286</v>
      </c>
      <c r="L34" s="190">
        <f t="shared" si="3"/>
        <v>349.03147999999999</v>
      </c>
      <c r="M34" s="28">
        <v>80000</v>
      </c>
      <c r="N34" s="43">
        <f t="shared" si="1"/>
        <v>15.930400000000001</v>
      </c>
      <c r="O34" s="43">
        <f t="shared" si="4"/>
        <v>333.10107999999997</v>
      </c>
    </row>
    <row r="35" spans="1:15" x14ac:dyDescent="0.2">
      <c r="A35" s="185">
        <v>2033</v>
      </c>
      <c r="B35" s="187">
        <f>B34-(C35/2)</f>
        <v>2.2170999999999999E-4</v>
      </c>
      <c r="C35">
        <f>B34-B36</f>
        <v>4.0123999999999997E-5</v>
      </c>
      <c r="G35" s="41">
        <f t="shared" si="2"/>
        <v>5000</v>
      </c>
      <c r="I35">
        <v>11</v>
      </c>
      <c r="J35">
        <v>16</v>
      </c>
      <c r="K35" s="41">
        <v>34286</v>
      </c>
      <c r="L35" s="190">
        <f t="shared" si="3"/>
        <v>349.03147999999999</v>
      </c>
      <c r="M35" s="28">
        <v>80000</v>
      </c>
      <c r="N35" s="43">
        <f t="shared" si="1"/>
        <v>15.728960000000001</v>
      </c>
      <c r="O35" s="43">
        <f t="shared" si="4"/>
        <v>333.30251999999996</v>
      </c>
    </row>
    <row r="36" spans="1:15" x14ac:dyDescent="0.2">
      <c r="A36" s="185">
        <v>2034</v>
      </c>
      <c r="B36" s="187">
        <v>2.0164799999999999E-4</v>
      </c>
      <c r="G36" s="41">
        <f t="shared" ref="G36:G39" si="5">C14/3</f>
        <v>5000</v>
      </c>
      <c r="I36">
        <v>12</v>
      </c>
      <c r="J36">
        <v>16</v>
      </c>
      <c r="K36" s="41">
        <v>34286</v>
      </c>
      <c r="L36" s="190">
        <f t="shared" si="3"/>
        <v>349.03147999999999</v>
      </c>
      <c r="M36" s="28">
        <v>80000</v>
      </c>
      <c r="N36" s="43">
        <f t="shared" si="1"/>
        <v>15.36556</v>
      </c>
      <c r="O36" s="43">
        <f t="shared" si="4"/>
        <v>333.66591999999997</v>
      </c>
    </row>
    <row r="37" spans="1:15" x14ac:dyDescent="0.2">
      <c r="A37" s="185">
        <v>2035</v>
      </c>
      <c r="B37" s="187">
        <f>B36-(C37/2)</f>
        <v>1.9913E-4</v>
      </c>
      <c r="C37">
        <f>B36-B38</f>
        <v>5.0359999999999836E-6</v>
      </c>
      <c r="G37" s="41">
        <f t="shared" si="5"/>
        <v>5000</v>
      </c>
      <c r="I37">
        <v>13</v>
      </c>
      <c r="J37">
        <v>16</v>
      </c>
      <c r="K37" s="41">
        <v>34286</v>
      </c>
      <c r="L37" s="190">
        <f t="shared" si="3"/>
        <v>349.03147999999999</v>
      </c>
      <c r="M37" s="28">
        <v>80000</v>
      </c>
      <c r="N37" s="43">
        <f t="shared" si="1"/>
        <v>15.00216</v>
      </c>
      <c r="O37" s="43">
        <f t="shared" si="4"/>
        <v>334.02931999999998</v>
      </c>
    </row>
    <row r="38" spans="1:15" x14ac:dyDescent="0.2">
      <c r="A38" s="185">
        <v>2036</v>
      </c>
      <c r="B38" s="187">
        <v>1.9661200000000001E-4</v>
      </c>
      <c r="G38" s="41">
        <f t="shared" si="5"/>
        <v>5000</v>
      </c>
      <c r="I38">
        <v>14</v>
      </c>
      <c r="J38">
        <v>16</v>
      </c>
      <c r="K38" s="41">
        <v>34286</v>
      </c>
      <c r="L38" s="190">
        <f t="shared" si="3"/>
        <v>349.03147999999999</v>
      </c>
      <c r="M38" s="28">
        <v>80000</v>
      </c>
      <c r="N38" s="43">
        <f t="shared" si="1"/>
        <v>15.108079999999999</v>
      </c>
      <c r="O38" s="43">
        <f t="shared" si="4"/>
        <v>333.92340000000002</v>
      </c>
    </row>
    <row r="39" spans="1:15" x14ac:dyDescent="0.2">
      <c r="A39" s="185">
        <v>2037</v>
      </c>
      <c r="B39" s="187">
        <f>B38-(C39/2)</f>
        <v>1.9206950000000001E-4</v>
      </c>
      <c r="C39">
        <f>B38-B40</f>
        <v>9.0850000000000121E-6</v>
      </c>
      <c r="G39" s="41">
        <f t="shared" si="5"/>
        <v>5000</v>
      </c>
      <c r="I39">
        <v>15</v>
      </c>
      <c r="J39">
        <v>16</v>
      </c>
      <c r="K39" s="41">
        <v>34286</v>
      </c>
      <c r="L39" s="190">
        <f t="shared" si="3"/>
        <v>349.03147999999999</v>
      </c>
      <c r="M39" s="28">
        <v>80000</v>
      </c>
      <c r="N39" s="43">
        <f t="shared" si="1"/>
        <v>15.214</v>
      </c>
      <c r="O39" s="43">
        <f t="shared" si="4"/>
        <v>333.81747999999999</v>
      </c>
    </row>
    <row r="40" spans="1:15" x14ac:dyDescent="0.2">
      <c r="A40" s="185">
        <v>2038</v>
      </c>
      <c r="B40" s="187">
        <v>1.87527E-4</v>
      </c>
      <c r="G40" s="41">
        <f>C18/3</f>
        <v>5000</v>
      </c>
      <c r="I40">
        <v>16</v>
      </c>
      <c r="J40">
        <v>16</v>
      </c>
      <c r="K40" s="41">
        <v>34286</v>
      </c>
      <c r="L40" s="190">
        <f t="shared" si="3"/>
        <v>349.03147999999999</v>
      </c>
      <c r="M40" s="28">
        <v>80000</v>
      </c>
      <c r="N40" s="43">
        <f t="shared" si="1"/>
        <v>14.620079999999998</v>
      </c>
      <c r="O40" s="43">
        <f t="shared" si="4"/>
        <v>334.41140000000001</v>
      </c>
    </row>
    <row r="41" spans="1:15" x14ac:dyDescent="0.2">
      <c r="A41" s="185">
        <v>2039</v>
      </c>
      <c r="B41" s="187">
        <f>B40-(C41/2)</f>
        <v>1.88851E-4</v>
      </c>
      <c r="C41">
        <f>B40-B42</f>
        <v>-2.6480000000000058E-6</v>
      </c>
      <c r="F41" t="s">
        <v>180</v>
      </c>
      <c r="G41" s="41">
        <f>SUM(G25:G40)</f>
        <v>80000</v>
      </c>
      <c r="I41">
        <v>17</v>
      </c>
      <c r="J41">
        <v>16</v>
      </c>
      <c r="K41" s="41">
        <v>34286</v>
      </c>
      <c r="L41" s="190">
        <f t="shared" si="3"/>
        <v>349.03147999999999</v>
      </c>
      <c r="M41" s="28">
        <v>80000</v>
      </c>
      <c r="N41" s="43">
        <f t="shared" si="1"/>
        <v>14.026159999999999</v>
      </c>
      <c r="O41" s="43">
        <f t="shared" si="4"/>
        <v>335.00531999999998</v>
      </c>
    </row>
    <row r="42" spans="1:15" x14ac:dyDescent="0.2">
      <c r="A42" s="185">
        <v>2040</v>
      </c>
      <c r="B42" s="187">
        <v>1.90175E-4</v>
      </c>
      <c r="I42">
        <v>18</v>
      </c>
      <c r="J42">
        <v>16</v>
      </c>
      <c r="K42" s="41">
        <v>34286</v>
      </c>
      <c r="L42" s="190">
        <f t="shared" si="3"/>
        <v>349.03147999999999</v>
      </c>
      <c r="M42" s="28">
        <v>80000</v>
      </c>
      <c r="N42" s="43">
        <f t="shared" si="1"/>
        <v>13.960800000000001</v>
      </c>
      <c r="O42" s="43">
        <f t="shared" si="4"/>
        <v>335.07067999999998</v>
      </c>
    </row>
    <row r="43" spans="1:15" x14ac:dyDescent="0.2">
      <c r="A43" s="185">
        <v>2041</v>
      </c>
      <c r="B43" s="187">
        <f>B42-(C43/2)</f>
        <v>1.8275099999999999E-4</v>
      </c>
      <c r="C43">
        <f>B42-B44</f>
        <v>1.4848000000000004E-5</v>
      </c>
      <c r="I43">
        <v>19</v>
      </c>
      <c r="J43">
        <v>16</v>
      </c>
      <c r="K43" s="41">
        <v>34286</v>
      </c>
      <c r="L43" s="190">
        <f t="shared" si="3"/>
        <v>349.03147999999999</v>
      </c>
      <c r="M43" s="28">
        <v>80000</v>
      </c>
      <c r="N43" s="43">
        <f t="shared" si="1"/>
        <v>13.895439999999999</v>
      </c>
      <c r="O43" s="43">
        <f t="shared" si="4"/>
        <v>335.13603999999998</v>
      </c>
    </row>
    <row r="44" spans="1:15" x14ac:dyDescent="0.2">
      <c r="A44" s="185">
        <v>2042</v>
      </c>
      <c r="B44" s="187">
        <v>1.75327E-4</v>
      </c>
      <c r="I44">
        <v>20</v>
      </c>
      <c r="J44">
        <v>16</v>
      </c>
      <c r="K44" s="41">
        <v>34286</v>
      </c>
      <c r="L44" s="190">
        <f t="shared" si="3"/>
        <v>349.03147999999999</v>
      </c>
      <c r="M44" s="28">
        <v>80000</v>
      </c>
      <c r="N44" s="43">
        <f t="shared" si="1"/>
        <v>13.72344</v>
      </c>
      <c r="O44" s="43">
        <f t="shared" si="4"/>
        <v>335.30804000000001</v>
      </c>
    </row>
    <row r="45" spans="1:15" x14ac:dyDescent="0.2">
      <c r="A45" s="185">
        <v>2043</v>
      </c>
      <c r="B45" s="187">
        <f>B44-(C45/2)</f>
        <v>1.7451000000000001E-4</v>
      </c>
      <c r="C45">
        <f>B44-B46</f>
        <v>1.634000000000005E-6</v>
      </c>
      <c r="I45">
        <v>21</v>
      </c>
      <c r="J45">
        <v>16</v>
      </c>
      <c r="K45" s="41">
        <v>34286</v>
      </c>
      <c r="L45" s="190">
        <f t="shared" si="3"/>
        <v>349.03147999999999</v>
      </c>
      <c r="M45" s="28">
        <v>80000</v>
      </c>
      <c r="N45" s="43">
        <f t="shared" si="1"/>
        <v>13.551439999999999</v>
      </c>
      <c r="O45" s="43">
        <f t="shared" si="4"/>
        <v>335.48003999999997</v>
      </c>
    </row>
    <row r="46" spans="1:15" x14ac:dyDescent="0.2">
      <c r="A46" s="185">
        <v>2044</v>
      </c>
      <c r="B46" s="187">
        <v>1.7369299999999999E-4</v>
      </c>
      <c r="I46">
        <v>22</v>
      </c>
      <c r="J46">
        <v>16</v>
      </c>
      <c r="K46" s="41">
        <v>34286</v>
      </c>
      <c r="L46" s="190">
        <f t="shared" si="3"/>
        <v>349.03147999999999</v>
      </c>
      <c r="M46" s="28">
        <v>80000</v>
      </c>
      <c r="N46" s="43">
        <f t="shared" si="1"/>
        <v>13.143600000000001</v>
      </c>
      <c r="O46" s="43">
        <f t="shared" si="4"/>
        <v>335.88788</v>
      </c>
    </row>
    <row r="47" spans="1:15" x14ac:dyDescent="0.2">
      <c r="A47" s="185">
        <v>2045</v>
      </c>
      <c r="B47" s="187">
        <f>B46-(C47/2)</f>
        <v>1.7154299999999999E-4</v>
      </c>
      <c r="C47">
        <f>B46-B48</f>
        <v>4.2999999999999961E-6</v>
      </c>
      <c r="I47">
        <v>23</v>
      </c>
      <c r="J47">
        <v>16</v>
      </c>
      <c r="K47" s="41">
        <v>34286</v>
      </c>
      <c r="L47" s="190">
        <f t="shared" si="3"/>
        <v>349.03147999999999</v>
      </c>
      <c r="M47" s="28">
        <v>80000</v>
      </c>
      <c r="N47" s="43">
        <f t="shared" si="1"/>
        <v>12.735760000000001</v>
      </c>
      <c r="O47" s="43">
        <f t="shared" si="4"/>
        <v>336.29571999999996</v>
      </c>
    </row>
    <row r="48" spans="1:15" x14ac:dyDescent="0.2">
      <c r="A48" s="185">
        <v>2046</v>
      </c>
      <c r="B48" s="187">
        <v>1.69393E-4</v>
      </c>
      <c r="I48">
        <v>24</v>
      </c>
      <c r="J48">
        <v>16</v>
      </c>
      <c r="K48" s="41">
        <v>34286</v>
      </c>
      <c r="L48" s="190">
        <f t="shared" si="3"/>
        <v>349.03147999999999</v>
      </c>
      <c r="M48" s="28">
        <v>80000</v>
      </c>
      <c r="N48" s="43">
        <f t="shared" si="1"/>
        <v>12.595840000000001</v>
      </c>
      <c r="O48" s="43">
        <f t="shared" si="4"/>
        <v>336.43563999999998</v>
      </c>
    </row>
    <row r="49" spans="1:15" x14ac:dyDescent="0.2">
      <c r="A49" s="185">
        <v>2047</v>
      </c>
      <c r="B49" s="187">
        <f>B48-(C49/2)</f>
        <v>1.6429500000000001E-4</v>
      </c>
      <c r="C49">
        <f>B48-B50</f>
        <v>1.0195999999999995E-5</v>
      </c>
      <c r="I49">
        <v>25</v>
      </c>
      <c r="J49">
        <v>16</v>
      </c>
      <c r="K49" s="41">
        <v>34286</v>
      </c>
      <c r="L49" s="190">
        <f t="shared" si="3"/>
        <v>349.03147999999999</v>
      </c>
      <c r="M49" s="28">
        <v>80000</v>
      </c>
      <c r="N49" s="43">
        <f t="shared" si="1"/>
        <v>12.455920000000001</v>
      </c>
      <c r="O49" s="43">
        <f t="shared" si="4"/>
        <v>336.57556</v>
      </c>
    </row>
    <row r="50" spans="1:15" x14ac:dyDescent="0.2">
      <c r="A50" s="185">
        <v>2048</v>
      </c>
      <c r="B50" s="187">
        <v>1.59197E-4</v>
      </c>
    </row>
    <row r="51" spans="1:15" x14ac:dyDescent="0.2">
      <c r="A51" s="185">
        <v>2049</v>
      </c>
      <c r="B51" s="187">
        <f>B50-(C51/2)</f>
        <v>1.57448E-4</v>
      </c>
      <c r="C51">
        <f>B50-B52</f>
        <v>3.4979999999999994E-6</v>
      </c>
      <c r="J51" s="214" t="s">
        <v>181</v>
      </c>
      <c r="K51" s="28">
        <f>SUM(K25:K29)</f>
        <v>154286.57142857142</v>
      </c>
      <c r="L51" t="s">
        <v>182</v>
      </c>
      <c r="M51" s="28">
        <f>SUM(M25:M29)</f>
        <v>360000</v>
      </c>
      <c r="N51" s="43">
        <f>SUM(N25:N29)</f>
        <v>99.975959999999986</v>
      </c>
    </row>
    <row r="52" spans="1:15" x14ac:dyDescent="0.2">
      <c r="A52" s="185">
        <v>2050</v>
      </c>
      <c r="B52" s="187">
        <v>1.55699E-4</v>
      </c>
      <c r="J52" s="214" t="s">
        <v>183</v>
      </c>
      <c r="K52" s="28">
        <f>SUM(K25:K49)</f>
        <v>840006.57142857136</v>
      </c>
      <c r="L52" t="s">
        <v>184</v>
      </c>
      <c r="M52" s="28">
        <f>SUM(M25:M49)</f>
        <v>1960000</v>
      </c>
      <c r="N52" s="43">
        <f>SUM(N25:N49)</f>
        <v>399.47579999999999</v>
      </c>
    </row>
    <row r="53" spans="1:15" x14ac:dyDescent="0.2">
      <c r="A53" s="186" t="s">
        <v>185</v>
      </c>
      <c r="B53" s="188">
        <f>AVERAGE(B26:B32)</f>
        <v>3.0523985714285713E-4</v>
      </c>
    </row>
    <row r="54" spans="1:15" x14ac:dyDescent="0.2">
      <c r="A54" s="186" t="s">
        <v>186</v>
      </c>
      <c r="B54" s="188">
        <f>AVERAGE(B33:B52)</f>
        <v>1.8718740000000001E-4</v>
      </c>
    </row>
  </sheetData>
  <mergeCells count="1">
    <mergeCell ref="A24:B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6EC4-5E72-4797-818B-E9F6C5A5F1C6}">
  <dimension ref="A1:Q165"/>
  <sheetViews>
    <sheetView zoomScale="85" zoomScaleNormal="85" workbookViewId="0">
      <selection activeCell="H145" sqref="H145"/>
    </sheetView>
  </sheetViews>
  <sheetFormatPr baseColWidth="10" defaultColWidth="8.83203125" defaultRowHeight="16" x14ac:dyDescent="0.2"/>
  <cols>
    <col min="2" max="2" width="17.6640625" bestFit="1" customWidth="1"/>
    <col min="3" max="3" width="19.5" bestFit="1" customWidth="1"/>
    <col min="4" max="4" width="13.5" bestFit="1" customWidth="1"/>
    <col min="5" max="5" width="19.6640625" customWidth="1"/>
    <col min="6" max="6" width="22.5" bestFit="1" customWidth="1"/>
    <col min="7" max="7" width="22.5" customWidth="1"/>
    <col min="8" max="8" width="29.83203125" bestFit="1" customWidth="1"/>
    <col min="9" max="9" width="20.1640625" bestFit="1" customWidth="1"/>
    <col min="10" max="10" width="14.33203125" customWidth="1"/>
    <col min="11" max="11" width="20.1640625" bestFit="1" customWidth="1"/>
    <col min="12" max="12" width="16" bestFit="1" customWidth="1"/>
    <col min="13" max="13" width="14.5" customWidth="1"/>
    <col min="14" max="14" width="12.5" customWidth="1"/>
    <col min="15" max="15" width="11.1640625" bestFit="1" customWidth="1"/>
    <col min="16" max="16" width="12.6640625" bestFit="1" customWidth="1"/>
    <col min="17" max="17" width="14" customWidth="1"/>
  </cols>
  <sheetData>
    <row r="1" spans="1:13" ht="17" thickBot="1" x14ac:dyDescent="0.25">
      <c r="A1" t="s">
        <v>187</v>
      </c>
      <c r="H1" s="157">
        <f>SUM(H3:H79)</f>
        <v>3132400</v>
      </c>
      <c r="I1" s="157">
        <f t="shared" ref="I1:J1" si="0">SUM(I3:I79)</f>
        <v>3940000</v>
      </c>
      <c r="J1" s="157">
        <f t="shared" si="0"/>
        <v>807600</v>
      </c>
      <c r="K1" s="156">
        <f>75/3*15000</f>
        <v>375000</v>
      </c>
      <c r="L1" s="157">
        <f>SUM(J1,K1)</f>
        <v>1182600</v>
      </c>
      <c r="M1" s="172" t="e">
        <f>SUM(#REF!)</f>
        <v>#REF!</v>
      </c>
    </row>
    <row r="2" spans="1:13" ht="35" thickBot="1" x14ac:dyDescent="0.25">
      <c r="A2" s="132" t="s">
        <v>154</v>
      </c>
      <c r="B2" s="133" t="s">
        <v>155</v>
      </c>
      <c r="C2" s="192" t="s">
        <v>188</v>
      </c>
      <c r="D2" s="133" t="s">
        <v>157</v>
      </c>
      <c r="E2" s="133" t="s">
        <v>158</v>
      </c>
      <c r="F2" s="133" t="s">
        <v>159</v>
      </c>
      <c r="G2" s="177" t="s">
        <v>160</v>
      </c>
      <c r="H2" s="177" t="s">
        <v>189</v>
      </c>
      <c r="I2" s="177" t="s">
        <v>161</v>
      </c>
      <c r="J2" s="177" t="s">
        <v>190</v>
      </c>
      <c r="K2" s="171" t="s">
        <v>162</v>
      </c>
      <c r="L2" s="171" t="s">
        <v>191</v>
      </c>
      <c r="M2" s="171" t="s">
        <v>192</v>
      </c>
    </row>
    <row r="3" spans="1:13" ht="17" thickBot="1" x14ac:dyDescent="0.25">
      <c r="A3" s="134">
        <v>1</v>
      </c>
      <c r="B3" s="135" t="s">
        <v>193</v>
      </c>
      <c r="C3" s="136">
        <v>12400</v>
      </c>
      <c r="D3" s="135" t="s">
        <v>194</v>
      </c>
      <c r="E3" s="135">
        <v>14</v>
      </c>
      <c r="F3" s="135" t="s">
        <v>195</v>
      </c>
      <c r="G3" s="196">
        <f>E3*C3</f>
        <v>173600</v>
      </c>
      <c r="H3" s="196">
        <v>25100</v>
      </c>
      <c r="I3" s="196">
        <v>40000</v>
      </c>
      <c r="J3" s="196">
        <f>I3-H3</f>
        <v>14900</v>
      </c>
    </row>
    <row r="4" spans="1:13" ht="17" thickBot="1" x14ac:dyDescent="0.25">
      <c r="A4" s="134">
        <v>2</v>
      </c>
      <c r="B4" s="135" t="s">
        <v>193</v>
      </c>
      <c r="C4" s="136">
        <v>12400</v>
      </c>
      <c r="D4" s="135" t="s">
        <v>194</v>
      </c>
      <c r="E4" s="135">
        <v>14</v>
      </c>
      <c r="F4" s="135" t="s">
        <v>195</v>
      </c>
      <c r="G4" s="196">
        <f t="shared" ref="G4:G9" si="1">E4*C4</f>
        <v>173600</v>
      </c>
      <c r="H4" s="196">
        <v>25100</v>
      </c>
      <c r="I4" s="196">
        <v>40000</v>
      </c>
      <c r="J4" s="196">
        <f t="shared" ref="J4:J45" si="2">I4-H4</f>
        <v>14900</v>
      </c>
    </row>
    <row r="5" spans="1:13" ht="17" thickBot="1" x14ac:dyDescent="0.25">
      <c r="A5" s="134">
        <v>3</v>
      </c>
      <c r="B5" s="135" t="s">
        <v>193</v>
      </c>
      <c r="C5" s="136">
        <v>12400</v>
      </c>
      <c r="D5" s="135" t="s">
        <v>194</v>
      </c>
      <c r="E5" s="135">
        <v>14</v>
      </c>
      <c r="F5" s="135" t="s">
        <v>195</v>
      </c>
      <c r="G5" s="196">
        <f t="shared" si="1"/>
        <v>173600</v>
      </c>
      <c r="H5" s="196">
        <v>25100</v>
      </c>
      <c r="I5" s="196">
        <v>40000</v>
      </c>
      <c r="J5" s="196">
        <f t="shared" si="2"/>
        <v>14900</v>
      </c>
    </row>
    <row r="6" spans="1:13" ht="17" thickBot="1" x14ac:dyDescent="0.25">
      <c r="A6" s="134">
        <v>4</v>
      </c>
      <c r="B6" s="135" t="s">
        <v>193</v>
      </c>
      <c r="C6" s="136">
        <v>12400</v>
      </c>
      <c r="D6" s="135" t="s">
        <v>194</v>
      </c>
      <c r="E6" s="135">
        <v>14</v>
      </c>
      <c r="F6" s="135" t="s">
        <v>195</v>
      </c>
      <c r="G6" s="196">
        <f t="shared" si="1"/>
        <v>173600</v>
      </c>
      <c r="H6" s="196">
        <v>25100</v>
      </c>
      <c r="I6" s="196">
        <v>40000</v>
      </c>
      <c r="J6" s="196">
        <f t="shared" si="2"/>
        <v>14900</v>
      </c>
    </row>
    <row r="7" spans="1:13" ht="17" thickBot="1" x14ac:dyDescent="0.25">
      <c r="A7" s="134">
        <v>5</v>
      </c>
      <c r="B7" s="135" t="s">
        <v>193</v>
      </c>
      <c r="C7" s="136">
        <v>12400</v>
      </c>
      <c r="D7" s="135" t="s">
        <v>194</v>
      </c>
      <c r="E7" s="135">
        <v>14</v>
      </c>
      <c r="F7" s="135" t="s">
        <v>195</v>
      </c>
      <c r="G7" s="196">
        <f t="shared" si="1"/>
        <v>173600</v>
      </c>
      <c r="H7" s="196">
        <v>25100</v>
      </c>
      <c r="I7" s="196">
        <v>40000</v>
      </c>
      <c r="J7" s="196">
        <f t="shared" si="2"/>
        <v>14900</v>
      </c>
    </row>
    <row r="8" spans="1:13" ht="17" thickBot="1" x14ac:dyDescent="0.25">
      <c r="A8" s="134">
        <v>6</v>
      </c>
      <c r="B8" s="135" t="s">
        <v>193</v>
      </c>
      <c r="C8" s="136">
        <v>12400</v>
      </c>
      <c r="D8" s="135" t="s">
        <v>194</v>
      </c>
      <c r="E8" s="135">
        <v>14</v>
      </c>
      <c r="F8" s="135" t="s">
        <v>195</v>
      </c>
      <c r="G8" s="196">
        <f t="shared" si="1"/>
        <v>173600</v>
      </c>
      <c r="H8" s="196">
        <v>25100</v>
      </c>
      <c r="I8" s="196">
        <v>40000</v>
      </c>
      <c r="J8" s="196">
        <f t="shared" si="2"/>
        <v>14900</v>
      </c>
    </row>
    <row r="9" spans="1:13" ht="17" thickBot="1" x14ac:dyDescent="0.25">
      <c r="A9" s="134">
        <v>7</v>
      </c>
      <c r="B9" s="135" t="s">
        <v>193</v>
      </c>
      <c r="C9" s="136">
        <v>12400</v>
      </c>
      <c r="D9" s="135" t="s">
        <v>194</v>
      </c>
      <c r="E9" s="135">
        <v>14</v>
      </c>
      <c r="F9" s="135" t="s">
        <v>195</v>
      </c>
      <c r="G9" s="196">
        <f t="shared" si="1"/>
        <v>173600</v>
      </c>
      <c r="H9" s="196">
        <v>25100</v>
      </c>
      <c r="I9" s="196">
        <v>40000</v>
      </c>
      <c r="J9" s="196">
        <f t="shared" si="2"/>
        <v>14900</v>
      </c>
    </row>
    <row r="10" spans="1:13" ht="17" thickBot="1" x14ac:dyDescent="0.25">
      <c r="A10" s="134">
        <v>8</v>
      </c>
      <c r="B10" s="258" t="s">
        <v>196</v>
      </c>
      <c r="C10" s="136">
        <v>12400</v>
      </c>
      <c r="D10" s="135" t="s">
        <v>194</v>
      </c>
      <c r="E10" s="135">
        <v>18</v>
      </c>
      <c r="F10" s="258" t="s">
        <v>197</v>
      </c>
      <c r="G10" s="259">
        <f t="shared" ref="G10" si="3">E10*C10</f>
        <v>223200</v>
      </c>
      <c r="H10" s="259">
        <v>53000</v>
      </c>
      <c r="I10" s="259">
        <v>60000</v>
      </c>
      <c r="J10" s="259">
        <f t="shared" ref="J10" si="4">I10-H10</f>
        <v>7000</v>
      </c>
    </row>
    <row r="11" spans="1:13" ht="17" thickBot="1" x14ac:dyDescent="0.25">
      <c r="A11" s="134">
        <v>9</v>
      </c>
      <c r="B11" s="258" t="s">
        <v>198</v>
      </c>
      <c r="C11" s="136">
        <v>12400</v>
      </c>
      <c r="D11" s="135" t="s">
        <v>194</v>
      </c>
      <c r="E11" s="135">
        <v>19</v>
      </c>
      <c r="F11" s="258" t="s">
        <v>199</v>
      </c>
      <c r="G11" s="196">
        <f t="shared" ref="G11:G43" si="5">E11*C11</f>
        <v>235600</v>
      </c>
      <c r="H11" s="196">
        <v>53000</v>
      </c>
      <c r="I11" s="196">
        <v>60000</v>
      </c>
      <c r="J11" s="196">
        <f t="shared" si="2"/>
        <v>7000</v>
      </c>
    </row>
    <row r="12" spans="1:13" ht="17" thickBot="1" x14ac:dyDescent="0.25">
      <c r="A12" s="134">
        <v>10</v>
      </c>
      <c r="B12" s="258" t="s">
        <v>198</v>
      </c>
      <c r="C12" s="136">
        <v>12400</v>
      </c>
      <c r="D12" s="135" t="s">
        <v>194</v>
      </c>
      <c r="E12" s="135">
        <v>19</v>
      </c>
      <c r="F12" s="258" t="s">
        <v>199</v>
      </c>
      <c r="G12" s="196">
        <f t="shared" si="5"/>
        <v>235600</v>
      </c>
      <c r="H12" s="196">
        <v>53000</v>
      </c>
      <c r="I12" s="196">
        <v>60000</v>
      </c>
      <c r="J12" s="196">
        <f t="shared" si="2"/>
        <v>7000</v>
      </c>
    </row>
    <row r="13" spans="1:13" ht="17" thickBot="1" x14ac:dyDescent="0.25">
      <c r="A13" s="134">
        <v>11</v>
      </c>
      <c r="B13" s="258" t="s">
        <v>198</v>
      </c>
      <c r="C13" s="136">
        <v>12400</v>
      </c>
      <c r="D13" s="135" t="s">
        <v>194</v>
      </c>
      <c r="E13" s="135">
        <v>19</v>
      </c>
      <c r="F13" s="258" t="s">
        <v>199</v>
      </c>
      <c r="G13" s="196">
        <f t="shared" si="5"/>
        <v>235600</v>
      </c>
      <c r="H13" s="196">
        <v>53000</v>
      </c>
      <c r="I13" s="196">
        <v>60000</v>
      </c>
      <c r="J13" s="196">
        <f t="shared" si="2"/>
        <v>7000</v>
      </c>
    </row>
    <row r="14" spans="1:13" ht="17" thickBot="1" x14ac:dyDescent="0.25">
      <c r="A14" s="134">
        <v>12</v>
      </c>
      <c r="B14" s="258" t="s">
        <v>198</v>
      </c>
      <c r="C14" s="136">
        <v>12400</v>
      </c>
      <c r="D14" s="135" t="s">
        <v>194</v>
      </c>
      <c r="E14" s="135">
        <v>19</v>
      </c>
      <c r="F14" s="258" t="s">
        <v>199</v>
      </c>
      <c r="G14" s="196">
        <f t="shared" si="5"/>
        <v>235600</v>
      </c>
      <c r="H14" s="196">
        <v>53000</v>
      </c>
      <c r="I14" s="196">
        <v>60000</v>
      </c>
      <c r="J14" s="196">
        <f t="shared" si="2"/>
        <v>7000</v>
      </c>
    </row>
    <row r="15" spans="1:13" ht="17" thickBot="1" x14ac:dyDescent="0.25">
      <c r="A15" s="134">
        <v>13</v>
      </c>
      <c r="B15" s="258" t="s">
        <v>198</v>
      </c>
      <c r="C15" s="136">
        <v>12400</v>
      </c>
      <c r="D15" s="135" t="s">
        <v>194</v>
      </c>
      <c r="E15" s="135">
        <v>19</v>
      </c>
      <c r="F15" s="258" t="s">
        <v>199</v>
      </c>
      <c r="G15" s="196">
        <f t="shared" si="5"/>
        <v>235600</v>
      </c>
      <c r="H15" s="196">
        <v>53000</v>
      </c>
      <c r="I15" s="196">
        <v>60000</v>
      </c>
      <c r="J15" s="196">
        <f t="shared" si="2"/>
        <v>7000</v>
      </c>
    </row>
    <row r="16" spans="1:13" ht="17" thickBot="1" x14ac:dyDescent="0.25">
      <c r="A16" s="134">
        <v>14</v>
      </c>
      <c r="B16" s="258" t="s">
        <v>198</v>
      </c>
      <c r="C16" s="136">
        <v>12400</v>
      </c>
      <c r="D16" s="135" t="s">
        <v>194</v>
      </c>
      <c r="E16" s="135">
        <v>19</v>
      </c>
      <c r="F16" s="258" t="s">
        <v>199</v>
      </c>
      <c r="G16" s="196">
        <f t="shared" si="5"/>
        <v>235600</v>
      </c>
      <c r="H16" s="196">
        <v>53000</v>
      </c>
      <c r="I16" s="196">
        <v>60000</v>
      </c>
      <c r="J16" s="196">
        <f t="shared" si="2"/>
        <v>7000</v>
      </c>
    </row>
    <row r="17" spans="1:10" ht="17" thickBot="1" x14ac:dyDescent="0.25">
      <c r="A17" s="134">
        <v>15</v>
      </c>
      <c r="B17" s="258" t="s">
        <v>198</v>
      </c>
      <c r="C17" s="136">
        <v>12400</v>
      </c>
      <c r="D17" s="135" t="s">
        <v>194</v>
      </c>
      <c r="E17" s="135">
        <v>19</v>
      </c>
      <c r="F17" s="258" t="s">
        <v>199</v>
      </c>
      <c r="G17" s="196">
        <f t="shared" si="5"/>
        <v>235600</v>
      </c>
      <c r="H17" s="196">
        <v>53000</v>
      </c>
      <c r="I17" s="196">
        <v>60000</v>
      </c>
      <c r="J17" s="196">
        <f t="shared" si="2"/>
        <v>7000</v>
      </c>
    </row>
    <row r="18" spans="1:10" ht="17" thickBot="1" x14ac:dyDescent="0.25">
      <c r="A18" s="134">
        <v>16</v>
      </c>
      <c r="B18" s="258" t="s">
        <v>198</v>
      </c>
      <c r="C18" s="136">
        <v>12400</v>
      </c>
      <c r="D18" s="135" t="s">
        <v>194</v>
      </c>
      <c r="E18" s="135">
        <v>19</v>
      </c>
      <c r="F18" s="258" t="s">
        <v>199</v>
      </c>
      <c r="G18" s="196">
        <f t="shared" si="5"/>
        <v>235600</v>
      </c>
      <c r="H18" s="196">
        <v>53000</v>
      </c>
      <c r="I18" s="196">
        <v>60000</v>
      </c>
      <c r="J18" s="196">
        <f t="shared" si="2"/>
        <v>7000</v>
      </c>
    </row>
    <row r="19" spans="1:10" ht="17" thickBot="1" x14ac:dyDescent="0.25">
      <c r="A19" s="134">
        <v>17</v>
      </c>
      <c r="B19" s="258" t="s">
        <v>198</v>
      </c>
      <c r="C19" s="136">
        <v>12400</v>
      </c>
      <c r="D19" s="135" t="s">
        <v>194</v>
      </c>
      <c r="E19" s="135">
        <v>19</v>
      </c>
      <c r="F19" s="258" t="s">
        <v>199</v>
      </c>
      <c r="G19" s="196">
        <f t="shared" si="5"/>
        <v>235600</v>
      </c>
      <c r="H19" s="196">
        <v>53000</v>
      </c>
      <c r="I19" s="196">
        <v>60000</v>
      </c>
      <c r="J19" s="196">
        <f t="shared" si="2"/>
        <v>7000</v>
      </c>
    </row>
    <row r="20" spans="1:10" ht="17" thickBot="1" x14ac:dyDescent="0.25">
      <c r="A20" s="134">
        <v>18</v>
      </c>
      <c r="B20" s="258" t="s">
        <v>198</v>
      </c>
      <c r="C20" s="136">
        <v>12400</v>
      </c>
      <c r="D20" s="135" t="s">
        <v>194</v>
      </c>
      <c r="E20" s="135">
        <v>19</v>
      </c>
      <c r="F20" s="258" t="s">
        <v>199</v>
      </c>
      <c r="G20" s="196">
        <f t="shared" si="5"/>
        <v>235600</v>
      </c>
      <c r="H20" s="196">
        <v>53000</v>
      </c>
      <c r="I20" s="196">
        <v>60000</v>
      </c>
      <c r="J20" s="196">
        <f t="shared" si="2"/>
        <v>7000</v>
      </c>
    </row>
    <row r="21" spans="1:10" ht="17" thickBot="1" x14ac:dyDescent="0.25">
      <c r="A21" s="134">
        <v>19</v>
      </c>
      <c r="B21" s="258" t="s">
        <v>198</v>
      </c>
      <c r="C21" s="136">
        <v>12400</v>
      </c>
      <c r="D21" s="135" t="s">
        <v>194</v>
      </c>
      <c r="E21" s="135">
        <v>19</v>
      </c>
      <c r="F21" s="258" t="s">
        <v>199</v>
      </c>
      <c r="G21" s="196">
        <f t="shared" si="5"/>
        <v>235600</v>
      </c>
      <c r="H21" s="196">
        <v>53000</v>
      </c>
      <c r="I21" s="196">
        <v>60000</v>
      </c>
      <c r="J21" s="196">
        <f t="shared" si="2"/>
        <v>7000</v>
      </c>
    </row>
    <row r="22" spans="1:10" ht="17" thickBot="1" x14ac:dyDescent="0.25">
      <c r="A22" s="134">
        <v>20</v>
      </c>
      <c r="B22" s="258" t="s">
        <v>198</v>
      </c>
      <c r="C22" s="136">
        <v>12400</v>
      </c>
      <c r="D22" s="135" t="s">
        <v>194</v>
      </c>
      <c r="E22" s="135">
        <v>19</v>
      </c>
      <c r="F22" s="258" t="s">
        <v>199</v>
      </c>
      <c r="G22" s="196">
        <f t="shared" si="5"/>
        <v>235600</v>
      </c>
      <c r="H22" s="196">
        <v>53000</v>
      </c>
      <c r="I22" s="196">
        <v>60000</v>
      </c>
      <c r="J22" s="196">
        <f t="shared" si="2"/>
        <v>7000</v>
      </c>
    </row>
    <row r="23" spans="1:10" ht="17" thickBot="1" x14ac:dyDescent="0.25">
      <c r="A23" s="134">
        <v>21</v>
      </c>
      <c r="B23" s="258" t="s">
        <v>198</v>
      </c>
      <c r="C23" s="136">
        <v>12400</v>
      </c>
      <c r="D23" s="135" t="s">
        <v>194</v>
      </c>
      <c r="E23" s="135">
        <v>19</v>
      </c>
      <c r="F23" s="258" t="s">
        <v>199</v>
      </c>
      <c r="G23" s="196">
        <f t="shared" si="5"/>
        <v>235600</v>
      </c>
      <c r="H23" s="196">
        <v>53000</v>
      </c>
      <c r="I23" s="196">
        <v>60000</v>
      </c>
      <c r="J23" s="196">
        <f t="shared" si="2"/>
        <v>7000</v>
      </c>
    </row>
    <row r="24" spans="1:10" ht="17" thickBot="1" x14ac:dyDescent="0.25">
      <c r="A24" s="134">
        <v>22</v>
      </c>
      <c r="B24" s="258" t="s">
        <v>198</v>
      </c>
      <c r="C24" s="136">
        <v>12400</v>
      </c>
      <c r="D24" s="135" t="s">
        <v>194</v>
      </c>
      <c r="E24" s="135">
        <v>19</v>
      </c>
      <c r="F24" s="258" t="s">
        <v>199</v>
      </c>
      <c r="G24" s="196">
        <f t="shared" si="5"/>
        <v>235600</v>
      </c>
      <c r="H24" s="196">
        <v>53000</v>
      </c>
      <c r="I24" s="196">
        <v>60000</v>
      </c>
      <c r="J24" s="196">
        <f t="shared" si="2"/>
        <v>7000</v>
      </c>
    </row>
    <row r="25" spans="1:10" ht="17" thickBot="1" x14ac:dyDescent="0.25">
      <c r="A25" s="134">
        <v>23</v>
      </c>
      <c r="B25" s="258" t="s">
        <v>198</v>
      </c>
      <c r="C25" s="136">
        <v>12400</v>
      </c>
      <c r="D25" s="135" t="s">
        <v>194</v>
      </c>
      <c r="E25" s="135">
        <v>19</v>
      </c>
      <c r="F25" s="258" t="s">
        <v>199</v>
      </c>
      <c r="G25" s="196">
        <f t="shared" si="5"/>
        <v>235600</v>
      </c>
      <c r="H25" s="196">
        <v>53000</v>
      </c>
      <c r="I25" s="196">
        <v>60000</v>
      </c>
      <c r="J25" s="196">
        <f t="shared" si="2"/>
        <v>7000</v>
      </c>
    </row>
    <row r="26" spans="1:10" ht="17" thickBot="1" x14ac:dyDescent="0.25">
      <c r="A26" s="134">
        <v>24</v>
      </c>
      <c r="B26" s="258" t="s">
        <v>198</v>
      </c>
      <c r="C26" s="136">
        <v>12400</v>
      </c>
      <c r="D26" s="135" t="s">
        <v>194</v>
      </c>
      <c r="E26" s="135">
        <v>19</v>
      </c>
      <c r="F26" s="258" t="s">
        <v>199</v>
      </c>
      <c r="G26" s="196">
        <f t="shared" si="5"/>
        <v>235600</v>
      </c>
      <c r="H26" s="196">
        <v>53000</v>
      </c>
      <c r="I26" s="196">
        <v>60000</v>
      </c>
      <c r="J26" s="196">
        <f t="shared" si="2"/>
        <v>7000</v>
      </c>
    </row>
    <row r="27" spans="1:10" ht="17" thickBot="1" x14ac:dyDescent="0.25">
      <c r="A27" s="134">
        <v>25</v>
      </c>
      <c r="B27" s="258" t="s">
        <v>198</v>
      </c>
      <c r="C27" s="136">
        <v>12400</v>
      </c>
      <c r="D27" s="135" t="s">
        <v>194</v>
      </c>
      <c r="E27" s="135">
        <v>19</v>
      </c>
      <c r="F27" s="258" t="s">
        <v>199</v>
      </c>
      <c r="G27" s="196">
        <f t="shared" si="5"/>
        <v>235600</v>
      </c>
      <c r="H27" s="196">
        <v>53000</v>
      </c>
      <c r="I27" s="196">
        <v>60000</v>
      </c>
      <c r="J27" s="196">
        <f t="shared" si="2"/>
        <v>7000</v>
      </c>
    </row>
    <row r="28" spans="1:10" ht="17" thickBot="1" x14ac:dyDescent="0.25">
      <c r="A28" s="134">
        <v>26</v>
      </c>
      <c r="B28" s="258" t="s">
        <v>198</v>
      </c>
      <c r="C28" s="136">
        <v>12400</v>
      </c>
      <c r="D28" s="135" t="s">
        <v>194</v>
      </c>
      <c r="E28" s="135">
        <v>19</v>
      </c>
      <c r="F28" s="258" t="s">
        <v>199</v>
      </c>
      <c r="G28" s="196">
        <f t="shared" si="5"/>
        <v>235600</v>
      </c>
      <c r="H28" s="196">
        <v>53000</v>
      </c>
      <c r="I28" s="196">
        <v>60000</v>
      </c>
      <c r="J28" s="196">
        <f t="shared" si="2"/>
        <v>7000</v>
      </c>
    </row>
    <row r="29" spans="1:10" ht="17" thickBot="1" x14ac:dyDescent="0.25">
      <c r="A29" s="134">
        <v>27</v>
      </c>
      <c r="B29" s="258" t="s">
        <v>198</v>
      </c>
      <c r="C29" s="136">
        <v>12400</v>
      </c>
      <c r="D29" s="135" t="s">
        <v>194</v>
      </c>
      <c r="E29" s="135">
        <v>19</v>
      </c>
      <c r="F29" s="258" t="s">
        <v>199</v>
      </c>
      <c r="G29" s="196">
        <f t="shared" si="5"/>
        <v>235600</v>
      </c>
      <c r="H29" s="196">
        <v>53000</v>
      </c>
      <c r="I29" s="196">
        <v>60000</v>
      </c>
      <c r="J29" s="196">
        <f t="shared" si="2"/>
        <v>7000</v>
      </c>
    </row>
    <row r="30" spans="1:10" ht="17" thickBot="1" x14ac:dyDescent="0.25">
      <c r="A30" s="134">
        <v>28</v>
      </c>
      <c r="B30" s="258" t="s">
        <v>198</v>
      </c>
      <c r="C30" s="136">
        <v>12400</v>
      </c>
      <c r="D30" s="135" t="s">
        <v>194</v>
      </c>
      <c r="E30" s="135">
        <v>19</v>
      </c>
      <c r="F30" s="258" t="s">
        <v>199</v>
      </c>
      <c r="G30" s="196">
        <f t="shared" si="5"/>
        <v>235600</v>
      </c>
      <c r="H30" s="196">
        <v>53000</v>
      </c>
      <c r="I30" s="196">
        <v>60000</v>
      </c>
      <c r="J30" s="196">
        <f t="shared" si="2"/>
        <v>7000</v>
      </c>
    </row>
    <row r="31" spans="1:10" ht="17" thickBot="1" x14ac:dyDescent="0.25">
      <c r="A31" s="134">
        <v>29</v>
      </c>
      <c r="B31" s="258" t="s">
        <v>198</v>
      </c>
      <c r="C31" s="136">
        <v>12400</v>
      </c>
      <c r="D31" s="135" t="s">
        <v>194</v>
      </c>
      <c r="E31" s="135">
        <v>19</v>
      </c>
      <c r="F31" s="258" t="s">
        <v>199</v>
      </c>
      <c r="G31" s="196">
        <f t="shared" si="5"/>
        <v>235600</v>
      </c>
      <c r="H31" s="196">
        <v>53000</v>
      </c>
      <c r="I31" s="196">
        <v>60000</v>
      </c>
      <c r="J31" s="196">
        <f t="shared" si="2"/>
        <v>7000</v>
      </c>
    </row>
    <row r="32" spans="1:10" ht="17" thickBot="1" x14ac:dyDescent="0.25">
      <c r="A32" s="134">
        <v>30</v>
      </c>
      <c r="B32" s="258" t="s">
        <v>198</v>
      </c>
      <c r="C32" s="136">
        <v>12400</v>
      </c>
      <c r="D32" s="135" t="s">
        <v>194</v>
      </c>
      <c r="E32" s="135">
        <v>19</v>
      </c>
      <c r="F32" s="258" t="s">
        <v>199</v>
      </c>
      <c r="G32" s="196">
        <f t="shared" si="5"/>
        <v>235600</v>
      </c>
      <c r="H32" s="196">
        <v>53000</v>
      </c>
      <c r="I32" s="196">
        <v>60000</v>
      </c>
      <c r="J32" s="196">
        <f t="shared" si="2"/>
        <v>7000</v>
      </c>
    </row>
    <row r="33" spans="1:10" ht="17" thickBot="1" x14ac:dyDescent="0.25">
      <c r="A33" s="134">
        <v>31</v>
      </c>
      <c r="B33" s="258" t="s">
        <v>198</v>
      </c>
      <c r="C33" s="136">
        <v>12400</v>
      </c>
      <c r="D33" s="135" t="s">
        <v>194</v>
      </c>
      <c r="E33" s="135">
        <v>19</v>
      </c>
      <c r="F33" s="258" t="s">
        <v>199</v>
      </c>
      <c r="G33" s="196">
        <f t="shared" si="5"/>
        <v>235600</v>
      </c>
      <c r="H33" s="196">
        <v>53000</v>
      </c>
      <c r="I33" s="196">
        <v>60000</v>
      </c>
      <c r="J33" s="196">
        <f t="shared" si="2"/>
        <v>7000</v>
      </c>
    </row>
    <row r="34" spans="1:10" ht="17" thickBot="1" x14ac:dyDescent="0.25">
      <c r="A34" s="134">
        <v>32</v>
      </c>
      <c r="B34" s="258" t="s">
        <v>198</v>
      </c>
      <c r="C34" s="136">
        <v>12400</v>
      </c>
      <c r="D34" s="135" t="s">
        <v>194</v>
      </c>
      <c r="E34" s="135">
        <v>19</v>
      </c>
      <c r="F34" s="258" t="s">
        <v>199</v>
      </c>
      <c r="G34" s="196">
        <f t="shared" si="5"/>
        <v>235600</v>
      </c>
      <c r="H34" s="196">
        <v>53000</v>
      </c>
      <c r="I34" s="196">
        <v>60000</v>
      </c>
      <c r="J34" s="196">
        <f t="shared" si="2"/>
        <v>7000</v>
      </c>
    </row>
    <row r="35" spans="1:10" ht="17" thickBot="1" x14ac:dyDescent="0.25">
      <c r="A35" s="134">
        <v>33</v>
      </c>
      <c r="B35" s="258" t="s">
        <v>198</v>
      </c>
      <c r="C35" s="136">
        <v>12400</v>
      </c>
      <c r="D35" s="135" t="s">
        <v>194</v>
      </c>
      <c r="E35" s="135">
        <v>19</v>
      </c>
      <c r="F35" s="258" t="s">
        <v>199</v>
      </c>
      <c r="G35" s="196">
        <f t="shared" si="5"/>
        <v>235600</v>
      </c>
      <c r="H35" s="196">
        <v>53000</v>
      </c>
      <c r="I35" s="196">
        <v>60000</v>
      </c>
      <c r="J35" s="196">
        <f t="shared" si="2"/>
        <v>7000</v>
      </c>
    </row>
    <row r="36" spans="1:10" ht="17" thickBot="1" x14ac:dyDescent="0.25">
      <c r="A36" s="134">
        <v>34</v>
      </c>
      <c r="B36" s="258" t="s">
        <v>198</v>
      </c>
      <c r="C36" s="136">
        <v>12400</v>
      </c>
      <c r="D36" s="135" t="s">
        <v>194</v>
      </c>
      <c r="E36" s="135">
        <v>19</v>
      </c>
      <c r="F36" s="258" t="s">
        <v>199</v>
      </c>
      <c r="G36" s="196">
        <f t="shared" si="5"/>
        <v>235600</v>
      </c>
      <c r="H36" s="196">
        <v>53000</v>
      </c>
      <c r="I36" s="196">
        <v>60000</v>
      </c>
      <c r="J36" s="196">
        <f t="shared" si="2"/>
        <v>7000</v>
      </c>
    </row>
    <row r="37" spans="1:10" ht="17" thickBot="1" x14ac:dyDescent="0.25">
      <c r="A37" s="134">
        <v>35</v>
      </c>
      <c r="B37" s="258" t="s">
        <v>198</v>
      </c>
      <c r="C37" s="136">
        <v>12400</v>
      </c>
      <c r="D37" s="135" t="s">
        <v>194</v>
      </c>
      <c r="E37" s="135">
        <v>19</v>
      </c>
      <c r="F37" s="258" t="s">
        <v>199</v>
      </c>
      <c r="G37" s="196">
        <f t="shared" si="5"/>
        <v>235600</v>
      </c>
      <c r="H37" s="196">
        <v>53000</v>
      </c>
      <c r="I37" s="196">
        <v>60000</v>
      </c>
      <c r="J37" s="196">
        <f t="shared" si="2"/>
        <v>7000</v>
      </c>
    </row>
    <row r="38" spans="1:10" ht="17" thickBot="1" x14ac:dyDescent="0.25">
      <c r="A38" s="134">
        <v>36</v>
      </c>
      <c r="B38" s="258" t="s">
        <v>198</v>
      </c>
      <c r="C38" s="136">
        <v>12400</v>
      </c>
      <c r="D38" s="135" t="s">
        <v>194</v>
      </c>
      <c r="E38" s="135">
        <v>19</v>
      </c>
      <c r="F38" s="258" t="s">
        <v>199</v>
      </c>
      <c r="G38" s="196">
        <f t="shared" si="5"/>
        <v>235600</v>
      </c>
      <c r="H38" s="196">
        <v>53000</v>
      </c>
      <c r="I38" s="196">
        <v>60000</v>
      </c>
      <c r="J38" s="196">
        <f t="shared" si="2"/>
        <v>7000</v>
      </c>
    </row>
    <row r="39" spans="1:10" ht="17" thickBot="1" x14ac:dyDescent="0.25">
      <c r="A39" s="134">
        <v>37</v>
      </c>
      <c r="B39" s="258" t="s">
        <v>198</v>
      </c>
      <c r="C39" s="136">
        <v>12400</v>
      </c>
      <c r="D39" s="135" t="s">
        <v>194</v>
      </c>
      <c r="E39" s="135">
        <v>19</v>
      </c>
      <c r="F39" s="258" t="s">
        <v>199</v>
      </c>
      <c r="G39" s="196">
        <f t="shared" si="5"/>
        <v>235600</v>
      </c>
      <c r="H39" s="196">
        <v>53000</v>
      </c>
      <c r="I39" s="196">
        <v>60000</v>
      </c>
      <c r="J39" s="196">
        <f t="shared" si="2"/>
        <v>7000</v>
      </c>
    </row>
    <row r="40" spans="1:10" ht="17" thickBot="1" x14ac:dyDescent="0.25">
      <c r="A40" s="134">
        <v>38</v>
      </c>
      <c r="B40" s="258" t="s">
        <v>198</v>
      </c>
      <c r="C40" s="136">
        <v>12400</v>
      </c>
      <c r="D40" s="135" t="s">
        <v>194</v>
      </c>
      <c r="E40" s="135">
        <v>19</v>
      </c>
      <c r="F40" s="258" t="s">
        <v>199</v>
      </c>
      <c r="G40" s="196">
        <f t="shared" si="5"/>
        <v>235600</v>
      </c>
      <c r="H40" s="196">
        <v>53000</v>
      </c>
      <c r="I40" s="196">
        <v>60000</v>
      </c>
      <c r="J40" s="196">
        <f t="shared" si="2"/>
        <v>7000</v>
      </c>
    </row>
    <row r="41" spans="1:10" ht="17" thickBot="1" x14ac:dyDescent="0.25">
      <c r="A41" s="134">
        <v>39</v>
      </c>
      <c r="B41" s="258" t="s">
        <v>198</v>
      </c>
      <c r="C41" s="136">
        <v>12400</v>
      </c>
      <c r="D41" s="135" t="s">
        <v>194</v>
      </c>
      <c r="E41" s="135">
        <v>19</v>
      </c>
      <c r="F41" s="258" t="s">
        <v>199</v>
      </c>
      <c r="G41" s="196">
        <f t="shared" si="5"/>
        <v>235600</v>
      </c>
      <c r="H41" s="196">
        <v>53000</v>
      </c>
      <c r="I41" s="196">
        <v>60000</v>
      </c>
      <c r="J41" s="196">
        <f t="shared" si="2"/>
        <v>7000</v>
      </c>
    </row>
    <row r="42" spans="1:10" ht="17" thickBot="1" x14ac:dyDescent="0.25">
      <c r="A42" s="134">
        <v>40</v>
      </c>
      <c r="B42" s="258" t="s">
        <v>198</v>
      </c>
      <c r="C42" s="136">
        <v>12400</v>
      </c>
      <c r="D42" s="135" t="s">
        <v>194</v>
      </c>
      <c r="E42" s="135">
        <v>19</v>
      </c>
      <c r="F42" s="258" t="s">
        <v>199</v>
      </c>
      <c r="G42" s="196">
        <f t="shared" si="5"/>
        <v>235600</v>
      </c>
      <c r="H42" s="196">
        <v>53000</v>
      </c>
      <c r="I42" s="196">
        <v>60000</v>
      </c>
      <c r="J42" s="196">
        <f t="shared" si="2"/>
        <v>7000</v>
      </c>
    </row>
    <row r="43" spans="1:10" ht="17" thickBot="1" x14ac:dyDescent="0.25">
      <c r="A43" s="134">
        <v>41</v>
      </c>
      <c r="B43" s="258" t="s">
        <v>196</v>
      </c>
      <c r="C43" s="136">
        <v>12400</v>
      </c>
      <c r="D43" s="135" t="s">
        <v>194</v>
      </c>
      <c r="E43" s="135">
        <v>18</v>
      </c>
      <c r="F43" s="258" t="s">
        <v>197</v>
      </c>
      <c r="G43" s="259">
        <f t="shared" si="5"/>
        <v>223200</v>
      </c>
      <c r="H43" s="259">
        <v>53000</v>
      </c>
      <c r="I43" s="259">
        <v>60000</v>
      </c>
      <c r="J43" s="259">
        <f t="shared" si="2"/>
        <v>7000</v>
      </c>
    </row>
    <row r="44" spans="1:10" ht="17" thickBot="1" x14ac:dyDescent="0.25">
      <c r="A44" s="134">
        <v>42</v>
      </c>
      <c r="B44" s="258" t="s">
        <v>196</v>
      </c>
      <c r="C44" s="136">
        <v>12400</v>
      </c>
      <c r="D44" s="135" t="s">
        <v>194</v>
      </c>
      <c r="E44" s="135">
        <v>18</v>
      </c>
      <c r="F44" s="258" t="s">
        <v>197</v>
      </c>
      <c r="G44" s="259">
        <f t="shared" ref="G44:G48" si="6">E44*C44</f>
        <v>223200</v>
      </c>
      <c r="H44" s="259">
        <v>53000</v>
      </c>
      <c r="I44" s="259">
        <v>60000</v>
      </c>
      <c r="J44" s="259">
        <f t="shared" si="2"/>
        <v>7000</v>
      </c>
    </row>
    <row r="45" spans="1:10" ht="17" thickBot="1" x14ac:dyDescent="0.25">
      <c r="A45" s="134">
        <v>43</v>
      </c>
      <c r="B45" s="258" t="s">
        <v>196</v>
      </c>
      <c r="C45" s="136">
        <v>12400</v>
      </c>
      <c r="D45" s="135" t="s">
        <v>194</v>
      </c>
      <c r="E45" s="135">
        <v>18</v>
      </c>
      <c r="F45" s="258" t="s">
        <v>197</v>
      </c>
      <c r="G45" s="259">
        <f t="shared" si="6"/>
        <v>223200</v>
      </c>
      <c r="H45" s="259">
        <v>53000</v>
      </c>
      <c r="I45" s="259">
        <v>60000</v>
      </c>
      <c r="J45" s="259">
        <f t="shared" si="2"/>
        <v>7000</v>
      </c>
    </row>
    <row r="46" spans="1:10" ht="17" thickBot="1" x14ac:dyDescent="0.25">
      <c r="A46" s="134">
        <v>44</v>
      </c>
      <c r="B46" s="135" t="s">
        <v>193</v>
      </c>
      <c r="C46" s="136">
        <v>12400</v>
      </c>
      <c r="D46" s="135" t="s">
        <v>194</v>
      </c>
      <c r="E46" s="135">
        <v>14</v>
      </c>
      <c r="F46" s="135" t="s">
        <v>195</v>
      </c>
      <c r="G46" s="196">
        <f t="shared" si="6"/>
        <v>173600</v>
      </c>
      <c r="H46" s="196">
        <v>25100</v>
      </c>
      <c r="I46" s="196">
        <v>40000</v>
      </c>
      <c r="J46" s="196">
        <f t="shared" ref="J46:J48" si="7">I46-H46</f>
        <v>14900</v>
      </c>
    </row>
    <row r="47" spans="1:10" ht="17" thickBot="1" x14ac:dyDescent="0.25">
      <c r="A47" s="134">
        <v>45</v>
      </c>
      <c r="B47" s="135" t="s">
        <v>193</v>
      </c>
      <c r="C47" s="136">
        <v>12400</v>
      </c>
      <c r="D47" s="135" t="s">
        <v>194</v>
      </c>
      <c r="E47" s="135">
        <v>14</v>
      </c>
      <c r="F47" s="135" t="s">
        <v>195</v>
      </c>
      <c r="G47" s="196">
        <f t="shared" si="6"/>
        <v>173600</v>
      </c>
      <c r="H47" s="196">
        <v>25100</v>
      </c>
      <c r="I47" s="196">
        <v>40000</v>
      </c>
      <c r="J47" s="196">
        <f t="shared" si="7"/>
        <v>14900</v>
      </c>
    </row>
    <row r="48" spans="1:10" ht="17" thickBot="1" x14ac:dyDescent="0.25">
      <c r="A48" s="134">
        <v>46</v>
      </c>
      <c r="B48" s="135" t="s">
        <v>193</v>
      </c>
      <c r="C48" s="136">
        <v>12400</v>
      </c>
      <c r="D48" s="135" t="s">
        <v>194</v>
      </c>
      <c r="E48" s="135">
        <v>14</v>
      </c>
      <c r="F48" s="135" t="s">
        <v>195</v>
      </c>
      <c r="G48" s="196">
        <f t="shared" si="6"/>
        <v>173600</v>
      </c>
      <c r="H48" s="196">
        <v>25100</v>
      </c>
      <c r="I48" s="196">
        <v>40000</v>
      </c>
      <c r="J48" s="196">
        <f t="shared" si="7"/>
        <v>14900</v>
      </c>
    </row>
    <row r="49" spans="1:10" ht="17" thickBot="1" x14ac:dyDescent="0.25">
      <c r="A49" s="134">
        <v>47</v>
      </c>
      <c r="B49" s="135" t="s">
        <v>193</v>
      </c>
      <c r="C49" s="136">
        <v>12400</v>
      </c>
      <c r="D49" s="135" t="s">
        <v>194</v>
      </c>
      <c r="E49" s="135">
        <v>14</v>
      </c>
      <c r="F49" s="135" t="s">
        <v>195</v>
      </c>
      <c r="G49" s="196">
        <f t="shared" ref="G49:G52" si="8">E49*C49</f>
        <v>173600</v>
      </c>
      <c r="H49" s="196">
        <v>25100</v>
      </c>
      <c r="I49" s="196">
        <v>40000</v>
      </c>
      <c r="J49" s="196">
        <f t="shared" ref="J49:J52" si="9">I49-H49</f>
        <v>14900</v>
      </c>
    </row>
    <row r="50" spans="1:10" ht="17" thickBot="1" x14ac:dyDescent="0.25">
      <c r="A50" s="134">
        <v>48</v>
      </c>
      <c r="B50" s="135" t="s">
        <v>193</v>
      </c>
      <c r="C50" s="136">
        <v>12400</v>
      </c>
      <c r="D50" s="135" t="s">
        <v>194</v>
      </c>
      <c r="E50" s="135">
        <v>14</v>
      </c>
      <c r="F50" s="135" t="s">
        <v>195</v>
      </c>
      <c r="G50" s="196">
        <f t="shared" si="8"/>
        <v>173600</v>
      </c>
      <c r="H50" s="196">
        <v>25100</v>
      </c>
      <c r="I50" s="196">
        <v>40000</v>
      </c>
      <c r="J50" s="196">
        <f t="shared" si="9"/>
        <v>14900</v>
      </c>
    </row>
    <row r="51" spans="1:10" ht="17" thickBot="1" x14ac:dyDescent="0.25">
      <c r="A51" s="134">
        <v>49</v>
      </c>
      <c r="B51" s="135" t="s">
        <v>193</v>
      </c>
      <c r="C51" s="136">
        <v>12400</v>
      </c>
      <c r="D51" s="135" t="s">
        <v>194</v>
      </c>
      <c r="E51" s="135">
        <v>14</v>
      </c>
      <c r="F51" s="135" t="s">
        <v>195</v>
      </c>
      <c r="G51" s="196">
        <f t="shared" si="8"/>
        <v>173600</v>
      </c>
      <c r="H51" s="196">
        <v>25100</v>
      </c>
      <c r="I51" s="196">
        <v>40000</v>
      </c>
      <c r="J51" s="196">
        <f t="shared" si="9"/>
        <v>14900</v>
      </c>
    </row>
    <row r="52" spans="1:10" ht="17" thickBot="1" x14ac:dyDescent="0.25">
      <c r="A52" s="134">
        <v>50</v>
      </c>
      <c r="B52" s="135" t="s">
        <v>193</v>
      </c>
      <c r="C52" s="136">
        <v>12400</v>
      </c>
      <c r="D52" s="135" t="s">
        <v>194</v>
      </c>
      <c r="E52" s="135">
        <v>14</v>
      </c>
      <c r="F52" s="135" t="s">
        <v>195</v>
      </c>
      <c r="G52" s="196">
        <f t="shared" si="8"/>
        <v>173600</v>
      </c>
      <c r="H52" s="196">
        <v>25100</v>
      </c>
      <c r="I52" s="196">
        <v>40000</v>
      </c>
      <c r="J52" s="196">
        <f t="shared" si="9"/>
        <v>14900</v>
      </c>
    </row>
    <row r="53" spans="1:10" ht="17" thickBot="1" x14ac:dyDescent="0.25">
      <c r="A53" s="134">
        <v>51</v>
      </c>
      <c r="B53" s="135" t="s">
        <v>193</v>
      </c>
      <c r="C53" s="136">
        <v>12400</v>
      </c>
      <c r="D53" s="135" t="s">
        <v>194</v>
      </c>
      <c r="E53" s="135">
        <v>14</v>
      </c>
      <c r="F53" s="135" t="s">
        <v>195</v>
      </c>
      <c r="G53" s="196">
        <f t="shared" ref="G53:G60" si="10">E53*C53</f>
        <v>173600</v>
      </c>
      <c r="H53" s="196">
        <v>25100</v>
      </c>
      <c r="I53" s="196">
        <v>40000</v>
      </c>
      <c r="J53" s="196">
        <f t="shared" ref="J53:J60" si="11">I53-H53</f>
        <v>14900</v>
      </c>
    </row>
    <row r="54" spans="1:10" ht="17" thickBot="1" x14ac:dyDescent="0.25">
      <c r="A54" s="134">
        <v>52</v>
      </c>
      <c r="B54" s="135" t="s">
        <v>193</v>
      </c>
      <c r="C54" s="136">
        <v>12400</v>
      </c>
      <c r="D54" s="135" t="s">
        <v>194</v>
      </c>
      <c r="E54" s="135">
        <v>14</v>
      </c>
      <c r="F54" s="135" t="s">
        <v>195</v>
      </c>
      <c r="G54" s="196">
        <f t="shared" si="10"/>
        <v>173600</v>
      </c>
      <c r="H54" s="196">
        <v>25100</v>
      </c>
      <c r="I54" s="196">
        <v>40000</v>
      </c>
      <c r="J54" s="196">
        <f t="shared" si="11"/>
        <v>14900</v>
      </c>
    </row>
    <row r="55" spans="1:10" ht="17" thickBot="1" x14ac:dyDescent="0.25">
      <c r="A55" s="134">
        <v>53</v>
      </c>
      <c r="B55" s="135" t="s">
        <v>193</v>
      </c>
      <c r="C55" s="136">
        <v>12400</v>
      </c>
      <c r="D55" s="135" t="s">
        <v>194</v>
      </c>
      <c r="E55" s="135">
        <v>14</v>
      </c>
      <c r="F55" s="135" t="s">
        <v>195</v>
      </c>
      <c r="G55" s="196">
        <f t="shared" si="10"/>
        <v>173600</v>
      </c>
      <c r="H55" s="196">
        <v>25100</v>
      </c>
      <c r="I55" s="196">
        <v>40000</v>
      </c>
      <c r="J55" s="196">
        <f t="shared" si="11"/>
        <v>14900</v>
      </c>
    </row>
    <row r="56" spans="1:10" ht="17" thickBot="1" x14ac:dyDescent="0.25">
      <c r="A56" s="134">
        <v>54</v>
      </c>
      <c r="B56" s="135" t="s">
        <v>193</v>
      </c>
      <c r="C56" s="136">
        <v>12400</v>
      </c>
      <c r="D56" s="135" t="s">
        <v>194</v>
      </c>
      <c r="E56" s="135">
        <v>14</v>
      </c>
      <c r="F56" s="135" t="s">
        <v>195</v>
      </c>
      <c r="G56" s="196">
        <f t="shared" si="10"/>
        <v>173600</v>
      </c>
      <c r="H56" s="196">
        <v>25100</v>
      </c>
      <c r="I56" s="196">
        <v>40000</v>
      </c>
      <c r="J56" s="196">
        <f t="shared" si="11"/>
        <v>14900</v>
      </c>
    </row>
    <row r="57" spans="1:10" ht="17" thickBot="1" x14ac:dyDescent="0.25">
      <c r="A57" s="134">
        <v>55</v>
      </c>
      <c r="B57" s="135" t="s">
        <v>193</v>
      </c>
      <c r="C57" s="136">
        <v>12400</v>
      </c>
      <c r="D57" s="135" t="s">
        <v>194</v>
      </c>
      <c r="E57" s="135">
        <v>14</v>
      </c>
      <c r="F57" s="135" t="s">
        <v>195</v>
      </c>
      <c r="G57" s="196">
        <f t="shared" si="10"/>
        <v>173600</v>
      </c>
      <c r="H57" s="196">
        <v>25100</v>
      </c>
      <c r="I57" s="196">
        <v>40000</v>
      </c>
      <c r="J57" s="196">
        <f t="shared" si="11"/>
        <v>14900</v>
      </c>
    </row>
    <row r="58" spans="1:10" ht="17" thickBot="1" x14ac:dyDescent="0.25">
      <c r="A58" s="134">
        <v>56</v>
      </c>
      <c r="B58" s="135" t="s">
        <v>193</v>
      </c>
      <c r="C58" s="136">
        <v>12400</v>
      </c>
      <c r="D58" s="135" t="s">
        <v>194</v>
      </c>
      <c r="E58" s="135">
        <v>14</v>
      </c>
      <c r="F58" s="135" t="s">
        <v>195</v>
      </c>
      <c r="G58" s="196">
        <f t="shared" si="10"/>
        <v>173600</v>
      </c>
      <c r="H58" s="196">
        <v>25100</v>
      </c>
      <c r="I58" s="196">
        <v>40000</v>
      </c>
      <c r="J58" s="196">
        <f t="shared" si="11"/>
        <v>14900</v>
      </c>
    </row>
    <row r="59" spans="1:10" ht="17" thickBot="1" x14ac:dyDescent="0.25">
      <c r="A59" s="134">
        <v>57</v>
      </c>
      <c r="B59" s="135" t="s">
        <v>193</v>
      </c>
      <c r="C59" s="136">
        <v>12400</v>
      </c>
      <c r="D59" s="135" t="s">
        <v>194</v>
      </c>
      <c r="E59" s="135">
        <v>14</v>
      </c>
      <c r="F59" s="135" t="s">
        <v>195</v>
      </c>
      <c r="G59" s="196">
        <f t="shared" si="10"/>
        <v>173600</v>
      </c>
      <c r="H59" s="196">
        <v>25100</v>
      </c>
      <c r="I59" s="196">
        <v>40000</v>
      </c>
      <c r="J59" s="196">
        <f t="shared" si="11"/>
        <v>14900</v>
      </c>
    </row>
    <row r="60" spans="1:10" ht="17" thickBot="1" x14ac:dyDescent="0.25">
      <c r="A60" s="134">
        <v>58</v>
      </c>
      <c r="B60" s="135" t="s">
        <v>193</v>
      </c>
      <c r="C60" s="136">
        <v>12400</v>
      </c>
      <c r="D60" s="135" t="s">
        <v>194</v>
      </c>
      <c r="E60" s="135">
        <v>14</v>
      </c>
      <c r="F60" s="135" t="s">
        <v>195</v>
      </c>
      <c r="G60" s="196">
        <f t="shared" si="10"/>
        <v>173600</v>
      </c>
      <c r="H60" s="196">
        <v>25100</v>
      </c>
      <c r="I60" s="196">
        <v>40000</v>
      </c>
      <c r="J60" s="196">
        <f t="shared" si="11"/>
        <v>14900</v>
      </c>
    </row>
    <row r="61" spans="1:10" ht="17" thickBot="1" x14ac:dyDescent="0.25">
      <c r="A61" s="134">
        <v>59</v>
      </c>
      <c r="B61" s="135" t="s">
        <v>193</v>
      </c>
      <c r="C61" s="136">
        <v>12400</v>
      </c>
      <c r="D61" s="135" t="s">
        <v>194</v>
      </c>
      <c r="E61" s="135">
        <v>14</v>
      </c>
      <c r="F61" s="135" t="s">
        <v>195</v>
      </c>
      <c r="G61" s="196">
        <f t="shared" ref="G61:G69" si="12">E61*C61</f>
        <v>173600</v>
      </c>
      <c r="H61" s="196">
        <v>25100</v>
      </c>
      <c r="I61" s="196">
        <v>40000</v>
      </c>
      <c r="J61" s="196">
        <f t="shared" ref="J61:J69" si="13">I61-H61</f>
        <v>14900</v>
      </c>
    </row>
    <row r="62" spans="1:10" ht="17" thickBot="1" x14ac:dyDescent="0.25">
      <c r="A62" s="134">
        <v>60</v>
      </c>
      <c r="B62" s="135" t="s">
        <v>193</v>
      </c>
      <c r="C62" s="136">
        <v>12400</v>
      </c>
      <c r="D62" s="135" t="s">
        <v>194</v>
      </c>
      <c r="E62" s="135">
        <v>14</v>
      </c>
      <c r="F62" s="135" t="s">
        <v>195</v>
      </c>
      <c r="G62" s="196">
        <f t="shared" si="12"/>
        <v>173600</v>
      </c>
      <c r="H62" s="196">
        <v>25100</v>
      </c>
      <c r="I62" s="196">
        <v>40000</v>
      </c>
      <c r="J62" s="196">
        <f t="shared" si="13"/>
        <v>14900</v>
      </c>
    </row>
    <row r="63" spans="1:10" ht="17" thickBot="1" x14ac:dyDescent="0.25">
      <c r="A63" s="134">
        <v>61</v>
      </c>
      <c r="B63" s="135" t="s">
        <v>193</v>
      </c>
      <c r="C63" s="136">
        <v>12400</v>
      </c>
      <c r="D63" s="135" t="s">
        <v>194</v>
      </c>
      <c r="E63" s="135">
        <v>14</v>
      </c>
      <c r="F63" s="135" t="s">
        <v>195</v>
      </c>
      <c r="G63" s="196">
        <f t="shared" si="12"/>
        <v>173600</v>
      </c>
      <c r="H63" s="196">
        <v>25100</v>
      </c>
      <c r="I63" s="196">
        <v>40000</v>
      </c>
      <c r="J63" s="196">
        <f t="shared" si="13"/>
        <v>14900</v>
      </c>
    </row>
    <row r="64" spans="1:10" ht="17" thickBot="1" x14ac:dyDescent="0.25">
      <c r="A64" s="134">
        <v>62</v>
      </c>
      <c r="B64" s="135" t="s">
        <v>193</v>
      </c>
      <c r="C64" s="136">
        <v>12400</v>
      </c>
      <c r="D64" s="135" t="s">
        <v>194</v>
      </c>
      <c r="E64" s="135">
        <v>14</v>
      </c>
      <c r="F64" s="135" t="s">
        <v>195</v>
      </c>
      <c r="G64" s="196">
        <f t="shared" si="12"/>
        <v>173600</v>
      </c>
      <c r="H64" s="196">
        <v>25100</v>
      </c>
      <c r="I64" s="196">
        <v>40000</v>
      </c>
      <c r="J64" s="196">
        <f t="shared" si="13"/>
        <v>14900</v>
      </c>
    </row>
    <row r="65" spans="1:10" ht="17" thickBot="1" x14ac:dyDescent="0.25">
      <c r="A65" s="134">
        <v>63</v>
      </c>
      <c r="B65" s="135" t="s">
        <v>193</v>
      </c>
      <c r="C65" s="136">
        <v>12400</v>
      </c>
      <c r="D65" s="135" t="s">
        <v>194</v>
      </c>
      <c r="E65" s="135">
        <v>14</v>
      </c>
      <c r="F65" s="135" t="s">
        <v>195</v>
      </c>
      <c r="G65" s="196">
        <f t="shared" si="12"/>
        <v>173600</v>
      </c>
      <c r="H65" s="196">
        <v>25100</v>
      </c>
      <c r="I65" s="196">
        <v>40000</v>
      </c>
      <c r="J65" s="196">
        <f t="shared" si="13"/>
        <v>14900</v>
      </c>
    </row>
    <row r="66" spans="1:10" ht="17" thickBot="1" x14ac:dyDescent="0.25">
      <c r="A66" s="134">
        <v>64</v>
      </c>
      <c r="B66" s="135" t="s">
        <v>193</v>
      </c>
      <c r="C66" s="136">
        <v>12400</v>
      </c>
      <c r="D66" s="135" t="s">
        <v>194</v>
      </c>
      <c r="E66" s="135">
        <v>14</v>
      </c>
      <c r="F66" s="135" t="s">
        <v>195</v>
      </c>
      <c r="G66" s="196">
        <f t="shared" si="12"/>
        <v>173600</v>
      </c>
      <c r="H66" s="196">
        <v>25100</v>
      </c>
      <c r="I66" s="196">
        <v>40000</v>
      </c>
      <c r="J66" s="196">
        <f t="shared" si="13"/>
        <v>14900</v>
      </c>
    </row>
    <row r="67" spans="1:10" ht="17" thickBot="1" x14ac:dyDescent="0.25">
      <c r="A67" s="134">
        <v>65</v>
      </c>
      <c r="B67" s="135" t="s">
        <v>193</v>
      </c>
      <c r="C67" s="136">
        <v>12400</v>
      </c>
      <c r="D67" s="135" t="s">
        <v>194</v>
      </c>
      <c r="E67" s="135">
        <v>14</v>
      </c>
      <c r="F67" s="135" t="s">
        <v>195</v>
      </c>
      <c r="G67" s="196">
        <f t="shared" si="12"/>
        <v>173600</v>
      </c>
      <c r="H67" s="196">
        <v>25100</v>
      </c>
      <c r="I67" s="196">
        <v>40000</v>
      </c>
      <c r="J67" s="196">
        <f t="shared" si="13"/>
        <v>14900</v>
      </c>
    </row>
    <row r="68" spans="1:10" ht="17" thickBot="1" x14ac:dyDescent="0.25">
      <c r="A68" s="134">
        <v>66</v>
      </c>
      <c r="B68" s="135" t="s">
        <v>193</v>
      </c>
      <c r="C68" s="136">
        <v>12400</v>
      </c>
      <c r="D68" s="135" t="s">
        <v>194</v>
      </c>
      <c r="E68" s="135">
        <v>14</v>
      </c>
      <c r="F68" s="135" t="s">
        <v>195</v>
      </c>
      <c r="G68" s="196">
        <f t="shared" si="12"/>
        <v>173600</v>
      </c>
      <c r="H68" s="196">
        <v>25100</v>
      </c>
      <c r="I68" s="196">
        <v>40000</v>
      </c>
      <c r="J68" s="196">
        <f t="shared" si="13"/>
        <v>14900</v>
      </c>
    </row>
    <row r="69" spans="1:10" ht="17" thickBot="1" x14ac:dyDescent="0.25">
      <c r="A69" s="134">
        <v>67</v>
      </c>
      <c r="B69" s="135" t="s">
        <v>193</v>
      </c>
      <c r="C69" s="136">
        <v>12400</v>
      </c>
      <c r="D69" s="135" t="s">
        <v>194</v>
      </c>
      <c r="E69" s="135">
        <v>14</v>
      </c>
      <c r="F69" s="135" t="s">
        <v>195</v>
      </c>
      <c r="G69" s="196">
        <f t="shared" si="12"/>
        <v>173600</v>
      </c>
      <c r="H69" s="196">
        <v>25100</v>
      </c>
      <c r="I69" s="196">
        <v>40000</v>
      </c>
      <c r="J69" s="196">
        <f t="shared" si="13"/>
        <v>14900</v>
      </c>
    </row>
    <row r="70" spans="1:10" ht="17" thickBot="1" x14ac:dyDescent="0.25">
      <c r="A70" s="134">
        <v>68</v>
      </c>
      <c r="B70" s="135" t="s">
        <v>193</v>
      </c>
      <c r="C70" s="136">
        <v>12400</v>
      </c>
      <c r="D70" s="135" t="s">
        <v>194</v>
      </c>
      <c r="E70" s="135">
        <v>14</v>
      </c>
      <c r="F70" s="135" t="s">
        <v>195</v>
      </c>
      <c r="G70" s="196">
        <f t="shared" ref="G70:G75" si="14">E70*C70</f>
        <v>173600</v>
      </c>
      <c r="H70" s="196">
        <v>25100</v>
      </c>
      <c r="I70" s="196">
        <v>40000</v>
      </c>
      <c r="J70" s="196">
        <f t="shared" ref="J70:J75" si="15">I70-H70</f>
        <v>14900</v>
      </c>
    </row>
    <row r="71" spans="1:10" ht="17" thickBot="1" x14ac:dyDescent="0.25">
      <c r="A71" s="134">
        <v>69</v>
      </c>
      <c r="B71" s="135" t="s">
        <v>193</v>
      </c>
      <c r="C71" s="136">
        <v>12400</v>
      </c>
      <c r="D71" s="135" t="s">
        <v>194</v>
      </c>
      <c r="E71" s="135">
        <v>14</v>
      </c>
      <c r="F71" s="135" t="s">
        <v>195</v>
      </c>
      <c r="G71" s="196">
        <f t="shared" si="14"/>
        <v>173600</v>
      </c>
      <c r="H71" s="196">
        <v>25100</v>
      </c>
      <c r="I71" s="196">
        <v>40000</v>
      </c>
      <c r="J71" s="196">
        <f t="shared" si="15"/>
        <v>14900</v>
      </c>
    </row>
    <row r="72" spans="1:10" ht="17" thickBot="1" x14ac:dyDescent="0.25">
      <c r="A72" s="134">
        <v>70</v>
      </c>
      <c r="B72" s="135" t="s">
        <v>193</v>
      </c>
      <c r="C72" s="136">
        <v>12400</v>
      </c>
      <c r="D72" s="135" t="s">
        <v>194</v>
      </c>
      <c r="E72" s="135">
        <v>14</v>
      </c>
      <c r="F72" s="135" t="s">
        <v>195</v>
      </c>
      <c r="G72" s="196">
        <f t="shared" si="14"/>
        <v>173600</v>
      </c>
      <c r="H72" s="196">
        <v>25100</v>
      </c>
      <c r="I72" s="196">
        <v>40000</v>
      </c>
      <c r="J72" s="196">
        <f t="shared" si="15"/>
        <v>14900</v>
      </c>
    </row>
    <row r="73" spans="1:10" ht="17" thickBot="1" x14ac:dyDescent="0.25">
      <c r="A73" s="134">
        <v>71</v>
      </c>
      <c r="B73" s="258" t="s">
        <v>198</v>
      </c>
      <c r="C73" s="136">
        <v>12400</v>
      </c>
      <c r="D73" s="135" t="s">
        <v>194</v>
      </c>
      <c r="E73" s="135">
        <v>19</v>
      </c>
      <c r="F73" s="258" t="s">
        <v>199</v>
      </c>
      <c r="G73" s="196">
        <f t="shared" si="14"/>
        <v>235600</v>
      </c>
      <c r="H73" s="196">
        <v>53000</v>
      </c>
      <c r="I73" s="196">
        <v>60000</v>
      </c>
      <c r="J73" s="196">
        <f t="shared" si="15"/>
        <v>7000</v>
      </c>
    </row>
    <row r="74" spans="1:10" ht="17" thickBot="1" x14ac:dyDescent="0.25">
      <c r="A74" s="134">
        <v>72</v>
      </c>
      <c r="B74" s="258" t="s">
        <v>198</v>
      </c>
      <c r="C74" s="136">
        <v>12400</v>
      </c>
      <c r="D74" s="135" t="s">
        <v>194</v>
      </c>
      <c r="E74" s="135">
        <v>19</v>
      </c>
      <c r="F74" s="258" t="s">
        <v>199</v>
      </c>
      <c r="G74" s="196">
        <f t="shared" si="14"/>
        <v>235600</v>
      </c>
      <c r="H74" s="196">
        <v>53000</v>
      </c>
      <c r="I74" s="196">
        <v>60000</v>
      </c>
      <c r="J74" s="196">
        <f t="shared" si="15"/>
        <v>7000</v>
      </c>
    </row>
    <row r="75" spans="1:10" ht="17" thickBot="1" x14ac:dyDescent="0.25">
      <c r="A75" s="134">
        <v>73</v>
      </c>
      <c r="B75" s="258" t="s">
        <v>198</v>
      </c>
      <c r="C75" s="136">
        <v>12400</v>
      </c>
      <c r="D75" s="135" t="s">
        <v>194</v>
      </c>
      <c r="E75" s="135">
        <v>19</v>
      </c>
      <c r="F75" s="258" t="s">
        <v>199</v>
      </c>
      <c r="G75" s="196">
        <f t="shared" si="14"/>
        <v>235600</v>
      </c>
      <c r="H75" s="196">
        <v>53000</v>
      </c>
      <c r="I75" s="196">
        <v>60000</v>
      </c>
      <c r="J75" s="196">
        <f t="shared" si="15"/>
        <v>7000</v>
      </c>
    </row>
    <row r="76" spans="1:10" ht="17" thickBot="1" x14ac:dyDescent="0.25">
      <c r="A76" s="134">
        <v>74</v>
      </c>
      <c r="B76" s="258" t="s">
        <v>198</v>
      </c>
      <c r="C76" s="136">
        <v>12400</v>
      </c>
      <c r="D76" s="135" t="s">
        <v>194</v>
      </c>
      <c r="E76" s="135">
        <v>19</v>
      </c>
      <c r="F76" s="258" t="s">
        <v>199</v>
      </c>
      <c r="G76" s="196">
        <f t="shared" ref="G76:G87" si="16">E76*C76</f>
        <v>235600</v>
      </c>
      <c r="H76" s="196">
        <v>53000</v>
      </c>
      <c r="I76" s="196">
        <v>60000</v>
      </c>
      <c r="J76" s="196">
        <f t="shared" ref="J76:J87" si="17">I76-H76</f>
        <v>7000</v>
      </c>
    </row>
    <row r="77" spans="1:10" ht="17" thickBot="1" x14ac:dyDescent="0.25">
      <c r="A77" s="134">
        <v>75</v>
      </c>
      <c r="B77" s="258" t="s">
        <v>198</v>
      </c>
      <c r="C77" s="136">
        <v>12400</v>
      </c>
      <c r="D77" s="135" t="s">
        <v>194</v>
      </c>
      <c r="E77" s="135">
        <v>19</v>
      </c>
      <c r="F77" s="258" t="s">
        <v>199</v>
      </c>
      <c r="G77" s="196">
        <f t="shared" si="16"/>
        <v>235600</v>
      </c>
      <c r="H77" s="196">
        <v>53000</v>
      </c>
      <c r="I77" s="196">
        <v>60000</v>
      </c>
      <c r="J77" s="196">
        <f t="shared" si="17"/>
        <v>7000</v>
      </c>
    </row>
    <row r="78" spans="1:10" ht="17" thickBot="1" x14ac:dyDescent="0.25">
      <c r="A78" s="134">
        <v>76</v>
      </c>
      <c r="B78" s="258" t="s">
        <v>198</v>
      </c>
      <c r="C78" s="136">
        <v>12400</v>
      </c>
      <c r="D78" s="135" t="s">
        <v>194</v>
      </c>
      <c r="E78" s="135">
        <v>19</v>
      </c>
      <c r="F78" s="258" t="s">
        <v>199</v>
      </c>
      <c r="G78" s="196">
        <f t="shared" si="16"/>
        <v>235600</v>
      </c>
      <c r="H78" s="196">
        <v>53000</v>
      </c>
      <c r="I78" s="196">
        <v>60000</v>
      </c>
      <c r="J78" s="196">
        <f t="shared" si="17"/>
        <v>7000</v>
      </c>
    </row>
    <row r="79" spans="1:10" ht="17" thickBot="1" x14ac:dyDescent="0.25">
      <c r="A79" s="134">
        <v>77</v>
      </c>
      <c r="B79" s="258" t="s">
        <v>198</v>
      </c>
      <c r="C79" s="136">
        <v>12400</v>
      </c>
      <c r="D79" s="135" t="s">
        <v>194</v>
      </c>
      <c r="E79" s="135">
        <v>19</v>
      </c>
      <c r="F79" s="258" t="s">
        <v>199</v>
      </c>
      <c r="G79" s="196">
        <f t="shared" si="16"/>
        <v>235600</v>
      </c>
      <c r="H79" s="196">
        <v>53000</v>
      </c>
      <c r="I79" s="196">
        <v>60000</v>
      </c>
      <c r="J79" s="196">
        <f t="shared" si="17"/>
        <v>7000</v>
      </c>
    </row>
    <row r="80" spans="1:10" s="272" customFormat="1" ht="17" thickBot="1" x14ac:dyDescent="0.25">
      <c r="A80" s="263">
        <v>78</v>
      </c>
      <c r="B80" s="264" t="s">
        <v>198</v>
      </c>
      <c r="C80" s="265">
        <v>12400</v>
      </c>
      <c r="D80" s="266" t="s">
        <v>194</v>
      </c>
      <c r="E80" s="266">
        <v>19</v>
      </c>
      <c r="F80" s="264" t="s">
        <v>199</v>
      </c>
      <c r="G80" s="267">
        <f t="shared" si="16"/>
        <v>235600</v>
      </c>
      <c r="H80" s="267">
        <v>53000</v>
      </c>
      <c r="I80" s="267">
        <v>60000</v>
      </c>
      <c r="J80" s="267">
        <f t="shared" si="17"/>
        <v>7000</v>
      </c>
    </row>
    <row r="81" spans="1:10" s="272" customFormat="1" ht="17" thickBot="1" x14ac:dyDescent="0.25">
      <c r="A81" s="263">
        <v>79</v>
      </c>
      <c r="B81" s="264" t="s">
        <v>198</v>
      </c>
      <c r="C81" s="265">
        <v>12400</v>
      </c>
      <c r="D81" s="266" t="s">
        <v>194</v>
      </c>
      <c r="E81" s="266">
        <v>19</v>
      </c>
      <c r="F81" s="264" t="s">
        <v>199</v>
      </c>
      <c r="G81" s="267">
        <f t="shared" si="16"/>
        <v>235600</v>
      </c>
      <c r="H81" s="267">
        <v>53000</v>
      </c>
      <c r="I81" s="267">
        <v>60000</v>
      </c>
      <c r="J81" s="267">
        <f t="shared" si="17"/>
        <v>7000</v>
      </c>
    </row>
    <row r="82" spans="1:10" s="272" customFormat="1" ht="17" thickBot="1" x14ac:dyDescent="0.25">
      <c r="A82" s="263">
        <v>80</v>
      </c>
      <c r="B82" s="264" t="s">
        <v>198</v>
      </c>
      <c r="C82" s="265">
        <v>12400</v>
      </c>
      <c r="D82" s="266" t="s">
        <v>194</v>
      </c>
      <c r="E82" s="266">
        <v>19</v>
      </c>
      <c r="F82" s="264" t="s">
        <v>199</v>
      </c>
      <c r="G82" s="267">
        <f t="shared" si="16"/>
        <v>235600</v>
      </c>
      <c r="H82" s="267">
        <v>53000</v>
      </c>
      <c r="I82" s="267">
        <v>60000</v>
      </c>
      <c r="J82" s="267">
        <f t="shared" si="17"/>
        <v>7000</v>
      </c>
    </row>
    <row r="83" spans="1:10" ht="17" thickBot="1" x14ac:dyDescent="0.25">
      <c r="A83" s="263">
        <v>81</v>
      </c>
      <c r="B83" s="264" t="s">
        <v>198</v>
      </c>
      <c r="C83" s="265">
        <v>12400</v>
      </c>
      <c r="D83" s="266" t="s">
        <v>194</v>
      </c>
      <c r="E83" s="266">
        <v>19</v>
      </c>
      <c r="F83" s="264" t="s">
        <v>199</v>
      </c>
      <c r="G83" s="267">
        <f t="shared" si="16"/>
        <v>235600</v>
      </c>
      <c r="H83" s="267">
        <v>53000</v>
      </c>
      <c r="I83" s="267">
        <v>60000</v>
      </c>
      <c r="J83" s="267">
        <f t="shared" si="17"/>
        <v>7000</v>
      </c>
    </row>
    <row r="84" spans="1:10" ht="17" thickBot="1" x14ac:dyDescent="0.25">
      <c r="A84" s="263">
        <v>82</v>
      </c>
      <c r="B84" s="264" t="s">
        <v>198</v>
      </c>
      <c r="C84" s="265">
        <v>12400</v>
      </c>
      <c r="D84" s="266" t="s">
        <v>194</v>
      </c>
      <c r="E84" s="266">
        <v>19</v>
      </c>
      <c r="F84" s="264" t="s">
        <v>199</v>
      </c>
      <c r="G84" s="267">
        <f t="shared" si="16"/>
        <v>235600</v>
      </c>
      <c r="H84" s="267">
        <v>53000</v>
      </c>
      <c r="I84" s="267">
        <v>60000</v>
      </c>
      <c r="J84" s="267">
        <f t="shared" si="17"/>
        <v>7000</v>
      </c>
    </row>
    <row r="85" spans="1:10" ht="17" thickBot="1" x14ac:dyDescent="0.25">
      <c r="A85" s="263">
        <v>83</v>
      </c>
      <c r="B85" s="264" t="s">
        <v>198</v>
      </c>
      <c r="C85" s="265">
        <v>12400</v>
      </c>
      <c r="D85" s="266" t="s">
        <v>194</v>
      </c>
      <c r="E85" s="266">
        <v>19</v>
      </c>
      <c r="F85" s="264" t="s">
        <v>199</v>
      </c>
      <c r="G85" s="267">
        <f t="shared" si="16"/>
        <v>235600</v>
      </c>
      <c r="H85" s="267">
        <v>53000</v>
      </c>
      <c r="I85" s="267">
        <v>60000</v>
      </c>
      <c r="J85" s="267">
        <f t="shared" si="17"/>
        <v>7000</v>
      </c>
    </row>
    <row r="86" spans="1:10" ht="17" thickBot="1" x14ac:dyDescent="0.25">
      <c r="A86" s="263">
        <v>84</v>
      </c>
      <c r="B86" s="264" t="s">
        <v>198</v>
      </c>
      <c r="C86" s="265">
        <v>12400</v>
      </c>
      <c r="D86" s="266" t="s">
        <v>194</v>
      </c>
      <c r="E86" s="266">
        <v>19</v>
      </c>
      <c r="F86" s="264" t="s">
        <v>199</v>
      </c>
      <c r="G86" s="267">
        <f t="shared" si="16"/>
        <v>235600</v>
      </c>
      <c r="H86" s="267">
        <v>53000</v>
      </c>
      <c r="I86" s="267">
        <v>60000</v>
      </c>
      <c r="J86" s="267">
        <f t="shared" si="17"/>
        <v>7000</v>
      </c>
    </row>
    <row r="87" spans="1:10" ht="17" thickBot="1" x14ac:dyDescent="0.25">
      <c r="A87" s="263">
        <v>85</v>
      </c>
      <c r="B87" s="264" t="s">
        <v>198</v>
      </c>
      <c r="C87" s="265">
        <v>12400</v>
      </c>
      <c r="D87" s="266" t="s">
        <v>194</v>
      </c>
      <c r="E87" s="266">
        <v>19</v>
      </c>
      <c r="F87" s="264" t="s">
        <v>199</v>
      </c>
      <c r="G87" s="267">
        <f t="shared" si="16"/>
        <v>235600</v>
      </c>
      <c r="H87" s="267">
        <v>53000</v>
      </c>
      <c r="I87" s="267">
        <v>60000</v>
      </c>
      <c r="J87" s="267">
        <f t="shared" si="17"/>
        <v>7000</v>
      </c>
    </row>
    <row r="88" spans="1:10" ht="17" thickBot="1" x14ac:dyDescent="0.25">
      <c r="A88" s="263">
        <v>86</v>
      </c>
      <c r="B88" s="264" t="s">
        <v>198</v>
      </c>
      <c r="C88" s="265">
        <v>12400</v>
      </c>
      <c r="D88" s="266" t="s">
        <v>194</v>
      </c>
      <c r="E88" s="266">
        <v>19</v>
      </c>
      <c r="F88" s="264" t="s">
        <v>199</v>
      </c>
      <c r="G88" s="267">
        <f t="shared" ref="G88:G99" si="18">E88*C88</f>
        <v>235600</v>
      </c>
      <c r="H88" s="267">
        <v>53000</v>
      </c>
      <c r="I88" s="267">
        <v>60000</v>
      </c>
      <c r="J88" s="267">
        <f t="shared" ref="J88:J99" si="19">I88-H88</f>
        <v>7000</v>
      </c>
    </row>
    <row r="89" spans="1:10" ht="17" thickBot="1" x14ac:dyDescent="0.25">
      <c r="A89" s="263">
        <v>87</v>
      </c>
      <c r="B89" s="264" t="s">
        <v>198</v>
      </c>
      <c r="C89" s="265">
        <v>12400</v>
      </c>
      <c r="D89" s="266" t="s">
        <v>194</v>
      </c>
      <c r="E89" s="266">
        <v>19</v>
      </c>
      <c r="F89" s="264" t="s">
        <v>199</v>
      </c>
      <c r="G89" s="267">
        <f t="shared" si="18"/>
        <v>235600</v>
      </c>
      <c r="H89" s="267">
        <v>53000</v>
      </c>
      <c r="I89" s="267">
        <v>60000</v>
      </c>
      <c r="J89" s="267">
        <f t="shared" si="19"/>
        <v>7000</v>
      </c>
    </row>
    <row r="90" spans="1:10" ht="17" thickBot="1" x14ac:dyDescent="0.25">
      <c r="A90" s="263">
        <v>88</v>
      </c>
      <c r="B90" s="264" t="s">
        <v>198</v>
      </c>
      <c r="C90" s="265">
        <v>12400</v>
      </c>
      <c r="D90" s="266" t="s">
        <v>194</v>
      </c>
      <c r="E90" s="266">
        <v>19</v>
      </c>
      <c r="F90" s="264" t="s">
        <v>199</v>
      </c>
      <c r="G90" s="267">
        <f t="shared" si="18"/>
        <v>235600</v>
      </c>
      <c r="H90" s="267">
        <v>53000</v>
      </c>
      <c r="I90" s="267">
        <v>60000</v>
      </c>
      <c r="J90" s="267">
        <f t="shared" si="19"/>
        <v>7000</v>
      </c>
    </row>
    <row r="91" spans="1:10" ht="17" thickBot="1" x14ac:dyDescent="0.25">
      <c r="A91" s="263">
        <v>89</v>
      </c>
      <c r="B91" s="264" t="s">
        <v>198</v>
      </c>
      <c r="C91" s="265">
        <v>12400</v>
      </c>
      <c r="D91" s="266" t="s">
        <v>194</v>
      </c>
      <c r="E91" s="266">
        <v>19</v>
      </c>
      <c r="F91" s="264" t="s">
        <v>199</v>
      </c>
      <c r="G91" s="267">
        <f t="shared" si="18"/>
        <v>235600</v>
      </c>
      <c r="H91" s="267">
        <v>53000</v>
      </c>
      <c r="I91" s="267">
        <v>60000</v>
      </c>
      <c r="J91" s="267">
        <f t="shared" si="19"/>
        <v>7000</v>
      </c>
    </row>
    <row r="92" spans="1:10" ht="17" thickBot="1" x14ac:dyDescent="0.25">
      <c r="A92" s="263">
        <v>90</v>
      </c>
      <c r="B92" s="264" t="s">
        <v>198</v>
      </c>
      <c r="C92" s="265">
        <v>12400</v>
      </c>
      <c r="D92" s="266" t="s">
        <v>194</v>
      </c>
      <c r="E92" s="266">
        <v>19</v>
      </c>
      <c r="F92" s="264" t="s">
        <v>199</v>
      </c>
      <c r="G92" s="267">
        <f t="shared" si="18"/>
        <v>235600</v>
      </c>
      <c r="H92" s="267">
        <v>53000</v>
      </c>
      <c r="I92" s="267">
        <v>60000</v>
      </c>
      <c r="J92" s="267">
        <f t="shared" si="19"/>
        <v>7000</v>
      </c>
    </row>
    <row r="93" spans="1:10" ht="17" thickBot="1" x14ac:dyDescent="0.25">
      <c r="A93" s="263">
        <v>91</v>
      </c>
      <c r="B93" s="264" t="s">
        <v>198</v>
      </c>
      <c r="C93" s="265">
        <v>12400</v>
      </c>
      <c r="D93" s="266" t="s">
        <v>194</v>
      </c>
      <c r="E93" s="266">
        <v>19</v>
      </c>
      <c r="F93" s="264" t="s">
        <v>199</v>
      </c>
      <c r="G93" s="267">
        <f t="shared" si="18"/>
        <v>235600</v>
      </c>
      <c r="H93" s="267">
        <v>53000</v>
      </c>
      <c r="I93" s="267">
        <v>60000</v>
      </c>
      <c r="J93" s="267">
        <f t="shared" si="19"/>
        <v>7000</v>
      </c>
    </row>
    <row r="94" spans="1:10" ht="17" thickBot="1" x14ac:dyDescent="0.25">
      <c r="A94" s="263">
        <v>92</v>
      </c>
      <c r="B94" s="264" t="s">
        <v>198</v>
      </c>
      <c r="C94" s="265">
        <v>12400</v>
      </c>
      <c r="D94" s="266" t="s">
        <v>194</v>
      </c>
      <c r="E94" s="266">
        <v>19</v>
      </c>
      <c r="F94" s="264" t="s">
        <v>199</v>
      </c>
      <c r="G94" s="267">
        <f t="shared" si="18"/>
        <v>235600</v>
      </c>
      <c r="H94" s="267">
        <v>53000</v>
      </c>
      <c r="I94" s="267">
        <v>60000</v>
      </c>
      <c r="J94" s="267">
        <f t="shared" si="19"/>
        <v>7000</v>
      </c>
    </row>
    <row r="95" spans="1:10" ht="17" thickBot="1" x14ac:dyDescent="0.25">
      <c r="A95" s="263">
        <v>93</v>
      </c>
      <c r="B95" s="264" t="s">
        <v>198</v>
      </c>
      <c r="C95" s="265">
        <v>12400</v>
      </c>
      <c r="D95" s="266" t="s">
        <v>194</v>
      </c>
      <c r="E95" s="266">
        <v>19</v>
      </c>
      <c r="F95" s="264" t="s">
        <v>199</v>
      </c>
      <c r="G95" s="267">
        <f t="shared" si="18"/>
        <v>235600</v>
      </c>
      <c r="H95" s="267">
        <v>53000</v>
      </c>
      <c r="I95" s="267">
        <v>60000</v>
      </c>
      <c r="J95" s="267">
        <f t="shared" si="19"/>
        <v>7000</v>
      </c>
    </row>
    <row r="96" spans="1:10" ht="17" thickBot="1" x14ac:dyDescent="0.25">
      <c r="A96" s="263">
        <v>94</v>
      </c>
      <c r="B96" s="264" t="s">
        <v>198</v>
      </c>
      <c r="C96" s="265">
        <v>12400</v>
      </c>
      <c r="D96" s="266" t="s">
        <v>194</v>
      </c>
      <c r="E96" s="266">
        <v>19</v>
      </c>
      <c r="F96" s="264" t="s">
        <v>199</v>
      </c>
      <c r="G96" s="267">
        <f t="shared" si="18"/>
        <v>235600</v>
      </c>
      <c r="H96" s="267">
        <v>53000</v>
      </c>
      <c r="I96" s="267">
        <v>60000</v>
      </c>
      <c r="J96" s="267">
        <f t="shared" si="19"/>
        <v>7000</v>
      </c>
    </row>
    <row r="97" spans="1:10" ht="17" thickBot="1" x14ac:dyDescent="0.25">
      <c r="A97" s="263">
        <v>95</v>
      </c>
      <c r="B97" s="264" t="s">
        <v>198</v>
      </c>
      <c r="C97" s="265">
        <v>12400</v>
      </c>
      <c r="D97" s="266" t="s">
        <v>194</v>
      </c>
      <c r="E97" s="266">
        <v>19</v>
      </c>
      <c r="F97" s="264" t="s">
        <v>199</v>
      </c>
      <c r="G97" s="267">
        <f t="shared" si="18"/>
        <v>235600</v>
      </c>
      <c r="H97" s="267">
        <v>53000</v>
      </c>
      <c r="I97" s="267">
        <v>60000</v>
      </c>
      <c r="J97" s="267">
        <f t="shared" si="19"/>
        <v>7000</v>
      </c>
    </row>
    <row r="98" spans="1:10" ht="17" thickBot="1" x14ac:dyDescent="0.25">
      <c r="A98" s="263">
        <v>96</v>
      </c>
      <c r="B98" s="264" t="s">
        <v>198</v>
      </c>
      <c r="C98" s="265">
        <v>12400</v>
      </c>
      <c r="D98" s="266" t="s">
        <v>194</v>
      </c>
      <c r="E98" s="266">
        <v>19</v>
      </c>
      <c r="F98" s="264" t="s">
        <v>199</v>
      </c>
      <c r="G98" s="267">
        <f t="shared" si="18"/>
        <v>235600</v>
      </c>
      <c r="H98" s="267">
        <v>53000</v>
      </c>
      <c r="I98" s="267">
        <v>60000</v>
      </c>
      <c r="J98" s="267">
        <f t="shared" si="19"/>
        <v>7000</v>
      </c>
    </row>
    <row r="99" spans="1:10" ht="17" thickBot="1" x14ac:dyDescent="0.25">
      <c r="A99" s="263">
        <v>97</v>
      </c>
      <c r="B99" s="264" t="s">
        <v>198</v>
      </c>
      <c r="C99" s="265">
        <v>12400</v>
      </c>
      <c r="D99" s="266" t="s">
        <v>194</v>
      </c>
      <c r="E99" s="266">
        <v>19</v>
      </c>
      <c r="F99" s="264" t="s">
        <v>199</v>
      </c>
      <c r="G99" s="267">
        <f t="shared" si="18"/>
        <v>235600</v>
      </c>
      <c r="H99" s="267">
        <v>53000</v>
      </c>
      <c r="I99" s="267">
        <v>60000</v>
      </c>
      <c r="J99" s="267">
        <f t="shared" si="19"/>
        <v>7000</v>
      </c>
    </row>
    <row r="100" spans="1:10" ht="17" thickBot="1" x14ac:dyDescent="0.25">
      <c r="A100" s="263">
        <v>98</v>
      </c>
      <c r="B100" s="264" t="s">
        <v>198</v>
      </c>
      <c r="C100" s="265">
        <v>12400</v>
      </c>
      <c r="D100" s="266" t="s">
        <v>194</v>
      </c>
      <c r="E100" s="266">
        <v>19</v>
      </c>
      <c r="F100" s="264" t="s">
        <v>199</v>
      </c>
      <c r="G100" s="267">
        <f t="shared" ref="G100:G133" si="20">E100*C100</f>
        <v>235600</v>
      </c>
      <c r="H100" s="267">
        <v>53000</v>
      </c>
      <c r="I100" s="267">
        <v>60000</v>
      </c>
      <c r="J100" s="267">
        <f t="shared" ref="J100:J133" si="21">I100-H100</f>
        <v>7000</v>
      </c>
    </row>
    <row r="101" spans="1:10" ht="17" thickBot="1" x14ac:dyDescent="0.25">
      <c r="A101" s="263">
        <v>99</v>
      </c>
      <c r="B101" s="264" t="s">
        <v>198</v>
      </c>
      <c r="C101" s="265">
        <v>12400</v>
      </c>
      <c r="D101" s="266" t="s">
        <v>194</v>
      </c>
      <c r="E101" s="266">
        <v>19</v>
      </c>
      <c r="F101" s="264" t="s">
        <v>199</v>
      </c>
      <c r="G101" s="267">
        <f t="shared" si="20"/>
        <v>235600</v>
      </c>
      <c r="H101" s="267">
        <v>53000</v>
      </c>
      <c r="I101" s="267">
        <v>60000</v>
      </c>
      <c r="J101" s="267">
        <f t="shared" si="21"/>
        <v>7000</v>
      </c>
    </row>
    <row r="102" spans="1:10" ht="17" thickBot="1" x14ac:dyDescent="0.25">
      <c r="A102" s="263">
        <v>100</v>
      </c>
      <c r="B102" s="264" t="s">
        <v>198</v>
      </c>
      <c r="C102" s="265">
        <v>12400</v>
      </c>
      <c r="D102" s="266" t="s">
        <v>194</v>
      </c>
      <c r="E102" s="266">
        <v>19</v>
      </c>
      <c r="F102" s="264" t="s">
        <v>199</v>
      </c>
      <c r="G102" s="267">
        <f t="shared" si="20"/>
        <v>235600</v>
      </c>
      <c r="H102" s="267">
        <v>53000</v>
      </c>
      <c r="I102" s="267">
        <v>60000</v>
      </c>
      <c r="J102" s="267">
        <f t="shared" si="21"/>
        <v>7000</v>
      </c>
    </row>
    <row r="103" spans="1:10" ht="17" thickBot="1" x14ac:dyDescent="0.25">
      <c r="A103" s="263">
        <v>101</v>
      </c>
      <c r="B103" s="264" t="s">
        <v>198</v>
      </c>
      <c r="C103" s="265">
        <v>12400</v>
      </c>
      <c r="D103" s="266" t="s">
        <v>194</v>
      </c>
      <c r="E103" s="266">
        <v>19</v>
      </c>
      <c r="F103" s="264" t="s">
        <v>199</v>
      </c>
      <c r="G103" s="267">
        <f t="shared" si="20"/>
        <v>235600</v>
      </c>
      <c r="H103" s="267">
        <v>53000</v>
      </c>
      <c r="I103" s="267">
        <v>60000</v>
      </c>
      <c r="J103" s="267">
        <f t="shared" si="21"/>
        <v>7000</v>
      </c>
    </row>
    <row r="104" spans="1:10" ht="17" thickBot="1" x14ac:dyDescent="0.25">
      <c r="A104" s="263">
        <v>102</v>
      </c>
      <c r="B104" s="264" t="s">
        <v>198</v>
      </c>
      <c r="C104" s="265">
        <v>12400</v>
      </c>
      <c r="D104" s="266" t="s">
        <v>194</v>
      </c>
      <c r="E104" s="266">
        <v>19</v>
      </c>
      <c r="F104" s="264" t="s">
        <v>199</v>
      </c>
      <c r="G104" s="267">
        <f t="shared" si="20"/>
        <v>235600</v>
      </c>
      <c r="H104" s="267">
        <v>53000</v>
      </c>
      <c r="I104" s="267">
        <v>60000</v>
      </c>
      <c r="J104" s="267">
        <f t="shared" si="21"/>
        <v>7000</v>
      </c>
    </row>
    <row r="105" spans="1:10" ht="17" thickBot="1" x14ac:dyDescent="0.25">
      <c r="A105" s="263">
        <v>103</v>
      </c>
      <c r="B105" s="264" t="s">
        <v>198</v>
      </c>
      <c r="C105" s="265">
        <v>12400</v>
      </c>
      <c r="D105" s="266" t="s">
        <v>194</v>
      </c>
      <c r="E105" s="266">
        <v>19</v>
      </c>
      <c r="F105" s="264" t="s">
        <v>199</v>
      </c>
      <c r="G105" s="267">
        <f t="shared" si="20"/>
        <v>235600</v>
      </c>
      <c r="H105" s="267">
        <v>53000</v>
      </c>
      <c r="I105" s="267">
        <v>60000</v>
      </c>
      <c r="J105" s="267">
        <f t="shared" si="21"/>
        <v>7000</v>
      </c>
    </row>
    <row r="106" spans="1:10" ht="17" thickBot="1" x14ac:dyDescent="0.25">
      <c r="A106" s="263">
        <v>104</v>
      </c>
      <c r="B106" s="264" t="s">
        <v>198</v>
      </c>
      <c r="C106" s="265">
        <v>12400</v>
      </c>
      <c r="D106" s="266" t="s">
        <v>194</v>
      </c>
      <c r="E106" s="266">
        <v>19</v>
      </c>
      <c r="F106" s="264" t="s">
        <v>199</v>
      </c>
      <c r="G106" s="267">
        <f t="shared" si="20"/>
        <v>235600</v>
      </c>
      <c r="H106" s="267">
        <v>53000</v>
      </c>
      <c r="I106" s="267">
        <v>60000</v>
      </c>
      <c r="J106" s="267">
        <f t="shared" si="21"/>
        <v>7000</v>
      </c>
    </row>
    <row r="107" spans="1:10" ht="17" thickBot="1" x14ac:dyDescent="0.25">
      <c r="A107" s="263">
        <v>105</v>
      </c>
      <c r="B107" s="264" t="s">
        <v>198</v>
      </c>
      <c r="C107" s="265">
        <v>12400</v>
      </c>
      <c r="D107" s="266" t="s">
        <v>194</v>
      </c>
      <c r="E107" s="266">
        <v>19</v>
      </c>
      <c r="F107" s="264" t="s">
        <v>199</v>
      </c>
      <c r="G107" s="267">
        <f t="shared" si="20"/>
        <v>235600</v>
      </c>
      <c r="H107" s="267">
        <v>53000</v>
      </c>
      <c r="I107" s="267">
        <v>60000</v>
      </c>
      <c r="J107" s="267">
        <f t="shared" si="21"/>
        <v>7000</v>
      </c>
    </row>
    <row r="108" spans="1:10" ht="17" thickBot="1" x14ac:dyDescent="0.25">
      <c r="A108" s="263">
        <v>106</v>
      </c>
      <c r="B108" s="264" t="s">
        <v>198</v>
      </c>
      <c r="C108" s="265">
        <v>12400</v>
      </c>
      <c r="D108" s="266" t="s">
        <v>194</v>
      </c>
      <c r="E108" s="266">
        <v>19</v>
      </c>
      <c r="F108" s="264" t="s">
        <v>199</v>
      </c>
      <c r="G108" s="267">
        <f t="shared" si="20"/>
        <v>235600</v>
      </c>
      <c r="H108" s="267">
        <v>53000</v>
      </c>
      <c r="I108" s="267">
        <v>60000</v>
      </c>
      <c r="J108" s="267">
        <f t="shared" si="21"/>
        <v>7000</v>
      </c>
    </row>
    <row r="109" spans="1:10" ht="17" thickBot="1" x14ac:dyDescent="0.25">
      <c r="A109" s="263">
        <v>107</v>
      </c>
      <c r="B109" s="264" t="s">
        <v>198</v>
      </c>
      <c r="C109" s="265">
        <v>12400</v>
      </c>
      <c r="D109" s="266" t="s">
        <v>194</v>
      </c>
      <c r="E109" s="266">
        <v>19</v>
      </c>
      <c r="F109" s="264" t="s">
        <v>199</v>
      </c>
      <c r="G109" s="267">
        <f t="shared" si="20"/>
        <v>235600</v>
      </c>
      <c r="H109" s="267">
        <v>53000</v>
      </c>
      <c r="I109" s="267">
        <v>60000</v>
      </c>
      <c r="J109" s="267">
        <f t="shared" si="21"/>
        <v>7000</v>
      </c>
    </row>
    <row r="110" spans="1:10" ht="17" thickBot="1" x14ac:dyDescent="0.25">
      <c r="A110" s="263">
        <v>108</v>
      </c>
      <c r="B110" s="264" t="s">
        <v>200</v>
      </c>
      <c r="C110" s="265">
        <v>12400</v>
      </c>
      <c r="D110" s="266" t="s">
        <v>194</v>
      </c>
      <c r="E110" s="266">
        <v>30</v>
      </c>
      <c r="F110" s="264" t="s">
        <v>201</v>
      </c>
      <c r="G110" s="267">
        <f t="shared" si="20"/>
        <v>372000</v>
      </c>
      <c r="H110" s="267">
        <v>25100</v>
      </c>
      <c r="I110" s="267">
        <v>40000</v>
      </c>
      <c r="J110" s="267">
        <f t="shared" si="21"/>
        <v>14900</v>
      </c>
    </row>
    <row r="111" spans="1:10" ht="17" thickBot="1" x14ac:dyDescent="0.25">
      <c r="A111" s="263">
        <v>109</v>
      </c>
      <c r="B111" s="264" t="s">
        <v>200</v>
      </c>
      <c r="C111" s="265">
        <v>12400</v>
      </c>
      <c r="D111" s="266" t="s">
        <v>194</v>
      </c>
      <c r="E111" s="266">
        <v>30</v>
      </c>
      <c r="F111" s="264" t="s">
        <v>201</v>
      </c>
      <c r="G111" s="267">
        <f t="shared" si="20"/>
        <v>372000</v>
      </c>
      <c r="H111" s="267">
        <v>25100</v>
      </c>
      <c r="I111" s="267">
        <v>40000</v>
      </c>
      <c r="J111" s="267">
        <f t="shared" si="21"/>
        <v>14900</v>
      </c>
    </row>
    <row r="112" spans="1:10" ht="17" thickBot="1" x14ac:dyDescent="0.25">
      <c r="A112" s="263">
        <v>110</v>
      </c>
      <c r="B112" s="264" t="s">
        <v>200</v>
      </c>
      <c r="C112" s="265">
        <v>12400</v>
      </c>
      <c r="D112" s="266" t="s">
        <v>194</v>
      </c>
      <c r="E112" s="266">
        <v>30</v>
      </c>
      <c r="F112" s="264" t="s">
        <v>201</v>
      </c>
      <c r="G112" s="267">
        <f t="shared" si="20"/>
        <v>372000</v>
      </c>
      <c r="H112" s="267">
        <v>25100</v>
      </c>
      <c r="I112" s="267">
        <v>40000</v>
      </c>
      <c r="J112" s="267">
        <f t="shared" si="21"/>
        <v>14900</v>
      </c>
    </row>
    <row r="113" spans="1:10" ht="17" thickBot="1" x14ac:dyDescent="0.25">
      <c r="A113" s="263">
        <v>111</v>
      </c>
      <c r="B113" s="264" t="s">
        <v>200</v>
      </c>
      <c r="C113" s="265">
        <v>12400</v>
      </c>
      <c r="D113" s="266" t="s">
        <v>194</v>
      </c>
      <c r="E113" s="266">
        <v>30</v>
      </c>
      <c r="F113" s="264" t="s">
        <v>201</v>
      </c>
      <c r="G113" s="267">
        <f t="shared" si="20"/>
        <v>372000</v>
      </c>
      <c r="H113" s="267">
        <v>25100</v>
      </c>
      <c r="I113" s="267">
        <v>40000</v>
      </c>
      <c r="J113" s="267">
        <f t="shared" si="21"/>
        <v>14900</v>
      </c>
    </row>
    <row r="114" spans="1:10" ht="17" thickBot="1" x14ac:dyDescent="0.25">
      <c r="A114" s="263">
        <v>112</v>
      </c>
      <c r="B114" s="264" t="s">
        <v>200</v>
      </c>
      <c r="C114" s="265">
        <v>12400</v>
      </c>
      <c r="D114" s="266" t="s">
        <v>194</v>
      </c>
      <c r="E114" s="266">
        <v>30</v>
      </c>
      <c r="F114" s="264" t="s">
        <v>201</v>
      </c>
      <c r="G114" s="267">
        <f t="shared" si="20"/>
        <v>372000</v>
      </c>
      <c r="H114" s="267">
        <v>25100</v>
      </c>
      <c r="I114" s="267">
        <v>40000</v>
      </c>
      <c r="J114" s="267">
        <f t="shared" si="21"/>
        <v>14900</v>
      </c>
    </row>
    <row r="115" spans="1:10" ht="17" thickBot="1" x14ac:dyDescent="0.25">
      <c r="A115" s="263">
        <v>113</v>
      </c>
      <c r="B115" s="264" t="s">
        <v>200</v>
      </c>
      <c r="C115" s="265">
        <v>12400</v>
      </c>
      <c r="D115" s="266" t="s">
        <v>194</v>
      </c>
      <c r="E115" s="266">
        <v>30</v>
      </c>
      <c r="F115" s="264" t="s">
        <v>201</v>
      </c>
      <c r="G115" s="267">
        <f t="shared" si="20"/>
        <v>372000</v>
      </c>
      <c r="H115" s="267">
        <v>25100</v>
      </c>
      <c r="I115" s="267">
        <v>40000</v>
      </c>
      <c r="J115" s="267">
        <f t="shared" si="21"/>
        <v>14900</v>
      </c>
    </row>
    <row r="116" spans="1:10" ht="17" thickBot="1" x14ac:dyDescent="0.25">
      <c r="A116" s="263">
        <v>114</v>
      </c>
      <c r="B116" s="264" t="s">
        <v>200</v>
      </c>
      <c r="C116" s="265">
        <v>12400</v>
      </c>
      <c r="D116" s="266" t="s">
        <v>194</v>
      </c>
      <c r="E116" s="266">
        <v>30</v>
      </c>
      <c r="F116" s="264" t="s">
        <v>201</v>
      </c>
      <c r="G116" s="267">
        <f t="shared" si="20"/>
        <v>372000</v>
      </c>
      <c r="H116" s="267">
        <v>25100</v>
      </c>
      <c r="I116" s="267">
        <v>40000</v>
      </c>
      <c r="J116" s="267">
        <f t="shared" si="21"/>
        <v>14900</v>
      </c>
    </row>
    <row r="117" spans="1:10" ht="17" thickBot="1" x14ac:dyDescent="0.25">
      <c r="A117" s="263">
        <v>115</v>
      </c>
      <c r="B117" s="264" t="s">
        <v>200</v>
      </c>
      <c r="C117" s="265">
        <v>12400</v>
      </c>
      <c r="D117" s="266" t="s">
        <v>194</v>
      </c>
      <c r="E117" s="266">
        <v>30</v>
      </c>
      <c r="F117" s="264" t="s">
        <v>201</v>
      </c>
      <c r="G117" s="267">
        <f t="shared" si="20"/>
        <v>372000</v>
      </c>
      <c r="H117" s="267">
        <v>25100</v>
      </c>
      <c r="I117" s="267">
        <v>40000</v>
      </c>
      <c r="J117" s="267">
        <f t="shared" si="21"/>
        <v>14900</v>
      </c>
    </row>
    <row r="118" spans="1:10" ht="17" thickBot="1" x14ac:dyDescent="0.25">
      <c r="A118" s="263">
        <v>116</v>
      </c>
      <c r="B118" s="264" t="s">
        <v>200</v>
      </c>
      <c r="C118" s="265">
        <v>12400</v>
      </c>
      <c r="D118" s="266" t="s">
        <v>194</v>
      </c>
      <c r="E118" s="266">
        <v>30</v>
      </c>
      <c r="F118" s="264" t="s">
        <v>201</v>
      </c>
      <c r="G118" s="267">
        <f t="shared" si="20"/>
        <v>372000</v>
      </c>
      <c r="H118" s="267">
        <v>25100</v>
      </c>
      <c r="I118" s="267">
        <v>40000</v>
      </c>
      <c r="J118" s="267">
        <f t="shared" si="21"/>
        <v>14900</v>
      </c>
    </row>
    <row r="119" spans="1:10" ht="17" thickBot="1" x14ac:dyDescent="0.25">
      <c r="A119" s="263">
        <v>117</v>
      </c>
      <c r="B119" s="264" t="s">
        <v>200</v>
      </c>
      <c r="C119" s="265">
        <v>12400</v>
      </c>
      <c r="D119" s="266" t="s">
        <v>194</v>
      </c>
      <c r="E119" s="266">
        <v>30</v>
      </c>
      <c r="F119" s="264" t="s">
        <v>201</v>
      </c>
      <c r="G119" s="267">
        <f t="shared" si="20"/>
        <v>372000</v>
      </c>
      <c r="H119" s="267">
        <v>25100</v>
      </c>
      <c r="I119" s="267">
        <v>40000</v>
      </c>
      <c r="J119" s="267">
        <f t="shared" si="21"/>
        <v>14900</v>
      </c>
    </row>
    <row r="120" spans="1:10" ht="17" thickBot="1" x14ac:dyDescent="0.25">
      <c r="A120" s="263">
        <v>118</v>
      </c>
      <c r="B120" s="264" t="s">
        <v>200</v>
      </c>
      <c r="C120" s="265">
        <v>12400</v>
      </c>
      <c r="D120" s="266" t="s">
        <v>194</v>
      </c>
      <c r="E120" s="266">
        <v>30</v>
      </c>
      <c r="F120" s="264" t="s">
        <v>201</v>
      </c>
      <c r="G120" s="267">
        <f t="shared" si="20"/>
        <v>372000</v>
      </c>
      <c r="H120" s="267">
        <v>25100</v>
      </c>
      <c r="I120" s="267">
        <v>40000</v>
      </c>
      <c r="J120" s="267">
        <f t="shared" si="21"/>
        <v>14900</v>
      </c>
    </row>
    <row r="121" spans="1:10" ht="17" thickBot="1" x14ac:dyDescent="0.25">
      <c r="A121" s="263">
        <v>119</v>
      </c>
      <c r="B121" s="264" t="s">
        <v>200</v>
      </c>
      <c r="C121" s="265">
        <v>12400</v>
      </c>
      <c r="D121" s="266" t="s">
        <v>194</v>
      </c>
      <c r="E121" s="266">
        <v>30</v>
      </c>
      <c r="F121" s="264" t="s">
        <v>201</v>
      </c>
      <c r="G121" s="267">
        <f t="shared" si="20"/>
        <v>372000</v>
      </c>
      <c r="H121" s="267">
        <v>25100</v>
      </c>
      <c r="I121" s="267">
        <v>40000</v>
      </c>
      <c r="J121" s="267">
        <f t="shared" si="21"/>
        <v>14900</v>
      </c>
    </row>
    <row r="122" spans="1:10" ht="17" thickBot="1" x14ac:dyDescent="0.25">
      <c r="A122" s="263">
        <v>120</v>
      </c>
      <c r="B122" s="264" t="s">
        <v>200</v>
      </c>
      <c r="C122" s="265">
        <v>12400</v>
      </c>
      <c r="D122" s="266" t="s">
        <v>194</v>
      </c>
      <c r="E122" s="266">
        <v>30</v>
      </c>
      <c r="F122" s="264" t="s">
        <v>201</v>
      </c>
      <c r="G122" s="267">
        <f t="shared" si="20"/>
        <v>372000</v>
      </c>
      <c r="H122" s="267">
        <v>25100</v>
      </c>
      <c r="I122" s="267">
        <v>40000</v>
      </c>
      <c r="J122" s="267">
        <f t="shared" si="21"/>
        <v>14900</v>
      </c>
    </row>
    <row r="123" spans="1:10" ht="17" thickBot="1" x14ac:dyDescent="0.25">
      <c r="A123" s="263">
        <v>121</v>
      </c>
      <c r="B123" s="264" t="s">
        <v>200</v>
      </c>
      <c r="C123" s="265">
        <v>12400</v>
      </c>
      <c r="D123" s="266" t="s">
        <v>194</v>
      </c>
      <c r="E123" s="266">
        <v>30</v>
      </c>
      <c r="F123" s="264" t="s">
        <v>201</v>
      </c>
      <c r="G123" s="267">
        <f t="shared" si="20"/>
        <v>372000</v>
      </c>
      <c r="H123" s="267">
        <v>25100</v>
      </c>
      <c r="I123" s="267">
        <v>40000</v>
      </c>
      <c r="J123" s="267">
        <f t="shared" si="21"/>
        <v>14900</v>
      </c>
    </row>
    <row r="124" spans="1:10" ht="17" thickBot="1" x14ac:dyDescent="0.25">
      <c r="A124" s="263">
        <v>122</v>
      </c>
      <c r="B124" s="264" t="s">
        <v>200</v>
      </c>
      <c r="C124" s="265">
        <v>12400</v>
      </c>
      <c r="D124" s="266" t="s">
        <v>194</v>
      </c>
      <c r="E124" s="266">
        <v>30</v>
      </c>
      <c r="F124" s="264" t="s">
        <v>201</v>
      </c>
      <c r="G124" s="267">
        <f t="shared" si="20"/>
        <v>372000</v>
      </c>
      <c r="H124" s="267">
        <v>25100</v>
      </c>
      <c r="I124" s="267">
        <v>40000</v>
      </c>
      <c r="J124" s="267">
        <f t="shared" si="21"/>
        <v>14900</v>
      </c>
    </row>
    <row r="125" spans="1:10" ht="17" thickBot="1" x14ac:dyDescent="0.25">
      <c r="A125" s="263">
        <v>123</v>
      </c>
      <c r="B125" s="264" t="s">
        <v>200</v>
      </c>
      <c r="C125" s="265">
        <v>12400</v>
      </c>
      <c r="D125" s="266" t="s">
        <v>194</v>
      </c>
      <c r="E125" s="266">
        <v>30</v>
      </c>
      <c r="F125" s="264" t="s">
        <v>201</v>
      </c>
      <c r="G125" s="267">
        <f t="shared" si="20"/>
        <v>372000</v>
      </c>
      <c r="H125" s="267">
        <v>25100</v>
      </c>
      <c r="I125" s="267">
        <v>40000</v>
      </c>
      <c r="J125" s="267">
        <f t="shared" si="21"/>
        <v>14900</v>
      </c>
    </row>
    <row r="126" spans="1:10" ht="17" thickBot="1" x14ac:dyDescent="0.25">
      <c r="A126" s="263">
        <v>124</v>
      </c>
      <c r="B126" s="264" t="s">
        <v>200</v>
      </c>
      <c r="C126" s="265">
        <v>12400</v>
      </c>
      <c r="D126" s="266" t="s">
        <v>194</v>
      </c>
      <c r="E126" s="266">
        <v>30</v>
      </c>
      <c r="F126" s="264" t="s">
        <v>201</v>
      </c>
      <c r="G126" s="267">
        <f t="shared" si="20"/>
        <v>372000</v>
      </c>
      <c r="H126" s="267">
        <v>25100</v>
      </c>
      <c r="I126" s="267">
        <v>40000</v>
      </c>
      <c r="J126" s="267">
        <f t="shared" si="21"/>
        <v>14900</v>
      </c>
    </row>
    <row r="127" spans="1:10" ht="17" thickBot="1" x14ac:dyDescent="0.25">
      <c r="A127" s="263">
        <v>125</v>
      </c>
      <c r="B127" s="264" t="s">
        <v>200</v>
      </c>
      <c r="C127" s="265">
        <v>12400</v>
      </c>
      <c r="D127" s="266" t="s">
        <v>194</v>
      </c>
      <c r="E127" s="266">
        <v>30</v>
      </c>
      <c r="F127" s="264" t="s">
        <v>201</v>
      </c>
      <c r="G127" s="267">
        <f t="shared" si="20"/>
        <v>372000</v>
      </c>
      <c r="H127" s="267">
        <v>25100</v>
      </c>
      <c r="I127" s="267">
        <v>40000</v>
      </c>
      <c r="J127" s="267">
        <f t="shared" si="21"/>
        <v>14900</v>
      </c>
    </row>
    <row r="128" spans="1:10" ht="17" thickBot="1" x14ac:dyDescent="0.25">
      <c r="A128" s="263">
        <v>126</v>
      </c>
      <c r="B128" s="264" t="s">
        <v>200</v>
      </c>
      <c r="C128" s="265">
        <v>12400</v>
      </c>
      <c r="D128" s="266" t="s">
        <v>194</v>
      </c>
      <c r="E128" s="266">
        <v>30</v>
      </c>
      <c r="F128" s="264" t="s">
        <v>201</v>
      </c>
      <c r="G128" s="267">
        <f t="shared" si="20"/>
        <v>372000</v>
      </c>
      <c r="H128" s="267">
        <v>25100</v>
      </c>
      <c r="I128" s="267">
        <v>40000</v>
      </c>
      <c r="J128" s="267">
        <f t="shared" si="21"/>
        <v>14900</v>
      </c>
    </row>
    <row r="129" spans="1:17" ht="17" thickBot="1" x14ac:dyDescent="0.25">
      <c r="A129" s="263">
        <v>127</v>
      </c>
      <c r="B129" s="264" t="s">
        <v>200</v>
      </c>
      <c r="C129" s="265">
        <v>12400</v>
      </c>
      <c r="D129" s="266" t="s">
        <v>194</v>
      </c>
      <c r="E129" s="266">
        <v>30</v>
      </c>
      <c r="F129" s="264" t="s">
        <v>201</v>
      </c>
      <c r="G129" s="267">
        <f t="shared" si="20"/>
        <v>372000</v>
      </c>
      <c r="H129" s="267">
        <v>25100</v>
      </c>
      <c r="I129" s="267">
        <v>40000</v>
      </c>
      <c r="J129" s="267">
        <f t="shared" si="21"/>
        <v>14900</v>
      </c>
    </row>
    <row r="130" spans="1:17" ht="17" thickBot="1" x14ac:dyDescent="0.25">
      <c r="A130" s="263">
        <v>128</v>
      </c>
      <c r="B130" s="264" t="s">
        <v>200</v>
      </c>
      <c r="C130" s="265">
        <v>12400</v>
      </c>
      <c r="D130" s="266" t="s">
        <v>194</v>
      </c>
      <c r="E130" s="266">
        <v>30</v>
      </c>
      <c r="F130" s="264" t="s">
        <v>201</v>
      </c>
      <c r="G130" s="267">
        <f t="shared" si="20"/>
        <v>372000</v>
      </c>
      <c r="H130" s="267">
        <v>25100</v>
      </c>
      <c r="I130" s="267">
        <v>40000</v>
      </c>
      <c r="J130" s="267">
        <f t="shared" si="21"/>
        <v>14900</v>
      </c>
    </row>
    <row r="131" spans="1:17" ht="17" thickBot="1" x14ac:dyDescent="0.25">
      <c r="A131" s="263">
        <v>129</v>
      </c>
      <c r="B131" s="264" t="s">
        <v>200</v>
      </c>
      <c r="C131" s="265">
        <v>12400</v>
      </c>
      <c r="D131" s="266" t="s">
        <v>194</v>
      </c>
      <c r="E131" s="266">
        <v>30</v>
      </c>
      <c r="F131" s="264" t="s">
        <v>201</v>
      </c>
      <c r="G131" s="267">
        <f t="shared" si="20"/>
        <v>372000</v>
      </c>
      <c r="H131" s="267">
        <v>25100</v>
      </c>
      <c r="I131" s="267">
        <v>40000</v>
      </c>
      <c r="J131" s="267">
        <f t="shared" si="21"/>
        <v>14900</v>
      </c>
    </row>
    <row r="132" spans="1:17" ht="17" thickBot="1" x14ac:dyDescent="0.25">
      <c r="A132" s="263">
        <v>130</v>
      </c>
      <c r="B132" s="264" t="s">
        <v>200</v>
      </c>
      <c r="C132" s="265">
        <v>12400</v>
      </c>
      <c r="D132" s="266" t="s">
        <v>194</v>
      </c>
      <c r="E132" s="266">
        <v>30</v>
      </c>
      <c r="F132" s="264" t="s">
        <v>201</v>
      </c>
      <c r="G132" s="267">
        <f t="shared" si="20"/>
        <v>372000</v>
      </c>
      <c r="H132" s="267">
        <v>25100</v>
      </c>
      <c r="I132" s="267">
        <v>40000</v>
      </c>
      <c r="J132" s="267">
        <f t="shared" si="21"/>
        <v>14900</v>
      </c>
    </row>
    <row r="133" spans="1:17" ht="17" thickBot="1" x14ac:dyDescent="0.25">
      <c r="A133" s="263">
        <v>131</v>
      </c>
      <c r="B133" s="264" t="s">
        <v>200</v>
      </c>
      <c r="C133" s="265">
        <v>12400</v>
      </c>
      <c r="D133" s="266" t="s">
        <v>194</v>
      </c>
      <c r="E133" s="266">
        <v>30</v>
      </c>
      <c r="F133" s="264" t="s">
        <v>201</v>
      </c>
      <c r="G133" s="267">
        <f t="shared" si="20"/>
        <v>372000</v>
      </c>
      <c r="H133" s="267">
        <v>25100</v>
      </c>
      <c r="I133" s="267">
        <v>40000</v>
      </c>
      <c r="J133" s="267">
        <f t="shared" si="21"/>
        <v>14900</v>
      </c>
    </row>
    <row r="134" spans="1:17" x14ac:dyDescent="0.2">
      <c r="A134" s="261"/>
      <c r="B134" s="261"/>
      <c r="C134" s="262"/>
      <c r="D134" s="261"/>
      <c r="E134" s="261"/>
      <c r="F134" s="261"/>
      <c r="G134" s="193"/>
      <c r="H134" s="260"/>
      <c r="I134" s="260"/>
      <c r="J134" s="260"/>
    </row>
    <row r="135" spans="1:17" ht="68" x14ac:dyDescent="0.2">
      <c r="A135" s="275" t="s">
        <v>167</v>
      </c>
      <c r="B135" s="275"/>
      <c r="H135" t="s">
        <v>168</v>
      </c>
      <c r="I135" t="s">
        <v>169</v>
      </c>
      <c r="J135" t="s">
        <v>170</v>
      </c>
      <c r="K135" s="189" t="s">
        <v>171</v>
      </c>
      <c r="L135" t="s">
        <v>172</v>
      </c>
      <c r="M135" s="26" t="s">
        <v>173</v>
      </c>
      <c r="N135" s="26" t="s">
        <v>174</v>
      </c>
      <c r="O135" s="26" t="s">
        <v>175</v>
      </c>
      <c r="P135" s="26" t="s">
        <v>176</v>
      </c>
      <c r="Q135" s="189" t="s">
        <v>23</v>
      </c>
    </row>
    <row r="136" spans="1:17" x14ac:dyDescent="0.2">
      <c r="A136" s="183" t="s">
        <v>168</v>
      </c>
      <c r="B136" s="184" t="s">
        <v>177</v>
      </c>
      <c r="D136" t="s">
        <v>178</v>
      </c>
      <c r="E136" t="s">
        <v>179</v>
      </c>
      <c r="F136" s="41">
        <f>SUM(C3:C12)/3</f>
        <v>41333.333333333336</v>
      </c>
      <c r="H136">
        <v>1</v>
      </c>
      <c r="I136">
        <v>15</v>
      </c>
      <c r="J136" s="41">
        <f>SUM(G3:G17)</f>
        <v>3087600</v>
      </c>
      <c r="K136" s="190">
        <f>J136*0.008887</f>
        <v>27439.501200000002</v>
      </c>
      <c r="L136" s="28">
        <f>SUM(F136)</f>
        <v>41333.333333333336</v>
      </c>
      <c r="M136" s="43">
        <f t="shared" ref="M136:M160" si="22">L136*B139</f>
        <v>13.850593333333334</v>
      </c>
      <c r="N136" s="43">
        <f t="shared" ref="N136:N141" si="23">K136-M136</f>
        <v>27425.65060666667</v>
      </c>
      <c r="O136" s="43">
        <f>SUM(N136:N140)</f>
        <v>435670.44281200005</v>
      </c>
      <c r="P136" s="43">
        <f>SUM(N136:N160)</f>
        <v>3342822.6680440838</v>
      </c>
      <c r="Q136" s="191" t="e">
        <f>M1/O136</f>
        <v>#REF!</v>
      </c>
    </row>
    <row r="137" spans="1:17" x14ac:dyDescent="0.2">
      <c r="A137" s="185">
        <v>2024</v>
      </c>
      <c r="B137" s="187">
        <v>3.6792299999999998E-4</v>
      </c>
      <c r="F137" s="41">
        <f>SUM(C13:C22)/3</f>
        <v>41333.333333333336</v>
      </c>
      <c r="H137">
        <v>2</v>
      </c>
      <c r="I137">
        <v>31</v>
      </c>
      <c r="J137" s="41">
        <f>SUM(G3:G33)</f>
        <v>6857200</v>
      </c>
      <c r="K137" s="190">
        <f>J137*0.008887</f>
        <v>60939.936400000006</v>
      </c>
      <c r="L137" s="28">
        <f>SUM(F136:F137)</f>
        <v>82666.666666666672</v>
      </c>
      <c r="M137" s="43">
        <f t="shared" si="22"/>
        <v>25.342706666666665</v>
      </c>
      <c r="N137" s="43">
        <f t="shared" si="23"/>
        <v>60914.593693333336</v>
      </c>
    </row>
    <row r="138" spans="1:17" x14ac:dyDescent="0.2">
      <c r="A138" s="185">
        <v>2025</v>
      </c>
      <c r="B138" s="187">
        <v>3.5150899999999996E-4</v>
      </c>
      <c r="F138" s="41">
        <f>SUM(C23:C32)/3</f>
        <v>41333.333333333336</v>
      </c>
      <c r="H138">
        <v>3</v>
      </c>
      <c r="I138">
        <v>46</v>
      </c>
      <c r="J138" s="41">
        <f>SUM(G3:G48)</f>
        <v>10168000</v>
      </c>
      <c r="K138" s="190">
        <f>J138*0.008887</f>
        <v>90363.016000000003</v>
      </c>
      <c r="L138" s="28">
        <f>SUM(F136:F138)</f>
        <v>124000</v>
      </c>
      <c r="M138" s="43">
        <f t="shared" si="22"/>
        <v>34.47634</v>
      </c>
      <c r="N138" s="43">
        <f t="shared" si="23"/>
        <v>90328.539660000009</v>
      </c>
    </row>
    <row r="139" spans="1:17" x14ac:dyDescent="0.2">
      <c r="A139" s="185">
        <v>2026</v>
      </c>
      <c r="B139" s="187">
        <v>3.3509499999999999E-4</v>
      </c>
      <c r="F139" s="41">
        <f>SUM(C33:C42)/3</f>
        <v>41333.333333333336</v>
      </c>
      <c r="H139">
        <v>4</v>
      </c>
      <c r="I139">
        <v>62</v>
      </c>
      <c r="J139" s="41">
        <f>SUM(G3:G64)</f>
        <v>12945600</v>
      </c>
      <c r="K139" s="190">
        <f>J139*0.008887</f>
        <v>115047.54720000002</v>
      </c>
      <c r="L139" s="28">
        <f>SUM(F136:F139)</f>
        <v>165333.33333333334</v>
      </c>
      <c r="M139" s="43">
        <f t="shared" si="22"/>
        <v>42.743461333333329</v>
      </c>
      <c r="N139" s="43">
        <f t="shared" si="23"/>
        <v>115004.80373866668</v>
      </c>
    </row>
    <row r="140" spans="1:17" x14ac:dyDescent="0.2">
      <c r="A140" s="185">
        <v>2027</v>
      </c>
      <c r="B140" s="187">
        <v>3.0656499999999996E-4</v>
      </c>
      <c r="F140" s="41">
        <f>SUM(C43:C52)/3</f>
        <v>41333.333333333336</v>
      </c>
      <c r="H140">
        <v>5</v>
      </c>
      <c r="I140">
        <v>77</v>
      </c>
      <c r="J140" s="41">
        <f>SUM(G3:G79)</f>
        <v>15983600</v>
      </c>
      <c r="K140" s="190">
        <f>J140*0.008887</f>
        <v>142046.25320000001</v>
      </c>
      <c r="L140" s="28">
        <f>SUM(F136:F140)</f>
        <v>206666.66666666669</v>
      </c>
      <c r="M140" s="43">
        <f t="shared" si="22"/>
        <v>49.398086666666671</v>
      </c>
      <c r="N140" s="43">
        <f t="shared" si="23"/>
        <v>141996.85511333335</v>
      </c>
    </row>
    <row r="141" spans="1:17" x14ac:dyDescent="0.2">
      <c r="A141" s="185">
        <v>2028</v>
      </c>
      <c r="B141" s="187">
        <v>2.7803499999999999E-4</v>
      </c>
      <c r="F141" s="41"/>
      <c r="H141">
        <v>6</v>
      </c>
      <c r="I141">
        <v>77</v>
      </c>
      <c r="J141" s="41">
        <f t="shared" ref="J141:J160" si="24">SUM(G4:G80)</f>
        <v>16045600</v>
      </c>
      <c r="K141" s="190">
        <f t="shared" ref="K141:K160" si="25">J141*0.008887</f>
        <v>142597.24720000001</v>
      </c>
      <c r="L141" s="41">
        <v>206667</v>
      </c>
      <c r="M141" s="43">
        <f t="shared" si="22"/>
        <v>49.682230132500003</v>
      </c>
      <c r="N141" s="43">
        <f t="shared" si="23"/>
        <v>142547.56496986753</v>
      </c>
    </row>
    <row r="142" spans="1:17" x14ac:dyDescent="0.2">
      <c r="A142" s="185">
        <v>2029</v>
      </c>
      <c r="B142" s="187">
        <v>2.5852899999999996E-4</v>
      </c>
      <c r="E142" t="s">
        <v>180</v>
      </c>
      <c r="F142" s="41">
        <f>SUM(F136:F140)</f>
        <v>206666.66666666669</v>
      </c>
      <c r="H142">
        <v>7</v>
      </c>
      <c r="I142">
        <v>77</v>
      </c>
      <c r="J142" s="41">
        <f t="shared" si="24"/>
        <v>16107600</v>
      </c>
      <c r="K142" s="190">
        <f t="shared" si="25"/>
        <v>143148.24120000002</v>
      </c>
      <c r="L142" s="41">
        <v>206667</v>
      </c>
      <c r="M142" s="43">
        <f t="shared" si="22"/>
        <v>49.966293923999999</v>
      </c>
      <c r="N142" s="43">
        <f t="shared" ref="N142:N160" si="26">K142-M142</f>
        <v>143098.27490607603</v>
      </c>
    </row>
    <row r="143" spans="1:17" x14ac:dyDescent="0.2">
      <c r="A143" s="185">
        <v>2030</v>
      </c>
      <c r="B143" s="187">
        <v>2.3902299999999999E-4</v>
      </c>
      <c r="F143" s="41"/>
      <c r="H143">
        <v>8</v>
      </c>
      <c r="I143">
        <v>77</v>
      </c>
      <c r="J143" s="41">
        <f t="shared" si="24"/>
        <v>16169600</v>
      </c>
      <c r="K143" s="190">
        <f t="shared" si="25"/>
        <v>143699.23520000002</v>
      </c>
      <c r="L143" s="41">
        <v>206667</v>
      </c>
      <c r="M143" s="43">
        <f t="shared" si="22"/>
        <v>45.82014057</v>
      </c>
      <c r="N143" s="43">
        <f t="shared" si="26"/>
        <v>143653.41505943003</v>
      </c>
    </row>
    <row r="144" spans="1:17" x14ac:dyDescent="0.2">
      <c r="A144" s="185">
        <v>2031</v>
      </c>
      <c r="B144" s="187">
        <v>2.403975E-4</v>
      </c>
      <c r="F144" s="41"/>
      <c r="H144">
        <v>9</v>
      </c>
      <c r="I144">
        <v>77</v>
      </c>
      <c r="J144" s="41">
        <f t="shared" si="24"/>
        <v>16231600</v>
      </c>
      <c r="K144" s="190">
        <f t="shared" si="25"/>
        <v>144250.2292</v>
      </c>
      <c r="L144" s="41">
        <v>206667</v>
      </c>
      <c r="M144" s="43">
        <f t="shared" si="22"/>
        <v>41.673987216</v>
      </c>
      <c r="N144" s="43">
        <f t="shared" si="26"/>
        <v>144208.55521278401</v>
      </c>
    </row>
    <row r="145" spans="1:14" x14ac:dyDescent="0.2">
      <c r="A145" s="185">
        <v>2032</v>
      </c>
      <c r="B145" s="187">
        <v>2.4177199999999999E-4</v>
      </c>
      <c r="F145" s="41"/>
      <c r="H145">
        <v>10</v>
      </c>
      <c r="I145">
        <v>77</v>
      </c>
      <c r="J145" s="41">
        <f t="shared" si="24"/>
        <v>16293600</v>
      </c>
      <c r="K145" s="190">
        <f t="shared" si="25"/>
        <v>144801.22320000001</v>
      </c>
      <c r="L145" s="41">
        <v>206667</v>
      </c>
      <c r="M145" s="43">
        <f t="shared" si="22"/>
        <v>41.153599710000002</v>
      </c>
      <c r="N145" s="43">
        <f t="shared" si="26"/>
        <v>144760.06960029001</v>
      </c>
    </row>
    <row r="146" spans="1:14" x14ac:dyDescent="0.2">
      <c r="A146" s="185">
        <v>2033</v>
      </c>
      <c r="B146" s="187">
        <v>2.2170999999999999E-4</v>
      </c>
      <c r="F146" s="41"/>
      <c r="H146">
        <v>11</v>
      </c>
      <c r="I146">
        <v>77</v>
      </c>
      <c r="J146" s="41">
        <f t="shared" si="24"/>
        <v>16355600</v>
      </c>
      <c r="K146" s="190">
        <f t="shared" si="25"/>
        <v>145352.21720000001</v>
      </c>
      <c r="L146" s="41">
        <v>206667</v>
      </c>
      <c r="M146" s="43">
        <f t="shared" si="22"/>
        <v>40.633212204000003</v>
      </c>
      <c r="N146" s="43">
        <f t="shared" si="26"/>
        <v>145311.58398779601</v>
      </c>
    </row>
    <row r="147" spans="1:14" x14ac:dyDescent="0.2">
      <c r="A147" s="185">
        <v>2034</v>
      </c>
      <c r="B147" s="187">
        <v>2.0164799999999999E-4</v>
      </c>
      <c r="F147" s="41"/>
      <c r="H147">
        <v>12</v>
      </c>
      <c r="I147">
        <v>77</v>
      </c>
      <c r="J147" s="41">
        <f t="shared" si="24"/>
        <v>16417600</v>
      </c>
      <c r="K147" s="190">
        <f t="shared" si="25"/>
        <v>145903.21120000002</v>
      </c>
      <c r="L147" s="41">
        <v>206667</v>
      </c>
      <c r="M147" s="43">
        <f t="shared" si="22"/>
        <v>39.6944273565</v>
      </c>
      <c r="N147" s="43">
        <f t="shared" si="26"/>
        <v>145863.51677264352</v>
      </c>
    </row>
    <row r="148" spans="1:14" x14ac:dyDescent="0.2">
      <c r="A148" s="185">
        <v>2035</v>
      </c>
      <c r="B148" s="187">
        <v>1.9913E-4</v>
      </c>
      <c r="H148">
        <v>13</v>
      </c>
      <c r="I148">
        <v>77</v>
      </c>
      <c r="J148" s="41">
        <f t="shared" si="24"/>
        <v>16430000</v>
      </c>
      <c r="K148" s="190">
        <f t="shared" si="25"/>
        <v>146013.41</v>
      </c>
      <c r="L148" s="41">
        <v>206667</v>
      </c>
      <c r="M148" s="43">
        <f t="shared" si="22"/>
        <v>38.755642508999998</v>
      </c>
      <c r="N148" s="43">
        <f t="shared" si="26"/>
        <v>145974.654357491</v>
      </c>
    </row>
    <row r="149" spans="1:14" x14ac:dyDescent="0.2">
      <c r="A149" s="185">
        <v>2036</v>
      </c>
      <c r="B149" s="187">
        <v>1.9661200000000001E-4</v>
      </c>
      <c r="H149">
        <v>14</v>
      </c>
      <c r="I149">
        <v>77</v>
      </c>
      <c r="J149" s="41">
        <f t="shared" si="24"/>
        <v>16430000</v>
      </c>
      <c r="K149" s="190">
        <f t="shared" si="25"/>
        <v>146013.41</v>
      </c>
      <c r="L149" s="41">
        <v>206667</v>
      </c>
      <c r="M149" s="43">
        <f t="shared" si="22"/>
        <v>39.029269616999997</v>
      </c>
      <c r="N149" s="43">
        <f t="shared" si="26"/>
        <v>145974.38073038301</v>
      </c>
    </row>
    <row r="150" spans="1:14" x14ac:dyDescent="0.2">
      <c r="A150" s="185">
        <v>2037</v>
      </c>
      <c r="B150" s="187">
        <v>1.9206950000000001E-4</v>
      </c>
      <c r="H150">
        <v>15</v>
      </c>
      <c r="I150">
        <v>77</v>
      </c>
      <c r="J150" s="41">
        <f t="shared" si="24"/>
        <v>16430000</v>
      </c>
      <c r="K150" s="190">
        <f t="shared" si="25"/>
        <v>146013.41</v>
      </c>
      <c r="L150" s="41">
        <v>206667</v>
      </c>
      <c r="M150" s="43">
        <f t="shared" si="22"/>
        <v>39.302896725000004</v>
      </c>
      <c r="N150" s="43">
        <f t="shared" si="26"/>
        <v>145974.10710327499</v>
      </c>
    </row>
    <row r="151" spans="1:14" x14ac:dyDescent="0.2">
      <c r="A151" s="185">
        <v>2038</v>
      </c>
      <c r="B151" s="187">
        <v>1.87527E-4</v>
      </c>
      <c r="H151">
        <v>16</v>
      </c>
      <c r="I151">
        <v>77</v>
      </c>
      <c r="J151" s="41">
        <f t="shared" si="24"/>
        <v>16430000</v>
      </c>
      <c r="K151" s="190">
        <f t="shared" si="25"/>
        <v>146013.41</v>
      </c>
      <c r="L151" s="41">
        <v>206667</v>
      </c>
      <c r="M151" s="43">
        <f t="shared" si="22"/>
        <v>37.768600917000001</v>
      </c>
      <c r="N151" s="43">
        <f t="shared" si="26"/>
        <v>145975.64139908299</v>
      </c>
    </row>
    <row r="152" spans="1:14" x14ac:dyDescent="0.2">
      <c r="A152" s="185">
        <v>2039</v>
      </c>
      <c r="B152" s="187">
        <v>1.88851E-4</v>
      </c>
      <c r="H152">
        <v>17</v>
      </c>
      <c r="I152">
        <v>77</v>
      </c>
      <c r="J152" s="41">
        <f t="shared" si="24"/>
        <v>16430000</v>
      </c>
      <c r="K152" s="190">
        <f t="shared" si="25"/>
        <v>146013.41</v>
      </c>
      <c r="L152" s="41">
        <v>206667</v>
      </c>
      <c r="M152" s="43">
        <f t="shared" si="22"/>
        <v>36.234305108999997</v>
      </c>
      <c r="N152" s="43">
        <f t="shared" si="26"/>
        <v>145977.17569489099</v>
      </c>
    </row>
    <row r="153" spans="1:14" x14ac:dyDescent="0.2">
      <c r="A153" s="185">
        <v>2040</v>
      </c>
      <c r="B153" s="187">
        <v>1.90175E-4</v>
      </c>
      <c r="H153">
        <v>18</v>
      </c>
      <c r="I153">
        <v>77</v>
      </c>
      <c r="J153" s="41">
        <f t="shared" si="24"/>
        <v>16430000</v>
      </c>
      <c r="K153" s="190">
        <f t="shared" si="25"/>
        <v>146013.41</v>
      </c>
      <c r="L153" s="41">
        <v>206667</v>
      </c>
      <c r="M153" s="43">
        <f t="shared" si="22"/>
        <v>36.065458169999999</v>
      </c>
      <c r="N153" s="43">
        <f t="shared" si="26"/>
        <v>145977.34454183001</v>
      </c>
    </row>
    <row r="154" spans="1:14" x14ac:dyDescent="0.2">
      <c r="A154" s="185">
        <v>2041</v>
      </c>
      <c r="B154" s="187">
        <v>1.8275099999999999E-4</v>
      </c>
      <c r="H154">
        <v>19</v>
      </c>
      <c r="I154">
        <v>77</v>
      </c>
      <c r="J154" s="41">
        <f t="shared" si="24"/>
        <v>16430000</v>
      </c>
      <c r="K154" s="190">
        <f t="shared" si="25"/>
        <v>146013.41</v>
      </c>
      <c r="L154" s="41">
        <v>206667</v>
      </c>
      <c r="M154" s="43">
        <f t="shared" si="22"/>
        <v>35.896611231000001</v>
      </c>
      <c r="N154" s="43">
        <f t="shared" si="26"/>
        <v>145977.513388769</v>
      </c>
    </row>
    <row r="155" spans="1:14" x14ac:dyDescent="0.2">
      <c r="A155" s="185">
        <v>2042</v>
      </c>
      <c r="B155" s="187">
        <v>1.75327E-4</v>
      </c>
      <c r="H155">
        <v>20</v>
      </c>
      <c r="I155">
        <v>77</v>
      </c>
      <c r="J155" s="41">
        <f t="shared" si="24"/>
        <v>16430000</v>
      </c>
      <c r="K155" s="190">
        <f t="shared" si="25"/>
        <v>146013.41</v>
      </c>
      <c r="L155" s="41">
        <v>206667</v>
      </c>
      <c r="M155" s="43">
        <f t="shared" si="22"/>
        <v>35.452277180999999</v>
      </c>
      <c r="N155" s="43">
        <f t="shared" si="26"/>
        <v>145977.957722819</v>
      </c>
    </row>
    <row r="156" spans="1:14" x14ac:dyDescent="0.2">
      <c r="A156" s="185">
        <v>2043</v>
      </c>
      <c r="B156" s="187">
        <v>1.7451000000000001E-4</v>
      </c>
      <c r="H156">
        <v>21</v>
      </c>
      <c r="I156">
        <v>77</v>
      </c>
      <c r="J156" s="41">
        <f t="shared" si="24"/>
        <v>16430000</v>
      </c>
      <c r="K156" s="190">
        <f t="shared" si="25"/>
        <v>146013.41</v>
      </c>
      <c r="L156" s="41">
        <v>206667</v>
      </c>
      <c r="M156" s="43">
        <f t="shared" si="22"/>
        <v>35.007943130999998</v>
      </c>
      <c r="N156" s="43">
        <f t="shared" si="26"/>
        <v>145978.402056869</v>
      </c>
    </row>
    <row r="157" spans="1:14" x14ac:dyDescent="0.2">
      <c r="A157" s="185">
        <v>2044</v>
      </c>
      <c r="B157" s="187">
        <v>1.7369299999999999E-4</v>
      </c>
      <c r="H157">
        <v>22</v>
      </c>
      <c r="I157">
        <v>77</v>
      </c>
      <c r="J157" s="41">
        <f t="shared" si="24"/>
        <v>16430000</v>
      </c>
      <c r="K157" s="190">
        <f t="shared" si="25"/>
        <v>146013.41</v>
      </c>
      <c r="L157" s="41">
        <v>206667</v>
      </c>
      <c r="M157" s="43">
        <f t="shared" si="22"/>
        <v>33.954354765000005</v>
      </c>
      <c r="N157" s="43">
        <f t="shared" si="26"/>
        <v>145979.45564523499</v>
      </c>
    </row>
    <row r="158" spans="1:14" x14ac:dyDescent="0.2">
      <c r="A158" s="185">
        <v>2045</v>
      </c>
      <c r="B158" s="187">
        <v>1.7154299999999999E-4</v>
      </c>
      <c r="H158">
        <v>23</v>
      </c>
      <c r="I158">
        <v>77</v>
      </c>
      <c r="J158" s="41">
        <f t="shared" si="24"/>
        <v>16430000</v>
      </c>
      <c r="K158" s="190">
        <f t="shared" si="25"/>
        <v>146013.41</v>
      </c>
      <c r="L158" s="41">
        <v>206667</v>
      </c>
      <c r="M158" s="43">
        <f t="shared" si="22"/>
        <v>32.900766398999998</v>
      </c>
      <c r="N158" s="43">
        <f t="shared" si="26"/>
        <v>145980.50923360101</v>
      </c>
    </row>
    <row r="159" spans="1:14" x14ac:dyDescent="0.2">
      <c r="A159" s="185">
        <v>2046</v>
      </c>
      <c r="B159" s="187">
        <v>1.69393E-4</v>
      </c>
      <c r="H159">
        <v>24</v>
      </c>
      <c r="I159">
        <v>77</v>
      </c>
      <c r="J159" s="41">
        <f t="shared" si="24"/>
        <v>16430000</v>
      </c>
      <c r="K159" s="190">
        <f t="shared" si="25"/>
        <v>146013.41</v>
      </c>
      <c r="L159" s="41">
        <v>206667</v>
      </c>
      <c r="M159" s="43">
        <f t="shared" si="22"/>
        <v>32.539305816000002</v>
      </c>
      <c r="N159" s="43">
        <f t="shared" si="26"/>
        <v>145980.87069418401</v>
      </c>
    </row>
    <row r="160" spans="1:14" x14ac:dyDescent="0.2">
      <c r="A160" s="185">
        <v>2047</v>
      </c>
      <c r="B160" s="187">
        <v>1.6429500000000001E-4</v>
      </c>
      <c r="H160">
        <v>25</v>
      </c>
      <c r="I160">
        <v>77</v>
      </c>
      <c r="J160" s="41">
        <f t="shared" si="24"/>
        <v>16430000</v>
      </c>
      <c r="K160" s="190">
        <f t="shared" si="25"/>
        <v>146013.41</v>
      </c>
      <c r="L160" s="41">
        <v>206667</v>
      </c>
      <c r="M160" s="43">
        <f t="shared" si="22"/>
        <v>32.177845232999999</v>
      </c>
      <c r="N160" s="43">
        <f t="shared" si="26"/>
        <v>145981.232154767</v>
      </c>
    </row>
    <row r="161" spans="1:13" x14ac:dyDescent="0.2">
      <c r="A161" s="185">
        <v>2048</v>
      </c>
      <c r="B161" s="187">
        <v>1.59197E-4</v>
      </c>
      <c r="E161" s="194"/>
      <c r="F161" s="43"/>
    </row>
    <row r="162" spans="1:13" x14ac:dyDescent="0.2">
      <c r="A162" s="185">
        <v>2049</v>
      </c>
      <c r="B162" s="187">
        <v>1.57448E-4</v>
      </c>
      <c r="E162" s="195"/>
      <c r="F162" s="43"/>
      <c r="I162" t="s">
        <v>181</v>
      </c>
      <c r="J162" s="28">
        <f>SUM(J136:J140)</f>
        <v>49042000</v>
      </c>
      <c r="K162" t="s">
        <v>182</v>
      </c>
      <c r="L162" s="28">
        <f>SUM(L136:L140)</f>
        <v>620000</v>
      </c>
      <c r="M162" s="43">
        <f>SUM(M136:M140)</f>
        <v>165.81118800000002</v>
      </c>
    </row>
    <row r="163" spans="1:13" x14ac:dyDescent="0.2">
      <c r="A163" s="185">
        <v>2050</v>
      </c>
      <c r="B163" s="187">
        <v>1.55699E-4</v>
      </c>
      <c r="E163" s="194"/>
      <c r="F163" s="43"/>
      <c r="I163" s="214" t="s">
        <v>183</v>
      </c>
      <c r="J163" s="28">
        <f>SUM(J136:J160)</f>
        <v>376253200</v>
      </c>
      <c r="K163" t="s">
        <v>184</v>
      </c>
      <c r="L163" s="28">
        <f>SUM(L136:L160)</f>
        <v>4753340</v>
      </c>
      <c r="M163" s="43">
        <f>SUM(M136:M160)</f>
        <v>939.52035591599986</v>
      </c>
    </row>
    <row r="164" spans="1:13" x14ac:dyDescent="0.2">
      <c r="A164" s="186" t="s">
        <v>185</v>
      </c>
      <c r="B164" s="188">
        <v>3.0523985714285713E-4</v>
      </c>
    </row>
    <row r="165" spans="1:13" x14ac:dyDescent="0.2">
      <c r="A165" s="186" t="s">
        <v>186</v>
      </c>
      <c r="B165" s="188">
        <v>1.8718740000000001E-4</v>
      </c>
    </row>
  </sheetData>
  <mergeCells count="1">
    <mergeCell ref="A135:B135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8C99E-F8C7-43B7-9071-8EC9F612953D}">
  <sheetPr>
    <pageSetUpPr fitToPage="1"/>
  </sheetPr>
  <dimension ref="A1:X164"/>
  <sheetViews>
    <sheetView topLeftCell="A28" zoomScale="85" zoomScaleNormal="85" workbookViewId="0">
      <selection activeCell="L71" sqref="L4:L71"/>
    </sheetView>
  </sheetViews>
  <sheetFormatPr baseColWidth="10" defaultColWidth="8.83203125" defaultRowHeight="13" x14ac:dyDescent="0.15"/>
  <cols>
    <col min="1" max="1" width="7.5" style="138" customWidth="1"/>
    <col min="2" max="2" width="20.6640625" style="138" customWidth="1"/>
    <col min="3" max="4" width="10.6640625" style="138" customWidth="1"/>
    <col min="5" max="5" width="11.1640625" style="138" bestFit="1" customWidth="1"/>
    <col min="6" max="6" width="7.33203125" style="138" bestFit="1" customWidth="1"/>
    <col min="7" max="7" width="16.6640625" style="138" bestFit="1" customWidth="1"/>
    <col min="8" max="8" width="17.6640625" style="138" bestFit="1" customWidth="1"/>
    <col min="9" max="9" width="17.6640625" style="138" customWidth="1"/>
    <col min="10" max="10" width="18.6640625" style="138" bestFit="1" customWidth="1"/>
    <col min="11" max="11" width="11.6640625" style="138" bestFit="1" customWidth="1"/>
    <col min="12" max="12" width="19.6640625" style="138" bestFit="1" customWidth="1"/>
    <col min="13" max="13" width="11.1640625" style="138" bestFit="1" customWidth="1"/>
    <col min="14" max="16" width="11.6640625" style="138" bestFit="1" customWidth="1"/>
    <col min="17" max="17" width="13.1640625" style="138" bestFit="1" customWidth="1"/>
    <col min="18" max="18" width="21.1640625" style="138" customWidth="1"/>
    <col min="19" max="19" width="13.5" style="138" customWidth="1"/>
    <col min="20" max="20" width="13" style="139" customWidth="1"/>
    <col min="21" max="21" width="12.33203125" style="138" customWidth="1"/>
    <col min="22" max="22" width="14.6640625" style="138" customWidth="1"/>
    <col min="23" max="23" width="10.5" style="138" bestFit="1" customWidth="1"/>
    <col min="24" max="24" width="10.6640625" style="138" bestFit="1" customWidth="1"/>
    <col min="25" max="261" width="9" style="138"/>
    <col min="262" max="262" width="7.5" style="138" customWidth="1"/>
    <col min="263" max="263" width="20.6640625" style="138" customWidth="1"/>
    <col min="264" max="264" width="10.6640625" style="138" customWidth="1"/>
    <col min="265" max="265" width="29.33203125" style="138" customWidth="1"/>
    <col min="266" max="266" width="11.33203125" style="138" customWidth="1"/>
    <col min="267" max="267" width="6.6640625" style="138" customWidth="1"/>
    <col min="268" max="268" width="5.1640625" style="138" bestFit="1" customWidth="1"/>
    <col min="269" max="269" width="9.1640625" style="138" customWidth="1"/>
    <col min="270" max="270" width="8.6640625" style="138" bestFit="1" customWidth="1"/>
    <col min="271" max="271" width="10.5" style="138" customWidth="1"/>
    <col min="272" max="272" width="9" style="138" bestFit="1"/>
    <col min="273" max="273" width="9.6640625" style="138" customWidth="1"/>
    <col min="274" max="274" width="21.1640625" style="138" customWidth="1"/>
    <col min="275" max="275" width="13.5" style="138" customWidth="1"/>
    <col min="276" max="276" width="13" style="138" customWidth="1"/>
    <col min="277" max="277" width="12.33203125" style="138" customWidth="1"/>
    <col min="278" max="278" width="14.6640625" style="138" customWidth="1"/>
    <col min="279" max="517" width="9" style="138"/>
    <col min="518" max="518" width="7.5" style="138" customWidth="1"/>
    <col min="519" max="519" width="20.6640625" style="138" customWidth="1"/>
    <col min="520" max="520" width="10.6640625" style="138" customWidth="1"/>
    <col min="521" max="521" width="29.33203125" style="138" customWidth="1"/>
    <col min="522" max="522" width="11.33203125" style="138" customWidth="1"/>
    <col min="523" max="523" width="6.6640625" style="138" customWidth="1"/>
    <col min="524" max="524" width="5.1640625" style="138" bestFit="1" customWidth="1"/>
    <col min="525" max="525" width="9.1640625" style="138" customWidth="1"/>
    <col min="526" max="526" width="8.6640625" style="138" bestFit="1" customWidth="1"/>
    <col min="527" max="527" width="10.5" style="138" customWidth="1"/>
    <col min="528" max="528" width="9" style="138" bestFit="1"/>
    <col min="529" max="529" width="9.6640625" style="138" customWidth="1"/>
    <col min="530" max="530" width="21.1640625" style="138" customWidth="1"/>
    <col min="531" max="531" width="13.5" style="138" customWidth="1"/>
    <col min="532" max="532" width="13" style="138" customWidth="1"/>
    <col min="533" max="533" width="12.33203125" style="138" customWidth="1"/>
    <col min="534" max="534" width="14.6640625" style="138" customWidth="1"/>
    <col min="535" max="773" width="9" style="138"/>
    <col min="774" max="774" width="7.5" style="138" customWidth="1"/>
    <col min="775" max="775" width="20.6640625" style="138" customWidth="1"/>
    <col min="776" max="776" width="10.6640625" style="138" customWidth="1"/>
    <col min="777" max="777" width="29.33203125" style="138" customWidth="1"/>
    <col min="778" max="778" width="11.33203125" style="138" customWidth="1"/>
    <col min="779" max="779" width="6.6640625" style="138" customWidth="1"/>
    <col min="780" max="780" width="5.1640625" style="138" bestFit="1" customWidth="1"/>
    <col min="781" max="781" width="9.1640625" style="138" customWidth="1"/>
    <col min="782" max="782" width="8.6640625" style="138" bestFit="1" customWidth="1"/>
    <col min="783" max="783" width="10.5" style="138" customWidth="1"/>
    <col min="784" max="784" width="9" style="138" bestFit="1"/>
    <col min="785" max="785" width="9.6640625" style="138" customWidth="1"/>
    <col min="786" max="786" width="21.1640625" style="138" customWidth="1"/>
    <col min="787" max="787" width="13.5" style="138" customWidth="1"/>
    <col min="788" max="788" width="13" style="138" customWidth="1"/>
    <col min="789" max="789" width="12.33203125" style="138" customWidth="1"/>
    <col min="790" max="790" width="14.6640625" style="138" customWidth="1"/>
    <col min="791" max="1029" width="9" style="138"/>
    <col min="1030" max="1030" width="7.5" style="138" customWidth="1"/>
    <col min="1031" max="1031" width="20.6640625" style="138" customWidth="1"/>
    <col min="1032" max="1032" width="10.6640625" style="138" customWidth="1"/>
    <col min="1033" max="1033" width="29.33203125" style="138" customWidth="1"/>
    <col min="1034" max="1034" width="11.33203125" style="138" customWidth="1"/>
    <col min="1035" max="1035" width="6.6640625" style="138" customWidth="1"/>
    <col min="1036" max="1036" width="5.1640625" style="138" bestFit="1" customWidth="1"/>
    <col min="1037" max="1037" width="9.1640625" style="138" customWidth="1"/>
    <col min="1038" max="1038" width="8.6640625" style="138" bestFit="1" customWidth="1"/>
    <col min="1039" max="1039" width="10.5" style="138" customWidth="1"/>
    <col min="1040" max="1040" width="9" style="138" bestFit="1"/>
    <col min="1041" max="1041" width="9.6640625" style="138" customWidth="1"/>
    <col min="1042" max="1042" width="21.1640625" style="138" customWidth="1"/>
    <col min="1043" max="1043" width="13.5" style="138" customWidth="1"/>
    <col min="1044" max="1044" width="13" style="138" customWidth="1"/>
    <col min="1045" max="1045" width="12.33203125" style="138" customWidth="1"/>
    <col min="1046" max="1046" width="14.6640625" style="138" customWidth="1"/>
    <col min="1047" max="1285" width="9" style="138"/>
    <col min="1286" max="1286" width="7.5" style="138" customWidth="1"/>
    <col min="1287" max="1287" width="20.6640625" style="138" customWidth="1"/>
    <col min="1288" max="1288" width="10.6640625" style="138" customWidth="1"/>
    <col min="1289" max="1289" width="29.33203125" style="138" customWidth="1"/>
    <col min="1290" max="1290" width="11.33203125" style="138" customWidth="1"/>
    <col min="1291" max="1291" width="6.6640625" style="138" customWidth="1"/>
    <col min="1292" max="1292" width="5.1640625" style="138" bestFit="1" customWidth="1"/>
    <col min="1293" max="1293" width="9.1640625" style="138" customWidth="1"/>
    <col min="1294" max="1294" width="8.6640625" style="138" bestFit="1" customWidth="1"/>
    <col min="1295" max="1295" width="10.5" style="138" customWidth="1"/>
    <col min="1296" max="1296" width="9" style="138" bestFit="1"/>
    <col min="1297" max="1297" width="9.6640625" style="138" customWidth="1"/>
    <col min="1298" max="1298" width="21.1640625" style="138" customWidth="1"/>
    <col min="1299" max="1299" width="13.5" style="138" customWidth="1"/>
    <col min="1300" max="1300" width="13" style="138" customWidth="1"/>
    <col min="1301" max="1301" width="12.33203125" style="138" customWidth="1"/>
    <col min="1302" max="1302" width="14.6640625" style="138" customWidth="1"/>
    <col min="1303" max="1541" width="9" style="138"/>
    <col min="1542" max="1542" width="7.5" style="138" customWidth="1"/>
    <col min="1543" max="1543" width="20.6640625" style="138" customWidth="1"/>
    <col min="1544" max="1544" width="10.6640625" style="138" customWidth="1"/>
    <col min="1545" max="1545" width="29.33203125" style="138" customWidth="1"/>
    <col min="1546" max="1546" width="11.33203125" style="138" customWidth="1"/>
    <col min="1547" max="1547" width="6.6640625" style="138" customWidth="1"/>
    <col min="1548" max="1548" width="5.1640625" style="138" bestFit="1" customWidth="1"/>
    <col min="1549" max="1549" width="9.1640625" style="138" customWidth="1"/>
    <col min="1550" max="1550" width="8.6640625" style="138" bestFit="1" customWidth="1"/>
    <col min="1551" max="1551" width="10.5" style="138" customWidth="1"/>
    <col min="1552" max="1552" width="9" style="138" bestFit="1"/>
    <col min="1553" max="1553" width="9.6640625" style="138" customWidth="1"/>
    <col min="1554" max="1554" width="21.1640625" style="138" customWidth="1"/>
    <col min="1555" max="1555" width="13.5" style="138" customWidth="1"/>
    <col min="1556" max="1556" width="13" style="138" customWidth="1"/>
    <col min="1557" max="1557" width="12.33203125" style="138" customWidth="1"/>
    <col min="1558" max="1558" width="14.6640625" style="138" customWidth="1"/>
    <col min="1559" max="1797" width="9" style="138"/>
    <col min="1798" max="1798" width="7.5" style="138" customWidth="1"/>
    <col min="1799" max="1799" width="20.6640625" style="138" customWidth="1"/>
    <col min="1800" max="1800" width="10.6640625" style="138" customWidth="1"/>
    <col min="1801" max="1801" width="29.33203125" style="138" customWidth="1"/>
    <col min="1802" max="1802" width="11.33203125" style="138" customWidth="1"/>
    <col min="1803" max="1803" width="6.6640625" style="138" customWidth="1"/>
    <col min="1804" max="1804" width="5.1640625" style="138" bestFit="1" customWidth="1"/>
    <col min="1805" max="1805" width="9.1640625" style="138" customWidth="1"/>
    <col min="1806" max="1806" width="8.6640625" style="138" bestFit="1" customWidth="1"/>
    <col min="1807" max="1807" width="10.5" style="138" customWidth="1"/>
    <col min="1808" max="1808" width="9" style="138" bestFit="1"/>
    <col min="1809" max="1809" width="9.6640625" style="138" customWidth="1"/>
    <col min="1810" max="1810" width="21.1640625" style="138" customWidth="1"/>
    <col min="1811" max="1811" width="13.5" style="138" customWidth="1"/>
    <col min="1812" max="1812" width="13" style="138" customWidth="1"/>
    <col min="1813" max="1813" width="12.33203125" style="138" customWidth="1"/>
    <col min="1814" max="1814" width="14.6640625" style="138" customWidth="1"/>
    <col min="1815" max="2053" width="9" style="138"/>
    <col min="2054" max="2054" width="7.5" style="138" customWidth="1"/>
    <col min="2055" max="2055" width="20.6640625" style="138" customWidth="1"/>
    <col min="2056" max="2056" width="10.6640625" style="138" customWidth="1"/>
    <col min="2057" max="2057" width="29.33203125" style="138" customWidth="1"/>
    <col min="2058" max="2058" width="11.33203125" style="138" customWidth="1"/>
    <col min="2059" max="2059" width="6.6640625" style="138" customWidth="1"/>
    <col min="2060" max="2060" width="5.1640625" style="138" bestFit="1" customWidth="1"/>
    <col min="2061" max="2061" width="9.1640625" style="138" customWidth="1"/>
    <col min="2062" max="2062" width="8.6640625" style="138" bestFit="1" customWidth="1"/>
    <col min="2063" max="2063" width="10.5" style="138" customWidth="1"/>
    <col min="2064" max="2064" width="9" style="138" bestFit="1"/>
    <col min="2065" max="2065" width="9.6640625" style="138" customWidth="1"/>
    <col min="2066" max="2066" width="21.1640625" style="138" customWidth="1"/>
    <col min="2067" max="2067" width="13.5" style="138" customWidth="1"/>
    <col min="2068" max="2068" width="13" style="138" customWidth="1"/>
    <col min="2069" max="2069" width="12.33203125" style="138" customWidth="1"/>
    <col min="2070" max="2070" width="14.6640625" style="138" customWidth="1"/>
    <col min="2071" max="2309" width="9" style="138"/>
    <col min="2310" max="2310" width="7.5" style="138" customWidth="1"/>
    <col min="2311" max="2311" width="20.6640625" style="138" customWidth="1"/>
    <col min="2312" max="2312" width="10.6640625" style="138" customWidth="1"/>
    <col min="2313" max="2313" width="29.33203125" style="138" customWidth="1"/>
    <col min="2314" max="2314" width="11.33203125" style="138" customWidth="1"/>
    <col min="2315" max="2315" width="6.6640625" style="138" customWidth="1"/>
    <col min="2316" max="2316" width="5.1640625" style="138" bestFit="1" customWidth="1"/>
    <col min="2317" max="2317" width="9.1640625" style="138" customWidth="1"/>
    <col min="2318" max="2318" width="8.6640625" style="138" bestFit="1" customWidth="1"/>
    <col min="2319" max="2319" width="10.5" style="138" customWidth="1"/>
    <col min="2320" max="2320" width="9" style="138" bestFit="1"/>
    <col min="2321" max="2321" width="9.6640625" style="138" customWidth="1"/>
    <col min="2322" max="2322" width="21.1640625" style="138" customWidth="1"/>
    <col min="2323" max="2323" width="13.5" style="138" customWidth="1"/>
    <col min="2324" max="2324" width="13" style="138" customWidth="1"/>
    <col min="2325" max="2325" width="12.33203125" style="138" customWidth="1"/>
    <col min="2326" max="2326" width="14.6640625" style="138" customWidth="1"/>
    <col min="2327" max="2565" width="9" style="138"/>
    <col min="2566" max="2566" width="7.5" style="138" customWidth="1"/>
    <col min="2567" max="2567" width="20.6640625" style="138" customWidth="1"/>
    <col min="2568" max="2568" width="10.6640625" style="138" customWidth="1"/>
    <col min="2569" max="2569" width="29.33203125" style="138" customWidth="1"/>
    <col min="2570" max="2570" width="11.33203125" style="138" customWidth="1"/>
    <col min="2571" max="2571" width="6.6640625" style="138" customWidth="1"/>
    <col min="2572" max="2572" width="5.1640625" style="138" bestFit="1" customWidth="1"/>
    <col min="2573" max="2573" width="9.1640625" style="138" customWidth="1"/>
    <col min="2574" max="2574" width="8.6640625" style="138" bestFit="1" customWidth="1"/>
    <col min="2575" max="2575" width="10.5" style="138" customWidth="1"/>
    <col min="2576" max="2576" width="9" style="138" bestFit="1"/>
    <col min="2577" max="2577" width="9.6640625" style="138" customWidth="1"/>
    <col min="2578" max="2578" width="21.1640625" style="138" customWidth="1"/>
    <col min="2579" max="2579" width="13.5" style="138" customWidth="1"/>
    <col min="2580" max="2580" width="13" style="138" customWidth="1"/>
    <col min="2581" max="2581" width="12.33203125" style="138" customWidth="1"/>
    <col min="2582" max="2582" width="14.6640625" style="138" customWidth="1"/>
    <col min="2583" max="2821" width="9" style="138"/>
    <col min="2822" max="2822" width="7.5" style="138" customWidth="1"/>
    <col min="2823" max="2823" width="20.6640625" style="138" customWidth="1"/>
    <col min="2824" max="2824" width="10.6640625" style="138" customWidth="1"/>
    <col min="2825" max="2825" width="29.33203125" style="138" customWidth="1"/>
    <col min="2826" max="2826" width="11.33203125" style="138" customWidth="1"/>
    <col min="2827" max="2827" width="6.6640625" style="138" customWidth="1"/>
    <col min="2828" max="2828" width="5.1640625" style="138" bestFit="1" customWidth="1"/>
    <col min="2829" max="2829" width="9.1640625" style="138" customWidth="1"/>
    <col min="2830" max="2830" width="8.6640625" style="138" bestFit="1" customWidth="1"/>
    <col min="2831" max="2831" width="10.5" style="138" customWidth="1"/>
    <col min="2832" max="2832" width="9" style="138" bestFit="1"/>
    <col min="2833" max="2833" width="9.6640625" style="138" customWidth="1"/>
    <col min="2834" max="2834" width="21.1640625" style="138" customWidth="1"/>
    <col min="2835" max="2835" width="13.5" style="138" customWidth="1"/>
    <col min="2836" max="2836" width="13" style="138" customWidth="1"/>
    <col min="2837" max="2837" width="12.33203125" style="138" customWidth="1"/>
    <col min="2838" max="2838" width="14.6640625" style="138" customWidth="1"/>
    <col min="2839" max="3077" width="9" style="138"/>
    <col min="3078" max="3078" width="7.5" style="138" customWidth="1"/>
    <col min="3079" max="3079" width="20.6640625" style="138" customWidth="1"/>
    <col min="3080" max="3080" width="10.6640625" style="138" customWidth="1"/>
    <col min="3081" max="3081" width="29.33203125" style="138" customWidth="1"/>
    <col min="3082" max="3082" width="11.33203125" style="138" customWidth="1"/>
    <col min="3083" max="3083" width="6.6640625" style="138" customWidth="1"/>
    <col min="3084" max="3084" width="5.1640625" style="138" bestFit="1" customWidth="1"/>
    <col min="3085" max="3085" width="9.1640625" style="138" customWidth="1"/>
    <col min="3086" max="3086" width="8.6640625" style="138" bestFit="1" customWidth="1"/>
    <col min="3087" max="3087" width="10.5" style="138" customWidth="1"/>
    <col min="3088" max="3088" width="9" style="138" bestFit="1"/>
    <col min="3089" max="3089" width="9.6640625" style="138" customWidth="1"/>
    <col min="3090" max="3090" width="21.1640625" style="138" customWidth="1"/>
    <col min="3091" max="3091" width="13.5" style="138" customWidth="1"/>
    <col min="3092" max="3092" width="13" style="138" customWidth="1"/>
    <col min="3093" max="3093" width="12.33203125" style="138" customWidth="1"/>
    <col min="3094" max="3094" width="14.6640625" style="138" customWidth="1"/>
    <col min="3095" max="3333" width="9" style="138"/>
    <col min="3334" max="3334" width="7.5" style="138" customWidth="1"/>
    <col min="3335" max="3335" width="20.6640625" style="138" customWidth="1"/>
    <col min="3336" max="3336" width="10.6640625" style="138" customWidth="1"/>
    <col min="3337" max="3337" width="29.33203125" style="138" customWidth="1"/>
    <col min="3338" max="3338" width="11.33203125" style="138" customWidth="1"/>
    <col min="3339" max="3339" width="6.6640625" style="138" customWidth="1"/>
    <col min="3340" max="3340" width="5.1640625" style="138" bestFit="1" customWidth="1"/>
    <col min="3341" max="3341" width="9.1640625" style="138" customWidth="1"/>
    <col min="3342" max="3342" width="8.6640625" style="138" bestFit="1" customWidth="1"/>
    <col min="3343" max="3343" width="10.5" style="138" customWidth="1"/>
    <col min="3344" max="3344" width="9" style="138" bestFit="1"/>
    <col min="3345" max="3345" width="9.6640625" style="138" customWidth="1"/>
    <col min="3346" max="3346" width="21.1640625" style="138" customWidth="1"/>
    <col min="3347" max="3347" width="13.5" style="138" customWidth="1"/>
    <col min="3348" max="3348" width="13" style="138" customWidth="1"/>
    <col min="3349" max="3349" width="12.33203125" style="138" customWidth="1"/>
    <col min="3350" max="3350" width="14.6640625" style="138" customWidth="1"/>
    <col min="3351" max="3589" width="9" style="138"/>
    <col min="3590" max="3590" width="7.5" style="138" customWidth="1"/>
    <col min="3591" max="3591" width="20.6640625" style="138" customWidth="1"/>
    <col min="3592" max="3592" width="10.6640625" style="138" customWidth="1"/>
    <col min="3593" max="3593" width="29.33203125" style="138" customWidth="1"/>
    <col min="3594" max="3594" width="11.33203125" style="138" customWidth="1"/>
    <col min="3595" max="3595" width="6.6640625" style="138" customWidth="1"/>
    <col min="3596" max="3596" width="5.1640625" style="138" bestFit="1" customWidth="1"/>
    <col min="3597" max="3597" width="9.1640625" style="138" customWidth="1"/>
    <col min="3598" max="3598" width="8.6640625" style="138" bestFit="1" customWidth="1"/>
    <col min="3599" max="3599" width="10.5" style="138" customWidth="1"/>
    <col min="3600" max="3600" width="9" style="138" bestFit="1"/>
    <col min="3601" max="3601" width="9.6640625" style="138" customWidth="1"/>
    <col min="3602" max="3602" width="21.1640625" style="138" customWidth="1"/>
    <col min="3603" max="3603" width="13.5" style="138" customWidth="1"/>
    <col min="3604" max="3604" width="13" style="138" customWidth="1"/>
    <col min="3605" max="3605" width="12.33203125" style="138" customWidth="1"/>
    <col min="3606" max="3606" width="14.6640625" style="138" customWidth="1"/>
    <col min="3607" max="3845" width="9" style="138"/>
    <col min="3846" max="3846" width="7.5" style="138" customWidth="1"/>
    <col min="3847" max="3847" width="20.6640625" style="138" customWidth="1"/>
    <col min="3848" max="3848" width="10.6640625" style="138" customWidth="1"/>
    <col min="3849" max="3849" width="29.33203125" style="138" customWidth="1"/>
    <col min="3850" max="3850" width="11.33203125" style="138" customWidth="1"/>
    <col min="3851" max="3851" width="6.6640625" style="138" customWidth="1"/>
    <col min="3852" max="3852" width="5.1640625" style="138" bestFit="1" customWidth="1"/>
    <col min="3853" max="3853" width="9.1640625" style="138" customWidth="1"/>
    <col min="3854" max="3854" width="8.6640625" style="138" bestFit="1" customWidth="1"/>
    <col min="3855" max="3855" width="10.5" style="138" customWidth="1"/>
    <col min="3856" max="3856" width="9" style="138" bestFit="1"/>
    <col min="3857" max="3857" width="9.6640625" style="138" customWidth="1"/>
    <col min="3858" max="3858" width="21.1640625" style="138" customWidth="1"/>
    <col min="3859" max="3859" width="13.5" style="138" customWidth="1"/>
    <col min="3860" max="3860" width="13" style="138" customWidth="1"/>
    <col min="3861" max="3861" width="12.33203125" style="138" customWidth="1"/>
    <col min="3862" max="3862" width="14.6640625" style="138" customWidth="1"/>
    <col min="3863" max="4101" width="9" style="138"/>
    <col min="4102" max="4102" width="7.5" style="138" customWidth="1"/>
    <col min="4103" max="4103" width="20.6640625" style="138" customWidth="1"/>
    <col min="4104" max="4104" width="10.6640625" style="138" customWidth="1"/>
    <col min="4105" max="4105" width="29.33203125" style="138" customWidth="1"/>
    <col min="4106" max="4106" width="11.33203125" style="138" customWidth="1"/>
    <col min="4107" max="4107" width="6.6640625" style="138" customWidth="1"/>
    <col min="4108" max="4108" width="5.1640625" style="138" bestFit="1" customWidth="1"/>
    <col min="4109" max="4109" width="9.1640625" style="138" customWidth="1"/>
    <col min="4110" max="4110" width="8.6640625" style="138" bestFit="1" customWidth="1"/>
    <col min="4111" max="4111" width="10.5" style="138" customWidth="1"/>
    <col min="4112" max="4112" width="9" style="138" bestFit="1"/>
    <col min="4113" max="4113" width="9.6640625" style="138" customWidth="1"/>
    <col min="4114" max="4114" width="21.1640625" style="138" customWidth="1"/>
    <col min="4115" max="4115" width="13.5" style="138" customWidth="1"/>
    <col min="4116" max="4116" width="13" style="138" customWidth="1"/>
    <col min="4117" max="4117" width="12.33203125" style="138" customWidth="1"/>
    <col min="4118" max="4118" width="14.6640625" style="138" customWidth="1"/>
    <col min="4119" max="4357" width="9" style="138"/>
    <col min="4358" max="4358" width="7.5" style="138" customWidth="1"/>
    <col min="4359" max="4359" width="20.6640625" style="138" customWidth="1"/>
    <col min="4360" max="4360" width="10.6640625" style="138" customWidth="1"/>
    <col min="4361" max="4361" width="29.33203125" style="138" customWidth="1"/>
    <col min="4362" max="4362" width="11.33203125" style="138" customWidth="1"/>
    <col min="4363" max="4363" width="6.6640625" style="138" customWidth="1"/>
    <col min="4364" max="4364" width="5.1640625" style="138" bestFit="1" customWidth="1"/>
    <col min="4365" max="4365" width="9.1640625" style="138" customWidth="1"/>
    <col min="4366" max="4366" width="8.6640625" style="138" bestFit="1" customWidth="1"/>
    <col min="4367" max="4367" width="10.5" style="138" customWidth="1"/>
    <col min="4368" max="4368" width="9" style="138" bestFit="1"/>
    <col min="4369" max="4369" width="9.6640625" style="138" customWidth="1"/>
    <col min="4370" max="4370" width="21.1640625" style="138" customWidth="1"/>
    <col min="4371" max="4371" width="13.5" style="138" customWidth="1"/>
    <col min="4372" max="4372" width="13" style="138" customWidth="1"/>
    <col min="4373" max="4373" width="12.33203125" style="138" customWidth="1"/>
    <col min="4374" max="4374" width="14.6640625" style="138" customWidth="1"/>
    <col min="4375" max="4613" width="9" style="138"/>
    <col min="4614" max="4614" width="7.5" style="138" customWidth="1"/>
    <col min="4615" max="4615" width="20.6640625" style="138" customWidth="1"/>
    <col min="4616" max="4616" width="10.6640625" style="138" customWidth="1"/>
    <col min="4617" max="4617" width="29.33203125" style="138" customWidth="1"/>
    <col min="4618" max="4618" width="11.33203125" style="138" customWidth="1"/>
    <col min="4619" max="4619" width="6.6640625" style="138" customWidth="1"/>
    <col min="4620" max="4620" width="5.1640625" style="138" bestFit="1" customWidth="1"/>
    <col min="4621" max="4621" width="9.1640625" style="138" customWidth="1"/>
    <col min="4622" max="4622" width="8.6640625" style="138" bestFit="1" customWidth="1"/>
    <col min="4623" max="4623" width="10.5" style="138" customWidth="1"/>
    <col min="4624" max="4624" width="9" style="138" bestFit="1"/>
    <col min="4625" max="4625" width="9.6640625" style="138" customWidth="1"/>
    <col min="4626" max="4626" width="21.1640625" style="138" customWidth="1"/>
    <col min="4627" max="4627" width="13.5" style="138" customWidth="1"/>
    <col min="4628" max="4628" width="13" style="138" customWidth="1"/>
    <col min="4629" max="4629" width="12.33203125" style="138" customWidth="1"/>
    <col min="4630" max="4630" width="14.6640625" style="138" customWidth="1"/>
    <col min="4631" max="4869" width="9" style="138"/>
    <col min="4870" max="4870" width="7.5" style="138" customWidth="1"/>
    <col min="4871" max="4871" width="20.6640625" style="138" customWidth="1"/>
    <col min="4872" max="4872" width="10.6640625" style="138" customWidth="1"/>
    <col min="4873" max="4873" width="29.33203125" style="138" customWidth="1"/>
    <col min="4874" max="4874" width="11.33203125" style="138" customWidth="1"/>
    <col min="4875" max="4875" width="6.6640625" style="138" customWidth="1"/>
    <col min="4876" max="4876" width="5.1640625" style="138" bestFit="1" customWidth="1"/>
    <col min="4877" max="4877" width="9.1640625" style="138" customWidth="1"/>
    <col min="4878" max="4878" width="8.6640625" style="138" bestFit="1" customWidth="1"/>
    <col min="4879" max="4879" width="10.5" style="138" customWidth="1"/>
    <col min="4880" max="4880" width="9" style="138" bestFit="1"/>
    <col min="4881" max="4881" width="9.6640625" style="138" customWidth="1"/>
    <col min="4882" max="4882" width="21.1640625" style="138" customWidth="1"/>
    <col min="4883" max="4883" width="13.5" style="138" customWidth="1"/>
    <col min="4884" max="4884" width="13" style="138" customWidth="1"/>
    <col min="4885" max="4885" width="12.33203125" style="138" customWidth="1"/>
    <col min="4886" max="4886" width="14.6640625" style="138" customWidth="1"/>
    <col min="4887" max="5125" width="9" style="138"/>
    <col min="5126" max="5126" width="7.5" style="138" customWidth="1"/>
    <col min="5127" max="5127" width="20.6640625" style="138" customWidth="1"/>
    <col min="5128" max="5128" width="10.6640625" style="138" customWidth="1"/>
    <col min="5129" max="5129" width="29.33203125" style="138" customWidth="1"/>
    <col min="5130" max="5130" width="11.33203125" style="138" customWidth="1"/>
    <col min="5131" max="5131" width="6.6640625" style="138" customWidth="1"/>
    <col min="5132" max="5132" width="5.1640625" style="138" bestFit="1" customWidth="1"/>
    <col min="5133" max="5133" width="9.1640625" style="138" customWidth="1"/>
    <col min="5134" max="5134" width="8.6640625" style="138" bestFit="1" customWidth="1"/>
    <col min="5135" max="5135" width="10.5" style="138" customWidth="1"/>
    <col min="5136" max="5136" width="9" style="138" bestFit="1"/>
    <col min="5137" max="5137" width="9.6640625" style="138" customWidth="1"/>
    <col min="5138" max="5138" width="21.1640625" style="138" customWidth="1"/>
    <col min="5139" max="5139" width="13.5" style="138" customWidth="1"/>
    <col min="5140" max="5140" width="13" style="138" customWidth="1"/>
    <col min="5141" max="5141" width="12.33203125" style="138" customWidth="1"/>
    <col min="5142" max="5142" width="14.6640625" style="138" customWidth="1"/>
    <col min="5143" max="5381" width="9" style="138"/>
    <col min="5382" max="5382" width="7.5" style="138" customWidth="1"/>
    <col min="5383" max="5383" width="20.6640625" style="138" customWidth="1"/>
    <col min="5384" max="5384" width="10.6640625" style="138" customWidth="1"/>
    <col min="5385" max="5385" width="29.33203125" style="138" customWidth="1"/>
    <col min="5386" max="5386" width="11.33203125" style="138" customWidth="1"/>
    <col min="5387" max="5387" width="6.6640625" style="138" customWidth="1"/>
    <col min="5388" max="5388" width="5.1640625" style="138" bestFit="1" customWidth="1"/>
    <col min="5389" max="5389" width="9.1640625" style="138" customWidth="1"/>
    <col min="5390" max="5390" width="8.6640625" style="138" bestFit="1" customWidth="1"/>
    <col min="5391" max="5391" width="10.5" style="138" customWidth="1"/>
    <col min="5392" max="5392" width="9" style="138" bestFit="1"/>
    <col min="5393" max="5393" width="9.6640625" style="138" customWidth="1"/>
    <col min="5394" max="5394" width="21.1640625" style="138" customWidth="1"/>
    <col min="5395" max="5395" width="13.5" style="138" customWidth="1"/>
    <col min="5396" max="5396" width="13" style="138" customWidth="1"/>
    <col min="5397" max="5397" width="12.33203125" style="138" customWidth="1"/>
    <col min="5398" max="5398" width="14.6640625" style="138" customWidth="1"/>
    <col min="5399" max="5637" width="9" style="138"/>
    <col min="5638" max="5638" width="7.5" style="138" customWidth="1"/>
    <col min="5639" max="5639" width="20.6640625" style="138" customWidth="1"/>
    <col min="5640" max="5640" width="10.6640625" style="138" customWidth="1"/>
    <col min="5641" max="5641" width="29.33203125" style="138" customWidth="1"/>
    <col min="5642" max="5642" width="11.33203125" style="138" customWidth="1"/>
    <col min="5643" max="5643" width="6.6640625" style="138" customWidth="1"/>
    <col min="5644" max="5644" width="5.1640625" style="138" bestFit="1" customWidth="1"/>
    <col min="5645" max="5645" width="9.1640625" style="138" customWidth="1"/>
    <col min="5646" max="5646" width="8.6640625" style="138" bestFit="1" customWidth="1"/>
    <col min="5647" max="5647" width="10.5" style="138" customWidth="1"/>
    <col min="5648" max="5648" width="9" style="138" bestFit="1"/>
    <col min="5649" max="5649" width="9.6640625" style="138" customWidth="1"/>
    <col min="5650" max="5650" width="21.1640625" style="138" customWidth="1"/>
    <col min="5651" max="5651" width="13.5" style="138" customWidth="1"/>
    <col min="5652" max="5652" width="13" style="138" customWidth="1"/>
    <col min="5653" max="5653" width="12.33203125" style="138" customWidth="1"/>
    <col min="5654" max="5654" width="14.6640625" style="138" customWidth="1"/>
    <col min="5655" max="5893" width="9" style="138"/>
    <col min="5894" max="5894" width="7.5" style="138" customWidth="1"/>
    <col min="5895" max="5895" width="20.6640625" style="138" customWidth="1"/>
    <col min="5896" max="5896" width="10.6640625" style="138" customWidth="1"/>
    <col min="5897" max="5897" width="29.33203125" style="138" customWidth="1"/>
    <col min="5898" max="5898" width="11.33203125" style="138" customWidth="1"/>
    <col min="5899" max="5899" width="6.6640625" style="138" customWidth="1"/>
    <col min="5900" max="5900" width="5.1640625" style="138" bestFit="1" customWidth="1"/>
    <col min="5901" max="5901" width="9.1640625" style="138" customWidth="1"/>
    <col min="5902" max="5902" width="8.6640625" style="138" bestFit="1" customWidth="1"/>
    <col min="5903" max="5903" width="10.5" style="138" customWidth="1"/>
    <col min="5904" max="5904" width="9" style="138" bestFit="1"/>
    <col min="5905" max="5905" width="9.6640625" style="138" customWidth="1"/>
    <col min="5906" max="5906" width="21.1640625" style="138" customWidth="1"/>
    <col min="5907" max="5907" width="13.5" style="138" customWidth="1"/>
    <col min="5908" max="5908" width="13" style="138" customWidth="1"/>
    <col min="5909" max="5909" width="12.33203125" style="138" customWidth="1"/>
    <col min="5910" max="5910" width="14.6640625" style="138" customWidth="1"/>
    <col min="5911" max="6149" width="9" style="138"/>
    <col min="6150" max="6150" width="7.5" style="138" customWidth="1"/>
    <col min="6151" max="6151" width="20.6640625" style="138" customWidth="1"/>
    <col min="6152" max="6152" width="10.6640625" style="138" customWidth="1"/>
    <col min="6153" max="6153" width="29.33203125" style="138" customWidth="1"/>
    <col min="6154" max="6154" width="11.33203125" style="138" customWidth="1"/>
    <col min="6155" max="6155" width="6.6640625" style="138" customWidth="1"/>
    <col min="6156" max="6156" width="5.1640625" style="138" bestFit="1" customWidth="1"/>
    <col min="6157" max="6157" width="9.1640625" style="138" customWidth="1"/>
    <col min="6158" max="6158" width="8.6640625" style="138" bestFit="1" customWidth="1"/>
    <col min="6159" max="6159" width="10.5" style="138" customWidth="1"/>
    <col min="6160" max="6160" width="9" style="138" bestFit="1"/>
    <col min="6161" max="6161" width="9.6640625" style="138" customWidth="1"/>
    <col min="6162" max="6162" width="21.1640625" style="138" customWidth="1"/>
    <col min="6163" max="6163" width="13.5" style="138" customWidth="1"/>
    <col min="6164" max="6164" width="13" style="138" customWidth="1"/>
    <col min="6165" max="6165" width="12.33203125" style="138" customWidth="1"/>
    <col min="6166" max="6166" width="14.6640625" style="138" customWidth="1"/>
    <col min="6167" max="6405" width="9" style="138"/>
    <col min="6406" max="6406" width="7.5" style="138" customWidth="1"/>
    <col min="6407" max="6407" width="20.6640625" style="138" customWidth="1"/>
    <col min="6408" max="6408" width="10.6640625" style="138" customWidth="1"/>
    <col min="6409" max="6409" width="29.33203125" style="138" customWidth="1"/>
    <col min="6410" max="6410" width="11.33203125" style="138" customWidth="1"/>
    <col min="6411" max="6411" width="6.6640625" style="138" customWidth="1"/>
    <col min="6412" max="6412" width="5.1640625" style="138" bestFit="1" customWidth="1"/>
    <col min="6413" max="6413" width="9.1640625" style="138" customWidth="1"/>
    <col min="6414" max="6414" width="8.6640625" style="138" bestFit="1" customWidth="1"/>
    <col min="6415" max="6415" width="10.5" style="138" customWidth="1"/>
    <col min="6416" max="6416" width="9" style="138" bestFit="1"/>
    <col min="6417" max="6417" width="9.6640625" style="138" customWidth="1"/>
    <col min="6418" max="6418" width="21.1640625" style="138" customWidth="1"/>
    <col min="6419" max="6419" width="13.5" style="138" customWidth="1"/>
    <col min="6420" max="6420" width="13" style="138" customWidth="1"/>
    <col min="6421" max="6421" width="12.33203125" style="138" customWidth="1"/>
    <col min="6422" max="6422" width="14.6640625" style="138" customWidth="1"/>
    <col min="6423" max="6661" width="9" style="138"/>
    <col min="6662" max="6662" width="7.5" style="138" customWidth="1"/>
    <col min="6663" max="6663" width="20.6640625" style="138" customWidth="1"/>
    <col min="6664" max="6664" width="10.6640625" style="138" customWidth="1"/>
    <col min="6665" max="6665" width="29.33203125" style="138" customWidth="1"/>
    <col min="6666" max="6666" width="11.33203125" style="138" customWidth="1"/>
    <col min="6667" max="6667" width="6.6640625" style="138" customWidth="1"/>
    <col min="6668" max="6668" width="5.1640625" style="138" bestFit="1" customWidth="1"/>
    <col min="6669" max="6669" width="9.1640625" style="138" customWidth="1"/>
    <col min="6670" max="6670" width="8.6640625" style="138" bestFit="1" customWidth="1"/>
    <col min="6671" max="6671" width="10.5" style="138" customWidth="1"/>
    <col min="6672" max="6672" width="9" style="138" bestFit="1"/>
    <col min="6673" max="6673" width="9.6640625" style="138" customWidth="1"/>
    <col min="6674" max="6674" width="21.1640625" style="138" customWidth="1"/>
    <col min="6675" max="6675" width="13.5" style="138" customWidth="1"/>
    <col min="6676" max="6676" width="13" style="138" customWidth="1"/>
    <col min="6677" max="6677" width="12.33203125" style="138" customWidth="1"/>
    <col min="6678" max="6678" width="14.6640625" style="138" customWidth="1"/>
    <col min="6679" max="6917" width="9" style="138"/>
    <col min="6918" max="6918" width="7.5" style="138" customWidth="1"/>
    <col min="6919" max="6919" width="20.6640625" style="138" customWidth="1"/>
    <col min="6920" max="6920" width="10.6640625" style="138" customWidth="1"/>
    <col min="6921" max="6921" width="29.33203125" style="138" customWidth="1"/>
    <col min="6922" max="6922" width="11.33203125" style="138" customWidth="1"/>
    <col min="6923" max="6923" width="6.6640625" style="138" customWidth="1"/>
    <col min="6924" max="6924" width="5.1640625" style="138" bestFit="1" customWidth="1"/>
    <col min="6925" max="6925" width="9.1640625" style="138" customWidth="1"/>
    <col min="6926" max="6926" width="8.6640625" style="138" bestFit="1" customWidth="1"/>
    <col min="6927" max="6927" width="10.5" style="138" customWidth="1"/>
    <col min="6928" max="6928" width="9" style="138" bestFit="1"/>
    <col min="6929" max="6929" width="9.6640625" style="138" customWidth="1"/>
    <col min="6930" max="6930" width="21.1640625" style="138" customWidth="1"/>
    <col min="6931" max="6931" width="13.5" style="138" customWidth="1"/>
    <col min="6932" max="6932" width="13" style="138" customWidth="1"/>
    <col min="6933" max="6933" width="12.33203125" style="138" customWidth="1"/>
    <col min="6934" max="6934" width="14.6640625" style="138" customWidth="1"/>
    <col min="6935" max="7173" width="9" style="138"/>
    <col min="7174" max="7174" width="7.5" style="138" customWidth="1"/>
    <col min="7175" max="7175" width="20.6640625" style="138" customWidth="1"/>
    <col min="7176" max="7176" width="10.6640625" style="138" customWidth="1"/>
    <col min="7177" max="7177" width="29.33203125" style="138" customWidth="1"/>
    <col min="7178" max="7178" width="11.33203125" style="138" customWidth="1"/>
    <col min="7179" max="7179" width="6.6640625" style="138" customWidth="1"/>
    <col min="7180" max="7180" width="5.1640625" style="138" bestFit="1" customWidth="1"/>
    <col min="7181" max="7181" width="9.1640625" style="138" customWidth="1"/>
    <col min="7182" max="7182" width="8.6640625" style="138" bestFit="1" customWidth="1"/>
    <col min="7183" max="7183" width="10.5" style="138" customWidth="1"/>
    <col min="7184" max="7184" width="9" style="138" bestFit="1"/>
    <col min="7185" max="7185" width="9.6640625" style="138" customWidth="1"/>
    <col min="7186" max="7186" width="21.1640625" style="138" customWidth="1"/>
    <col min="7187" max="7187" width="13.5" style="138" customWidth="1"/>
    <col min="7188" max="7188" width="13" style="138" customWidth="1"/>
    <col min="7189" max="7189" width="12.33203125" style="138" customWidth="1"/>
    <col min="7190" max="7190" width="14.6640625" style="138" customWidth="1"/>
    <col min="7191" max="7429" width="9" style="138"/>
    <col min="7430" max="7430" width="7.5" style="138" customWidth="1"/>
    <col min="7431" max="7431" width="20.6640625" style="138" customWidth="1"/>
    <col min="7432" max="7432" width="10.6640625" style="138" customWidth="1"/>
    <col min="7433" max="7433" width="29.33203125" style="138" customWidth="1"/>
    <col min="7434" max="7434" width="11.33203125" style="138" customWidth="1"/>
    <col min="7435" max="7435" width="6.6640625" style="138" customWidth="1"/>
    <col min="7436" max="7436" width="5.1640625" style="138" bestFit="1" customWidth="1"/>
    <col min="7437" max="7437" width="9.1640625" style="138" customWidth="1"/>
    <col min="7438" max="7438" width="8.6640625" style="138" bestFit="1" customWidth="1"/>
    <col min="7439" max="7439" width="10.5" style="138" customWidth="1"/>
    <col min="7440" max="7440" width="9" style="138" bestFit="1"/>
    <col min="7441" max="7441" width="9.6640625" style="138" customWidth="1"/>
    <col min="7442" max="7442" width="21.1640625" style="138" customWidth="1"/>
    <col min="7443" max="7443" width="13.5" style="138" customWidth="1"/>
    <col min="7444" max="7444" width="13" style="138" customWidth="1"/>
    <col min="7445" max="7445" width="12.33203125" style="138" customWidth="1"/>
    <col min="7446" max="7446" width="14.6640625" style="138" customWidth="1"/>
    <col min="7447" max="7685" width="9" style="138"/>
    <col min="7686" max="7686" width="7.5" style="138" customWidth="1"/>
    <col min="7687" max="7687" width="20.6640625" style="138" customWidth="1"/>
    <col min="7688" max="7688" width="10.6640625" style="138" customWidth="1"/>
    <col min="7689" max="7689" width="29.33203125" style="138" customWidth="1"/>
    <col min="7690" max="7690" width="11.33203125" style="138" customWidth="1"/>
    <col min="7691" max="7691" width="6.6640625" style="138" customWidth="1"/>
    <col min="7692" max="7692" width="5.1640625" style="138" bestFit="1" customWidth="1"/>
    <col min="7693" max="7693" width="9.1640625" style="138" customWidth="1"/>
    <col min="7694" max="7694" width="8.6640625" style="138" bestFit="1" customWidth="1"/>
    <col min="7695" max="7695" width="10.5" style="138" customWidth="1"/>
    <col min="7696" max="7696" width="9" style="138" bestFit="1"/>
    <col min="7697" max="7697" width="9.6640625" style="138" customWidth="1"/>
    <col min="7698" max="7698" width="21.1640625" style="138" customWidth="1"/>
    <col min="7699" max="7699" width="13.5" style="138" customWidth="1"/>
    <col min="7700" max="7700" width="13" style="138" customWidth="1"/>
    <col min="7701" max="7701" width="12.33203125" style="138" customWidth="1"/>
    <col min="7702" max="7702" width="14.6640625" style="138" customWidth="1"/>
    <col min="7703" max="7941" width="9" style="138"/>
    <col min="7942" max="7942" width="7.5" style="138" customWidth="1"/>
    <col min="7943" max="7943" width="20.6640625" style="138" customWidth="1"/>
    <col min="7944" max="7944" width="10.6640625" style="138" customWidth="1"/>
    <col min="7945" max="7945" width="29.33203125" style="138" customWidth="1"/>
    <col min="7946" max="7946" width="11.33203125" style="138" customWidth="1"/>
    <col min="7947" max="7947" width="6.6640625" style="138" customWidth="1"/>
    <col min="7948" max="7948" width="5.1640625" style="138" bestFit="1" customWidth="1"/>
    <col min="7949" max="7949" width="9.1640625" style="138" customWidth="1"/>
    <col min="7950" max="7950" width="8.6640625" style="138" bestFit="1" customWidth="1"/>
    <col min="7951" max="7951" width="10.5" style="138" customWidth="1"/>
    <col min="7952" max="7952" width="9" style="138" bestFit="1"/>
    <col min="7953" max="7953" width="9.6640625" style="138" customWidth="1"/>
    <col min="7954" max="7954" width="21.1640625" style="138" customWidth="1"/>
    <col min="7955" max="7955" width="13.5" style="138" customWidth="1"/>
    <col min="7956" max="7956" width="13" style="138" customWidth="1"/>
    <col min="7957" max="7957" width="12.33203125" style="138" customWidth="1"/>
    <col min="7958" max="7958" width="14.6640625" style="138" customWidth="1"/>
    <col min="7959" max="8197" width="9" style="138"/>
    <col min="8198" max="8198" width="7.5" style="138" customWidth="1"/>
    <col min="8199" max="8199" width="20.6640625" style="138" customWidth="1"/>
    <col min="8200" max="8200" width="10.6640625" style="138" customWidth="1"/>
    <col min="8201" max="8201" width="29.33203125" style="138" customWidth="1"/>
    <col min="8202" max="8202" width="11.33203125" style="138" customWidth="1"/>
    <col min="8203" max="8203" width="6.6640625" style="138" customWidth="1"/>
    <col min="8204" max="8204" width="5.1640625" style="138" bestFit="1" customWidth="1"/>
    <col min="8205" max="8205" width="9.1640625" style="138" customWidth="1"/>
    <col min="8206" max="8206" width="8.6640625" style="138" bestFit="1" customWidth="1"/>
    <col min="8207" max="8207" width="10.5" style="138" customWidth="1"/>
    <col min="8208" max="8208" width="9" style="138" bestFit="1"/>
    <col min="8209" max="8209" width="9.6640625" style="138" customWidth="1"/>
    <col min="8210" max="8210" width="21.1640625" style="138" customWidth="1"/>
    <col min="8211" max="8211" width="13.5" style="138" customWidth="1"/>
    <col min="8212" max="8212" width="13" style="138" customWidth="1"/>
    <col min="8213" max="8213" width="12.33203125" style="138" customWidth="1"/>
    <col min="8214" max="8214" width="14.6640625" style="138" customWidth="1"/>
    <col min="8215" max="8453" width="9" style="138"/>
    <col min="8454" max="8454" width="7.5" style="138" customWidth="1"/>
    <col min="8455" max="8455" width="20.6640625" style="138" customWidth="1"/>
    <col min="8456" max="8456" width="10.6640625" style="138" customWidth="1"/>
    <col min="8457" max="8457" width="29.33203125" style="138" customWidth="1"/>
    <col min="8458" max="8458" width="11.33203125" style="138" customWidth="1"/>
    <col min="8459" max="8459" width="6.6640625" style="138" customWidth="1"/>
    <col min="8460" max="8460" width="5.1640625" style="138" bestFit="1" customWidth="1"/>
    <col min="8461" max="8461" width="9.1640625" style="138" customWidth="1"/>
    <col min="8462" max="8462" width="8.6640625" style="138" bestFit="1" customWidth="1"/>
    <col min="8463" max="8463" width="10.5" style="138" customWidth="1"/>
    <col min="8464" max="8464" width="9" style="138" bestFit="1"/>
    <col min="8465" max="8465" width="9.6640625" style="138" customWidth="1"/>
    <col min="8466" max="8466" width="21.1640625" style="138" customWidth="1"/>
    <col min="8467" max="8467" width="13.5" style="138" customWidth="1"/>
    <col min="8468" max="8468" width="13" style="138" customWidth="1"/>
    <col min="8469" max="8469" width="12.33203125" style="138" customWidth="1"/>
    <col min="8470" max="8470" width="14.6640625" style="138" customWidth="1"/>
    <col min="8471" max="8709" width="9" style="138"/>
    <col min="8710" max="8710" width="7.5" style="138" customWidth="1"/>
    <col min="8711" max="8711" width="20.6640625" style="138" customWidth="1"/>
    <col min="8712" max="8712" width="10.6640625" style="138" customWidth="1"/>
    <col min="8713" max="8713" width="29.33203125" style="138" customWidth="1"/>
    <col min="8714" max="8714" width="11.33203125" style="138" customWidth="1"/>
    <col min="8715" max="8715" width="6.6640625" style="138" customWidth="1"/>
    <col min="8716" max="8716" width="5.1640625" style="138" bestFit="1" customWidth="1"/>
    <col min="8717" max="8717" width="9.1640625" style="138" customWidth="1"/>
    <col min="8718" max="8718" width="8.6640625" style="138" bestFit="1" customWidth="1"/>
    <col min="8719" max="8719" width="10.5" style="138" customWidth="1"/>
    <col min="8720" max="8720" width="9" style="138" bestFit="1"/>
    <col min="8721" max="8721" width="9.6640625" style="138" customWidth="1"/>
    <col min="8722" max="8722" width="21.1640625" style="138" customWidth="1"/>
    <col min="8723" max="8723" width="13.5" style="138" customWidth="1"/>
    <col min="8724" max="8724" width="13" style="138" customWidth="1"/>
    <col min="8725" max="8725" width="12.33203125" style="138" customWidth="1"/>
    <col min="8726" max="8726" width="14.6640625" style="138" customWidth="1"/>
    <col min="8727" max="8965" width="9" style="138"/>
    <col min="8966" max="8966" width="7.5" style="138" customWidth="1"/>
    <col min="8967" max="8967" width="20.6640625" style="138" customWidth="1"/>
    <col min="8968" max="8968" width="10.6640625" style="138" customWidth="1"/>
    <col min="8969" max="8969" width="29.33203125" style="138" customWidth="1"/>
    <col min="8970" max="8970" width="11.33203125" style="138" customWidth="1"/>
    <col min="8971" max="8971" width="6.6640625" style="138" customWidth="1"/>
    <col min="8972" max="8972" width="5.1640625" style="138" bestFit="1" customWidth="1"/>
    <col min="8973" max="8973" width="9.1640625" style="138" customWidth="1"/>
    <col min="8974" max="8974" width="8.6640625" style="138" bestFit="1" customWidth="1"/>
    <col min="8975" max="8975" width="10.5" style="138" customWidth="1"/>
    <col min="8976" max="8976" width="9" style="138" bestFit="1"/>
    <col min="8977" max="8977" width="9.6640625" style="138" customWidth="1"/>
    <col min="8978" max="8978" width="21.1640625" style="138" customWidth="1"/>
    <col min="8979" max="8979" width="13.5" style="138" customWidth="1"/>
    <col min="8980" max="8980" width="13" style="138" customWidth="1"/>
    <col min="8981" max="8981" width="12.33203125" style="138" customWidth="1"/>
    <col min="8982" max="8982" width="14.6640625" style="138" customWidth="1"/>
    <col min="8983" max="9221" width="9" style="138"/>
    <col min="9222" max="9222" width="7.5" style="138" customWidth="1"/>
    <col min="9223" max="9223" width="20.6640625" style="138" customWidth="1"/>
    <col min="9224" max="9224" width="10.6640625" style="138" customWidth="1"/>
    <col min="9225" max="9225" width="29.33203125" style="138" customWidth="1"/>
    <col min="9226" max="9226" width="11.33203125" style="138" customWidth="1"/>
    <col min="9227" max="9227" width="6.6640625" style="138" customWidth="1"/>
    <col min="9228" max="9228" width="5.1640625" style="138" bestFit="1" customWidth="1"/>
    <col min="9229" max="9229" width="9.1640625" style="138" customWidth="1"/>
    <col min="9230" max="9230" width="8.6640625" style="138" bestFit="1" customWidth="1"/>
    <col min="9231" max="9231" width="10.5" style="138" customWidth="1"/>
    <col min="9232" max="9232" width="9" style="138" bestFit="1"/>
    <col min="9233" max="9233" width="9.6640625" style="138" customWidth="1"/>
    <col min="9234" max="9234" width="21.1640625" style="138" customWidth="1"/>
    <col min="9235" max="9235" width="13.5" style="138" customWidth="1"/>
    <col min="9236" max="9236" width="13" style="138" customWidth="1"/>
    <col min="9237" max="9237" width="12.33203125" style="138" customWidth="1"/>
    <col min="9238" max="9238" width="14.6640625" style="138" customWidth="1"/>
    <col min="9239" max="9477" width="9" style="138"/>
    <col min="9478" max="9478" width="7.5" style="138" customWidth="1"/>
    <col min="9479" max="9479" width="20.6640625" style="138" customWidth="1"/>
    <col min="9480" max="9480" width="10.6640625" style="138" customWidth="1"/>
    <col min="9481" max="9481" width="29.33203125" style="138" customWidth="1"/>
    <col min="9482" max="9482" width="11.33203125" style="138" customWidth="1"/>
    <col min="9483" max="9483" width="6.6640625" style="138" customWidth="1"/>
    <col min="9484" max="9484" width="5.1640625" style="138" bestFit="1" customWidth="1"/>
    <col min="9485" max="9485" width="9.1640625" style="138" customWidth="1"/>
    <col min="9486" max="9486" width="8.6640625" style="138" bestFit="1" customWidth="1"/>
    <col min="9487" max="9487" width="10.5" style="138" customWidth="1"/>
    <col min="9488" max="9488" width="9" style="138" bestFit="1"/>
    <col min="9489" max="9489" width="9.6640625" style="138" customWidth="1"/>
    <col min="9490" max="9490" width="21.1640625" style="138" customWidth="1"/>
    <col min="9491" max="9491" width="13.5" style="138" customWidth="1"/>
    <col min="9492" max="9492" width="13" style="138" customWidth="1"/>
    <col min="9493" max="9493" width="12.33203125" style="138" customWidth="1"/>
    <col min="9494" max="9494" width="14.6640625" style="138" customWidth="1"/>
    <col min="9495" max="9733" width="9" style="138"/>
    <col min="9734" max="9734" width="7.5" style="138" customWidth="1"/>
    <col min="9735" max="9735" width="20.6640625" style="138" customWidth="1"/>
    <col min="9736" max="9736" width="10.6640625" style="138" customWidth="1"/>
    <col min="9737" max="9737" width="29.33203125" style="138" customWidth="1"/>
    <col min="9738" max="9738" width="11.33203125" style="138" customWidth="1"/>
    <col min="9739" max="9739" width="6.6640625" style="138" customWidth="1"/>
    <col min="9740" max="9740" width="5.1640625" style="138" bestFit="1" customWidth="1"/>
    <col min="9741" max="9741" width="9.1640625" style="138" customWidth="1"/>
    <col min="9742" max="9742" width="8.6640625" style="138" bestFit="1" customWidth="1"/>
    <col min="9743" max="9743" width="10.5" style="138" customWidth="1"/>
    <col min="9744" max="9744" width="9" style="138" bestFit="1"/>
    <col min="9745" max="9745" width="9.6640625" style="138" customWidth="1"/>
    <col min="9746" max="9746" width="21.1640625" style="138" customWidth="1"/>
    <col min="9747" max="9747" width="13.5" style="138" customWidth="1"/>
    <col min="9748" max="9748" width="13" style="138" customWidth="1"/>
    <col min="9749" max="9749" width="12.33203125" style="138" customWidth="1"/>
    <col min="9750" max="9750" width="14.6640625" style="138" customWidth="1"/>
    <col min="9751" max="9989" width="9" style="138"/>
    <col min="9990" max="9990" width="7.5" style="138" customWidth="1"/>
    <col min="9991" max="9991" width="20.6640625" style="138" customWidth="1"/>
    <col min="9992" max="9992" width="10.6640625" style="138" customWidth="1"/>
    <col min="9993" max="9993" width="29.33203125" style="138" customWidth="1"/>
    <col min="9994" max="9994" width="11.33203125" style="138" customWidth="1"/>
    <col min="9995" max="9995" width="6.6640625" style="138" customWidth="1"/>
    <col min="9996" max="9996" width="5.1640625" style="138" bestFit="1" customWidth="1"/>
    <col min="9997" max="9997" width="9.1640625" style="138" customWidth="1"/>
    <col min="9998" max="9998" width="8.6640625" style="138" bestFit="1" customWidth="1"/>
    <col min="9999" max="9999" width="10.5" style="138" customWidth="1"/>
    <col min="10000" max="10000" width="9" style="138" bestFit="1"/>
    <col min="10001" max="10001" width="9.6640625" style="138" customWidth="1"/>
    <col min="10002" max="10002" width="21.1640625" style="138" customWidth="1"/>
    <col min="10003" max="10003" width="13.5" style="138" customWidth="1"/>
    <col min="10004" max="10004" width="13" style="138" customWidth="1"/>
    <col min="10005" max="10005" width="12.33203125" style="138" customWidth="1"/>
    <col min="10006" max="10006" width="14.6640625" style="138" customWidth="1"/>
    <col min="10007" max="10245" width="9" style="138"/>
    <col min="10246" max="10246" width="7.5" style="138" customWidth="1"/>
    <col min="10247" max="10247" width="20.6640625" style="138" customWidth="1"/>
    <col min="10248" max="10248" width="10.6640625" style="138" customWidth="1"/>
    <col min="10249" max="10249" width="29.33203125" style="138" customWidth="1"/>
    <col min="10250" max="10250" width="11.33203125" style="138" customWidth="1"/>
    <col min="10251" max="10251" width="6.6640625" style="138" customWidth="1"/>
    <col min="10252" max="10252" width="5.1640625" style="138" bestFit="1" customWidth="1"/>
    <col min="10253" max="10253" width="9.1640625" style="138" customWidth="1"/>
    <col min="10254" max="10254" width="8.6640625" style="138" bestFit="1" customWidth="1"/>
    <col min="10255" max="10255" width="10.5" style="138" customWidth="1"/>
    <col min="10256" max="10256" width="9" style="138" bestFit="1"/>
    <col min="10257" max="10257" width="9.6640625" style="138" customWidth="1"/>
    <col min="10258" max="10258" width="21.1640625" style="138" customWidth="1"/>
    <col min="10259" max="10259" width="13.5" style="138" customWidth="1"/>
    <col min="10260" max="10260" width="13" style="138" customWidth="1"/>
    <col min="10261" max="10261" width="12.33203125" style="138" customWidth="1"/>
    <col min="10262" max="10262" width="14.6640625" style="138" customWidth="1"/>
    <col min="10263" max="10501" width="9" style="138"/>
    <col min="10502" max="10502" width="7.5" style="138" customWidth="1"/>
    <col min="10503" max="10503" width="20.6640625" style="138" customWidth="1"/>
    <col min="10504" max="10504" width="10.6640625" style="138" customWidth="1"/>
    <col min="10505" max="10505" width="29.33203125" style="138" customWidth="1"/>
    <col min="10506" max="10506" width="11.33203125" style="138" customWidth="1"/>
    <col min="10507" max="10507" width="6.6640625" style="138" customWidth="1"/>
    <col min="10508" max="10508" width="5.1640625" style="138" bestFit="1" customWidth="1"/>
    <col min="10509" max="10509" width="9.1640625" style="138" customWidth="1"/>
    <col min="10510" max="10510" width="8.6640625" style="138" bestFit="1" customWidth="1"/>
    <col min="10511" max="10511" width="10.5" style="138" customWidth="1"/>
    <col min="10512" max="10512" width="9" style="138" bestFit="1"/>
    <col min="10513" max="10513" width="9.6640625" style="138" customWidth="1"/>
    <col min="10514" max="10514" width="21.1640625" style="138" customWidth="1"/>
    <col min="10515" max="10515" width="13.5" style="138" customWidth="1"/>
    <col min="10516" max="10516" width="13" style="138" customWidth="1"/>
    <col min="10517" max="10517" width="12.33203125" style="138" customWidth="1"/>
    <col min="10518" max="10518" width="14.6640625" style="138" customWidth="1"/>
    <col min="10519" max="10757" width="9" style="138"/>
    <col min="10758" max="10758" width="7.5" style="138" customWidth="1"/>
    <col min="10759" max="10759" width="20.6640625" style="138" customWidth="1"/>
    <col min="10760" max="10760" width="10.6640625" style="138" customWidth="1"/>
    <col min="10761" max="10761" width="29.33203125" style="138" customWidth="1"/>
    <col min="10762" max="10762" width="11.33203125" style="138" customWidth="1"/>
    <col min="10763" max="10763" width="6.6640625" style="138" customWidth="1"/>
    <col min="10764" max="10764" width="5.1640625" style="138" bestFit="1" customWidth="1"/>
    <col min="10765" max="10765" width="9.1640625" style="138" customWidth="1"/>
    <col min="10766" max="10766" width="8.6640625" style="138" bestFit="1" customWidth="1"/>
    <col min="10767" max="10767" width="10.5" style="138" customWidth="1"/>
    <col min="10768" max="10768" width="9" style="138" bestFit="1"/>
    <col min="10769" max="10769" width="9.6640625" style="138" customWidth="1"/>
    <col min="10770" max="10770" width="21.1640625" style="138" customWidth="1"/>
    <col min="10771" max="10771" width="13.5" style="138" customWidth="1"/>
    <col min="10772" max="10772" width="13" style="138" customWidth="1"/>
    <col min="10773" max="10773" width="12.33203125" style="138" customWidth="1"/>
    <col min="10774" max="10774" width="14.6640625" style="138" customWidth="1"/>
    <col min="10775" max="11013" width="9" style="138"/>
    <col min="11014" max="11014" width="7.5" style="138" customWidth="1"/>
    <col min="11015" max="11015" width="20.6640625" style="138" customWidth="1"/>
    <col min="11016" max="11016" width="10.6640625" style="138" customWidth="1"/>
    <col min="11017" max="11017" width="29.33203125" style="138" customWidth="1"/>
    <col min="11018" max="11018" width="11.33203125" style="138" customWidth="1"/>
    <col min="11019" max="11019" width="6.6640625" style="138" customWidth="1"/>
    <col min="11020" max="11020" width="5.1640625" style="138" bestFit="1" customWidth="1"/>
    <col min="11021" max="11021" width="9.1640625" style="138" customWidth="1"/>
    <col min="11022" max="11022" width="8.6640625" style="138" bestFit="1" customWidth="1"/>
    <col min="11023" max="11023" width="10.5" style="138" customWidth="1"/>
    <col min="11024" max="11024" width="9" style="138" bestFit="1"/>
    <col min="11025" max="11025" width="9.6640625" style="138" customWidth="1"/>
    <col min="11026" max="11026" width="21.1640625" style="138" customWidth="1"/>
    <col min="11027" max="11027" width="13.5" style="138" customWidth="1"/>
    <col min="11028" max="11028" width="13" style="138" customWidth="1"/>
    <col min="11029" max="11029" width="12.33203125" style="138" customWidth="1"/>
    <col min="11030" max="11030" width="14.6640625" style="138" customWidth="1"/>
    <col min="11031" max="11269" width="9" style="138"/>
    <col min="11270" max="11270" width="7.5" style="138" customWidth="1"/>
    <col min="11271" max="11271" width="20.6640625" style="138" customWidth="1"/>
    <col min="11272" max="11272" width="10.6640625" style="138" customWidth="1"/>
    <col min="11273" max="11273" width="29.33203125" style="138" customWidth="1"/>
    <col min="11274" max="11274" width="11.33203125" style="138" customWidth="1"/>
    <col min="11275" max="11275" width="6.6640625" style="138" customWidth="1"/>
    <col min="11276" max="11276" width="5.1640625" style="138" bestFit="1" customWidth="1"/>
    <col min="11277" max="11277" width="9.1640625" style="138" customWidth="1"/>
    <col min="11278" max="11278" width="8.6640625" style="138" bestFit="1" customWidth="1"/>
    <col min="11279" max="11279" width="10.5" style="138" customWidth="1"/>
    <col min="11280" max="11280" width="9" style="138" bestFit="1"/>
    <col min="11281" max="11281" width="9.6640625" style="138" customWidth="1"/>
    <col min="11282" max="11282" width="21.1640625" style="138" customWidth="1"/>
    <col min="11283" max="11283" width="13.5" style="138" customWidth="1"/>
    <col min="11284" max="11284" width="13" style="138" customWidth="1"/>
    <col min="11285" max="11285" width="12.33203125" style="138" customWidth="1"/>
    <col min="11286" max="11286" width="14.6640625" style="138" customWidth="1"/>
    <col min="11287" max="11525" width="9" style="138"/>
    <col min="11526" max="11526" width="7.5" style="138" customWidth="1"/>
    <col min="11527" max="11527" width="20.6640625" style="138" customWidth="1"/>
    <col min="11528" max="11528" width="10.6640625" style="138" customWidth="1"/>
    <col min="11529" max="11529" width="29.33203125" style="138" customWidth="1"/>
    <col min="11530" max="11530" width="11.33203125" style="138" customWidth="1"/>
    <col min="11531" max="11531" width="6.6640625" style="138" customWidth="1"/>
    <col min="11532" max="11532" width="5.1640625" style="138" bestFit="1" customWidth="1"/>
    <col min="11533" max="11533" width="9.1640625" style="138" customWidth="1"/>
    <col min="11534" max="11534" width="8.6640625" style="138" bestFit="1" customWidth="1"/>
    <col min="11535" max="11535" width="10.5" style="138" customWidth="1"/>
    <col min="11536" max="11536" width="9" style="138" bestFit="1"/>
    <col min="11537" max="11537" width="9.6640625" style="138" customWidth="1"/>
    <col min="11538" max="11538" width="21.1640625" style="138" customWidth="1"/>
    <col min="11539" max="11539" width="13.5" style="138" customWidth="1"/>
    <col min="11540" max="11540" width="13" style="138" customWidth="1"/>
    <col min="11541" max="11541" width="12.33203125" style="138" customWidth="1"/>
    <col min="11542" max="11542" width="14.6640625" style="138" customWidth="1"/>
    <col min="11543" max="11781" width="9" style="138"/>
    <col min="11782" max="11782" width="7.5" style="138" customWidth="1"/>
    <col min="11783" max="11783" width="20.6640625" style="138" customWidth="1"/>
    <col min="11784" max="11784" width="10.6640625" style="138" customWidth="1"/>
    <col min="11785" max="11785" width="29.33203125" style="138" customWidth="1"/>
    <col min="11786" max="11786" width="11.33203125" style="138" customWidth="1"/>
    <col min="11787" max="11787" width="6.6640625" style="138" customWidth="1"/>
    <col min="11788" max="11788" width="5.1640625" style="138" bestFit="1" customWidth="1"/>
    <col min="11789" max="11789" width="9.1640625" style="138" customWidth="1"/>
    <col min="11790" max="11790" width="8.6640625" style="138" bestFit="1" customWidth="1"/>
    <col min="11791" max="11791" width="10.5" style="138" customWidth="1"/>
    <col min="11792" max="11792" width="9" style="138" bestFit="1"/>
    <col min="11793" max="11793" width="9.6640625" style="138" customWidth="1"/>
    <col min="11794" max="11794" width="21.1640625" style="138" customWidth="1"/>
    <col min="11795" max="11795" width="13.5" style="138" customWidth="1"/>
    <col min="11796" max="11796" width="13" style="138" customWidth="1"/>
    <col min="11797" max="11797" width="12.33203125" style="138" customWidth="1"/>
    <col min="11798" max="11798" width="14.6640625" style="138" customWidth="1"/>
    <col min="11799" max="12037" width="9" style="138"/>
    <col min="12038" max="12038" width="7.5" style="138" customWidth="1"/>
    <col min="12039" max="12039" width="20.6640625" style="138" customWidth="1"/>
    <col min="12040" max="12040" width="10.6640625" style="138" customWidth="1"/>
    <col min="12041" max="12041" width="29.33203125" style="138" customWidth="1"/>
    <col min="12042" max="12042" width="11.33203125" style="138" customWidth="1"/>
    <col min="12043" max="12043" width="6.6640625" style="138" customWidth="1"/>
    <col min="12044" max="12044" width="5.1640625" style="138" bestFit="1" customWidth="1"/>
    <col min="12045" max="12045" width="9.1640625" style="138" customWidth="1"/>
    <col min="12046" max="12046" width="8.6640625" style="138" bestFit="1" customWidth="1"/>
    <col min="12047" max="12047" width="10.5" style="138" customWidth="1"/>
    <col min="12048" max="12048" width="9" style="138" bestFit="1"/>
    <col min="12049" max="12049" width="9.6640625" style="138" customWidth="1"/>
    <col min="12050" max="12050" width="21.1640625" style="138" customWidth="1"/>
    <col min="12051" max="12051" width="13.5" style="138" customWidth="1"/>
    <col min="12052" max="12052" width="13" style="138" customWidth="1"/>
    <col min="12053" max="12053" width="12.33203125" style="138" customWidth="1"/>
    <col min="12054" max="12054" width="14.6640625" style="138" customWidth="1"/>
    <col min="12055" max="12293" width="9" style="138"/>
    <col min="12294" max="12294" width="7.5" style="138" customWidth="1"/>
    <col min="12295" max="12295" width="20.6640625" style="138" customWidth="1"/>
    <col min="12296" max="12296" width="10.6640625" style="138" customWidth="1"/>
    <col min="12297" max="12297" width="29.33203125" style="138" customWidth="1"/>
    <col min="12298" max="12298" width="11.33203125" style="138" customWidth="1"/>
    <col min="12299" max="12299" width="6.6640625" style="138" customWidth="1"/>
    <col min="12300" max="12300" width="5.1640625" style="138" bestFit="1" customWidth="1"/>
    <col min="12301" max="12301" width="9.1640625" style="138" customWidth="1"/>
    <col min="12302" max="12302" width="8.6640625" style="138" bestFit="1" customWidth="1"/>
    <col min="12303" max="12303" width="10.5" style="138" customWidth="1"/>
    <col min="12304" max="12304" width="9" style="138" bestFit="1"/>
    <col min="12305" max="12305" width="9.6640625" style="138" customWidth="1"/>
    <col min="12306" max="12306" width="21.1640625" style="138" customWidth="1"/>
    <col min="12307" max="12307" width="13.5" style="138" customWidth="1"/>
    <col min="12308" max="12308" width="13" style="138" customWidth="1"/>
    <col min="12309" max="12309" width="12.33203125" style="138" customWidth="1"/>
    <col min="12310" max="12310" width="14.6640625" style="138" customWidth="1"/>
    <col min="12311" max="12549" width="9" style="138"/>
    <col min="12550" max="12550" width="7.5" style="138" customWidth="1"/>
    <col min="12551" max="12551" width="20.6640625" style="138" customWidth="1"/>
    <col min="12552" max="12552" width="10.6640625" style="138" customWidth="1"/>
    <col min="12553" max="12553" width="29.33203125" style="138" customWidth="1"/>
    <col min="12554" max="12554" width="11.33203125" style="138" customWidth="1"/>
    <col min="12555" max="12555" width="6.6640625" style="138" customWidth="1"/>
    <col min="12556" max="12556" width="5.1640625" style="138" bestFit="1" customWidth="1"/>
    <col min="12557" max="12557" width="9.1640625" style="138" customWidth="1"/>
    <col min="12558" max="12558" width="8.6640625" style="138" bestFit="1" customWidth="1"/>
    <col min="12559" max="12559" width="10.5" style="138" customWidth="1"/>
    <col min="12560" max="12560" width="9" style="138" bestFit="1"/>
    <col min="12561" max="12561" width="9.6640625" style="138" customWidth="1"/>
    <col min="12562" max="12562" width="21.1640625" style="138" customWidth="1"/>
    <col min="12563" max="12563" width="13.5" style="138" customWidth="1"/>
    <col min="12564" max="12564" width="13" style="138" customWidth="1"/>
    <col min="12565" max="12565" width="12.33203125" style="138" customWidth="1"/>
    <col min="12566" max="12566" width="14.6640625" style="138" customWidth="1"/>
    <col min="12567" max="12805" width="9" style="138"/>
    <col min="12806" max="12806" width="7.5" style="138" customWidth="1"/>
    <col min="12807" max="12807" width="20.6640625" style="138" customWidth="1"/>
    <col min="12808" max="12808" width="10.6640625" style="138" customWidth="1"/>
    <col min="12809" max="12809" width="29.33203125" style="138" customWidth="1"/>
    <col min="12810" max="12810" width="11.33203125" style="138" customWidth="1"/>
    <col min="12811" max="12811" width="6.6640625" style="138" customWidth="1"/>
    <col min="12812" max="12812" width="5.1640625" style="138" bestFit="1" customWidth="1"/>
    <col min="12813" max="12813" width="9.1640625" style="138" customWidth="1"/>
    <col min="12814" max="12814" width="8.6640625" style="138" bestFit="1" customWidth="1"/>
    <col min="12815" max="12815" width="10.5" style="138" customWidth="1"/>
    <col min="12816" max="12816" width="9" style="138" bestFit="1"/>
    <col min="12817" max="12817" width="9.6640625" style="138" customWidth="1"/>
    <col min="12818" max="12818" width="21.1640625" style="138" customWidth="1"/>
    <col min="12819" max="12819" width="13.5" style="138" customWidth="1"/>
    <col min="12820" max="12820" width="13" style="138" customWidth="1"/>
    <col min="12821" max="12821" width="12.33203125" style="138" customWidth="1"/>
    <col min="12822" max="12822" width="14.6640625" style="138" customWidth="1"/>
    <col min="12823" max="13061" width="9" style="138"/>
    <col min="13062" max="13062" width="7.5" style="138" customWidth="1"/>
    <col min="13063" max="13063" width="20.6640625" style="138" customWidth="1"/>
    <col min="13064" max="13064" width="10.6640625" style="138" customWidth="1"/>
    <col min="13065" max="13065" width="29.33203125" style="138" customWidth="1"/>
    <col min="13066" max="13066" width="11.33203125" style="138" customWidth="1"/>
    <col min="13067" max="13067" width="6.6640625" style="138" customWidth="1"/>
    <col min="13068" max="13068" width="5.1640625" style="138" bestFit="1" customWidth="1"/>
    <col min="13069" max="13069" width="9.1640625" style="138" customWidth="1"/>
    <col min="13070" max="13070" width="8.6640625" style="138" bestFit="1" customWidth="1"/>
    <col min="13071" max="13071" width="10.5" style="138" customWidth="1"/>
    <col min="13072" max="13072" width="9" style="138" bestFit="1"/>
    <col min="13073" max="13073" width="9.6640625" style="138" customWidth="1"/>
    <col min="13074" max="13074" width="21.1640625" style="138" customWidth="1"/>
    <col min="13075" max="13075" width="13.5" style="138" customWidth="1"/>
    <col min="13076" max="13076" width="13" style="138" customWidth="1"/>
    <col min="13077" max="13077" width="12.33203125" style="138" customWidth="1"/>
    <col min="13078" max="13078" width="14.6640625" style="138" customWidth="1"/>
    <col min="13079" max="13317" width="9" style="138"/>
    <col min="13318" max="13318" width="7.5" style="138" customWidth="1"/>
    <col min="13319" max="13319" width="20.6640625" style="138" customWidth="1"/>
    <col min="13320" max="13320" width="10.6640625" style="138" customWidth="1"/>
    <col min="13321" max="13321" width="29.33203125" style="138" customWidth="1"/>
    <col min="13322" max="13322" width="11.33203125" style="138" customWidth="1"/>
    <col min="13323" max="13323" width="6.6640625" style="138" customWidth="1"/>
    <col min="13324" max="13324" width="5.1640625" style="138" bestFit="1" customWidth="1"/>
    <col min="13325" max="13325" width="9.1640625" style="138" customWidth="1"/>
    <col min="13326" max="13326" width="8.6640625" style="138" bestFit="1" customWidth="1"/>
    <col min="13327" max="13327" width="10.5" style="138" customWidth="1"/>
    <col min="13328" max="13328" width="9" style="138" bestFit="1"/>
    <col min="13329" max="13329" width="9.6640625" style="138" customWidth="1"/>
    <col min="13330" max="13330" width="21.1640625" style="138" customWidth="1"/>
    <col min="13331" max="13331" width="13.5" style="138" customWidth="1"/>
    <col min="13332" max="13332" width="13" style="138" customWidth="1"/>
    <col min="13333" max="13333" width="12.33203125" style="138" customWidth="1"/>
    <col min="13334" max="13334" width="14.6640625" style="138" customWidth="1"/>
    <col min="13335" max="13573" width="9" style="138"/>
    <col min="13574" max="13574" width="7.5" style="138" customWidth="1"/>
    <col min="13575" max="13575" width="20.6640625" style="138" customWidth="1"/>
    <col min="13576" max="13576" width="10.6640625" style="138" customWidth="1"/>
    <col min="13577" max="13577" width="29.33203125" style="138" customWidth="1"/>
    <col min="13578" max="13578" width="11.33203125" style="138" customWidth="1"/>
    <col min="13579" max="13579" width="6.6640625" style="138" customWidth="1"/>
    <col min="13580" max="13580" width="5.1640625" style="138" bestFit="1" customWidth="1"/>
    <col min="13581" max="13581" width="9.1640625" style="138" customWidth="1"/>
    <col min="13582" max="13582" width="8.6640625" style="138" bestFit="1" customWidth="1"/>
    <col min="13583" max="13583" width="10.5" style="138" customWidth="1"/>
    <col min="13584" max="13584" width="9" style="138" bestFit="1"/>
    <col min="13585" max="13585" width="9.6640625" style="138" customWidth="1"/>
    <col min="13586" max="13586" width="21.1640625" style="138" customWidth="1"/>
    <col min="13587" max="13587" width="13.5" style="138" customWidth="1"/>
    <col min="13588" max="13588" width="13" style="138" customWidth="1"/>
    <col min="13589" max="13589" width="12.33203125" style="138" customWidth="1"/>
    <col min="13590" max="13590" width="14.6640625" style="138" customWidth="1"/>
    <col min="13591" max="13829" width="9" style="138"/>
    <col min="13830" max="13830" width="7.5" style="138" customWidth="1"/>
    <col min="13831" max="13831" width="20.6640625" style="138" customWidth="1"/>
    <col min="13832" max="13832" width="10.6640625" style="138" customWidth="1"/>
    <col min="13833" max="13833" width="29.33203125" style="138" customWidth="1"/>
    <col min="13834" max="13834" width="11.33203125" style="138" customWidth="1"/>
    <col min="13835" max="13835" width="6.6640625" style="138" customWidth="1"/>
    <col min="13836" max="13836" width="5.1640625" style="138" bestFit="1" customWidth="1"/>
    <col min="13837" max="13837" width="9.1640625" style="138" customWidth="1"/>
    <col min="13838" max="13838" width="8.6640625" style="138" bestFit="1" customWidth="1"/>
    <col min="13839" max="13839" width="10.5" style="138" customWidth="1"/>
    <col min="13840" max="13840" width="9" style="138" bestFit="1"/>
    <col min="13841" max="13841" width="9.6640625" style="138" customWidth="1"/>
    <col min="13842" max="13842" width="21.1640625" style="138" customWidth="1"/>
    <col min="13843" max="13843" width="13.5" style="138" customWidth="1"/>
    <col min="13844" max="13844" width="13" style="138" customWidth="1"/>
    <col min="13845" max="13845" width="12.33203125" style="138" customWidth="1"/>
    <col min="13846" max="13846" width="14.6640625" style="138" customWidth="1"/>
    <col min="13847" max="14085" width="9" style="138"/>
    <col min="14086" max="14086" width="7.5" style="138" customWidth="1"/>
    <col min="14087" max="14087" width="20.6640625" style="138" customWidth="1"/>
    <col min="14088" max="14088" width="10.6640625" style="138" customWidth="1"/>
    <col min="14089" max="14089" width="29.33203125" style="138" customWidth="1"/>
    <col min="14090" max="14090" width="11.33203125" style="138" customWidth="1"/>
    <col min="14091" max="14091" width="6.6640625" style="138" customWidth="1"/>
    <col min="14092" max="14092" width="5.1640625" style="138" bestFit="1" customWidth="1"/>
    <col min="14093" max="14093" width="9.1640625" style="138" customWidth="1"/>
    <col min="14094" max="14094" width="8.6640625" style="138" bestFit="1" customWidth="1"/>
    <col min="14095" max="14095" width="10.5" style="138" customWidth="1"/>
    <col min="14096" max="14096" width="9" style="138" bestFit="1"/>
    <col min="14097" max="14097" width="9.6640625" style="138" customWidth="1"/>
    <col min="14098" max="14098" width="21.1640625" style="138" customWidth="1"/>
    <col min="14099" max="14099" width="13.5" style="138" customWidth="1"/>
    <col min="14100" max="14100" width="13" style="138" customWidth="1"/>
    <col min="14101" max="14101" width="12.33203125" style="138" customWidth="1"/>
    <col min="14102" max="14102" width="14.6640625" style="138" customWidth="1"/>
    <col min="14103" max="14341" width="9" style="138"/>
    <col min="14342" max="14342" width="7.5" style="138" customWidth="1"/>
    <col min="14343" max="14343" width="20.6640625" style="138" customWidth="1"/>
    <col min="14344" max="14344" width="10.6640625" style="138" customWidth="1"/>
    <col min="14345" max="14345" width="29.33203125" style="138" customWidth="1"/>
    <col min="14346" max="14346" width="11.33203125" style="138" customWidth="1"/>
    <col min="14347" max="14347" width="6.6640625" style="138" customWidth="1"/>
    <col min="14348" max="14348" width="5.1640625" style="138" bestFit="1" customWidth="1"/>
    <col min="14349" max="14349" width="9.1640625" style="138" customWidth="1"/>
    <col min="14350" max="14350" width="8.6640625" style="138" bestFit="1" customWidth="1"/>
    <col min="14351" max="14351" width="10.5" style="138" customWidth="1"/>
    <col min="14352" max="14352" width="9" style="138" bestFit="1"/>
    <col min="14353" max="14353" width="9.6640625" style="138" customWidth="1"/>
    <col min="14354" max="14354" width="21.1640625" style="138" customWidth="1"/>
    <col min="14355" max="14355" width="13.5" style="138" customWidth="1"/>
    <col min="14356" max="14356" width="13" style="138" customWidth="1"/>
    <col min="14357" max="14357" width="12.33203125" style="138" customWidth="1"/>
    <col min="14358" max="14358" width="14.6640625" style="138" customWidth="1"/>
    <col min="14359" max="14597" width="9" style="138"/>
    <col min="14598" max="14598" width="7.5" style="138" customWidth="1"/>
    <col min="14599" max="14599" width="20.6640625" style="138" customWidth="1"/>
    <col min="14600" max="14600" width="10.6640625" style="138" customWidth="1"/>
    <col min="14601" max="14601" width="29.33203125" style="138" customWidth="1"/>
    <col min="14602" max="14602" width="11.33203125" style="138" customWidth="1"/>
    <col min="14603" max="14603" width="6.6640625" style="138" customWidth="1"/>
    <col min="14604" max="14604" width="5.1640625" style="138" bestFit="1" customWidth="1"/>
    <col min="14605" max="14605" width="9.1640625" style="138" customWidth="1"/>
    <col min="14606" max="14606" width="8.6640625" style="138" bestFit="1" customWidth="1"/>
    <col min="14607" max="14607" width="10.5" style="138" customWidth="1"/>
    <col min="14608" max="14608" width="9" style="138" bestFit="1"/>
    <col min="14609" max="14609" width="9.6640625" style="138" customWidth="1"/>
    <col min="14610" max="14610" width="21.1640625" style="138" customWidth="1"/>
    <col min="14611" max="14611" width="13.5" style="138" customWidth="1"/>
    <col min="14612" max="14612" width="13" style="138" customWidth="1"/>
    <col min="14613" max="14613" width="12.33203125" style="138" customWidth="1"/>
    <col min="14614" max="14614" width="14.6640625" style="138" customWidth="1"/>
    <col min="14615" max="14853" width="9" style="138"/>
    <col min="14854" max="14854" width="7.5" style="138" customWidth="1"/>
    <col min="14855" max="14855" width="20.6640625" style="138" customWidth="1"/>
    <col min="14856" max="14856" width="10.6640625" style="138" customWidth="1"/>
    <col min="14857" max="14857" width="29.33203125" style="138" customWidth="1"/>
    <col min="14858" max="14858" width="11.33203125" style="138" customWidth="1"/>
    <col min="14859" max="14859" width="6.6640625" style="138" customWidth="1"/>
    <col min="14860" max="14860" width="5.1640625" style="138" bestFit="1" customWidth="1"/>
    <col min="14861" max="14861" width="9.1640625" style="138" customWidth="1"/>
    <col min="14862" max="14862" width="8.6640625" style="138" bestFit="1" customWidth="1"/>
    <col min="14863" max="14863" width="10.5" style="138" customWidth="1"/>
    <col min="14864" max="14864" width="9" style="138" bestFit="1"/>
    <col min="14865" max="14865" width="9.6640625" style="138" customWidth="1"/>
    <col min="14866" max="14866" width="21.1640625" style="138" customWidth="1"/>
    <col min="14867" max="14867" width="13.5" style="138" customWidth="1"/>
    <col min="14868" max="14868" width="13" style="138" customWidth="1"/>
    <col min="14869" max="14869" width="12.33203125" style="138" customWidth="1"/>
    <col min="14870" max="14870" width="14.6640625" style="138" customWidth="1"/>
    <col min="14871" max="15109" width="9" style="138"/>
    <col min="15110" max="15110" width="7.5" style="138" customWidth="1"/>
    <col min="15111" max="15111" width="20.6640625" style="138" customWidth="1"/>
    <col min="15112" max="15112" width="10.6640625" style="138" customWidth="1"/>
    <col min="15113" max="15113" width="29.33203125" style="138" customWidth="1"/>
    <col min="15114" max="15114" width="11.33203125" style="138" customWidth="1"/>
    <col min="15115" max="15115" width="6.6640625" style="138" customWidth="1"/>
    <col min="15116" max="15116" width="5.1640625" style="138" bestFit="1" customWidth="1"/>
    <col min="15117" max="15117" width="9.1640625" style="138" customWidth="1"/>
    <col min="15118" max="15118" width="8.6640625" style="138" bestFit="1" customWidth="1"/>
    <col min="15119" max="15119" width="10.5" style="138" customWidth="1"/>
    <col min="15120" max="15120" width="9" style="138" bestFit="1"/>
    <col min="15121" max="15121" width="9.6640625" style="138" customWidth="1"/>
    <col min="15122" max="15122" width="21.1640625" style="138" customWidth="1"/>
    <col min="15123" max="15123" width="13.5" style="138" customWidth="1"/>
    <col min="15124" max="15124" width="13" style="138" customWidth="1"/>
    <col min="15125" max="15125" width="12.33203125" style="138" customWidth="1"/>
    <col min="15126" max="15126" width="14.6640625" style="138" customWidth="1"/>
    <col min="15127" max="15365" width="9" style="138"/>
    <col min="15366" max="15366" width="7.5" style="138" customWidth="1"/>
    <col min="15367" max="15367" width="20.6640625" style="138" customWidth="1"/>
    <col min="15368" max="15368" width="10.6640625" style="138" customWidth="1"/>
    <col min="15369" max="15369" width="29.33203125" style="138" customWidth="1"/>
    <col min="15370" max="15370" width="11.33203125" style="138" customWidth="1"/>
    <col min="15371" max="15371" width="6.6640625" style="138" customWidth="1"/>
    <col min="15372" max="15372" width="5.1640625" style="138" bestFit="1" customWidth="1"/>
    <col min="15373" max="15373" width="9.1640625" style="138" customWidth="1"/>
    <col min="15374" max="15374" width="8.6640625" style="138" bestFit="1" customWidth="1"/>
    <col min="15375" max="15375" width="10.5" style="138" customWidth="1"/>
    <col min="15376" max="15376" width="9" style="138" bestFit="1"/>
    <col min="15377" max="15377" width="9.6640625" style="138" customWidth="1"/>
    <col min="15378" max="15378" width="21.1640625" style="138" customWidth="1"/>
    <col min="15379" max="15379" width="13.5" style="138" customWidth="1"/>
    <col min="15380" max="15380" width="13" style="138" customWidth="1"/>
    <col min="15381" max="15381" width="12.33203125" style="138" customWidth="1"/>
    <col min="15382" max="15382" width="14.6640625" style="138" customWidth="1"/>
    <col min="15383" max="15621" width="9" style="138"/>
    <col min="15622" max="15622" width="7.5" style="138" customWidth="1"/>
    <col min="15623" max="15623" width="20.6640625" style="138" customWidth="1"/>
    <col min="15624" max="15624" width="10.6640625" style="138" customWidth="1"/>
    <col min="15625" max="15625" width="29.33203125" style="138" customWidth="1"/>
    <col min="15626" max="15626" width="11.33203125" style="138" customWidth="1"/>
    <col min="15627" max="15627" width="6.6640625" style="138" customWidth="1"/>
    <col min="15628" max="15628" width="5.1640625" style="138" bestFit="1" customWidth="1"/>
    <col min="15629" max="15629" width="9.1640625" style="138" customWidth="1"/>
    <col min="15630" max="15630" width="8.6640625" style="138" bestFit="1" customWidth="1"/>
    <col min="15631" max="15631" width="10.5" style="138" customWidth="1"/>
    <col min="15632" max="15632" width="9" style="138" bestFit="1"/>
    <col min="15633" max="15633" width="9.6640625" style="138" customWidth="1"/>
    <col min="15634" max="15634" width="21.1640625" style="138" customWidth="1"/>
    <col min="15635" max="15635" width="13.5" style="138" customWidth="1"/>
    <col min="15636" max="15636" width="13" style="138" customWidth="1"/>
    <col min="15637" max="15637" width="12.33203125" style="138" customWidth="1"/>
    <col min="15638" max="15638" width="14.6640625" style="138" customWidth="1"/>
    <col min="15639" max="15877" width="9" style="138"/>
    <col min="15878" max="15878" width="7.5" style="138" customWidth="1"/>
    <col min="15879" max="15879" width="20.6640625" style="138" customWidth="1"/>
    <col min="15880" max="15880" width="10.6640625" style="138" customWidth="1"/>
    <col min="15881" max="15881" width="29.33203125" style="138" customWidth="1"/>
    <col min="15882" max="15882" width="11.33203125" style="138" customWidth="1"/>
    <col min="15883" max="15883" width="6.6640625" style="138" customWidth="1"/>
    <col min="15884" max="15884" width="5.1640625" style="138" bestFit="1" customWidth="1"/>
    <col min="15885" max="15885" width="9.1640625" style="138" customWidth="1"/>
    <col min="15886" max="15886" width="8.6640625" style="138" bestFit="1" customWidth="1"/>
    <col min="15887" max="15887" width="10.5" style="138" customWidth="1"/>
    <col min="15888" max="15888" width="9" style="138" bestFit="1"/>
    <col min="15889" max="15889" width="9.6640625" style="138" customWidth="1"/>
    <col min="15890" max="15890" width="21.1640625" style="138" customWidth="1"/>
    <col min="15891" max="15891" width="13.5" style="138" customWidth="1"/>
    <col min="15892" max="15892" width="13" style="138" customWidth="1"/>
    <col min="15893" max="15893" width="12.33203125" style="138" customWidth="1"/>
    <col min="15894" max="15894" width="14.6640625" style="138" customWidth="1"/>
    <col min="15895" max="16133" width="9" style="138"/>
    <col min="16134" max="16134" width="7.5" style="138" customWidth="1"/>
    <col min="16135" max="16135" width="20.6640625" style="138" customWidth="1"/>
    <col min="16136" max="16136" width="10.6640625" style="138" customWidth="1"/>
    <col min="16137" max="16137" width="29.33203125" style="138" customWidth="1"/>
    <col min="16138" max="16138" width="11.33203125" style="138" customWidth="1"/>
    <col min="16139" max="16139" width="6.6640625" style="138" customWidth="1"/>
    <col min="16140" max="16140" width="5.1640625" style="138" bestFit="1" customWidth="1"/>
    <col min="16141" max="16141" width="9.1640625" style="138" customWidth="1"/>
    <col min="16142" max="16142" width="8.6640625" style="138" bestFit="1" customWidth="1"/>
    <col min="16143" max="16143" width="10.5" style="138" customWidth="1"/>
    <col min="16144" max="16144" width="9" style="138" bestFit="1"/>
    <col min="16145" max="16145" width="9.6640625" style="138" customWidth="1"/>
    <col min="16146" max="16146" width="21.1640625" style="138" customWidth="1"/>
    <col min="16147" max="16147" width="13.5" style="138" customWidth="1"/>
    <col min="16148" max="16148" width="13" style="138" customWidth="1"/>
    <col min="16149" max="16149" width="12.33203125" style="138" customWidth="1"/>
    <col min="16150" max="16150" width="14.6640625" style="138" customWidth="1"/>
    <col min="16151" max="16384" width="9" style="138"/>
  </cols>
  <sheetData>
    <row r="1" spans="1:24" ht="18" x14ac:dyDescent="0.2">
      <c r="A1" s="276" t="s">
        <v>202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198"/>
      <c r="N1" s="198"/>
      <c r="O1" s="198"/>
      <c r="P1" s="198"/>
      <c r="Q1" s="198"/>
      <c r="R1" s="198"/>
      <c r="S1" s="198"/>
      <c r="T1" s="198"/>
      <c r="U1" s="198"/>
    </row>
    <row r="2" spans="1:24" ht="19.5" customHeight="1" x14ac:dyDescent="0.2">
      <c r="A2" s="159"/>
      <c r="B2" s="160"/>
      <c r="C2" s="160"/>
      <c r="D2" s="160"/>
      <c r="E2" s="160"/>
      <c r="F2" s="160"/>
      <c r="G2" s="158"/>
      <c r="H2" s="158"/>
      <c r="I2" s="158"/>
      <c r="J2" s="161"/>
      <c r="K2" s="158"/>
      <c r="L2" s="162"/>
      <c r="M2" s="162"/>
      <c r="N2" s="158"/>
      <c r="O2" s="158"/>
      <c r="P2" s="158"/>
      <c r="R2" s="163"/>
      <c r="S2" s="147">
        <f>SUM(J4:J71)</f>
        <v>5217600</v>
      </c>
      <c r="T2" s="147">
        <f>SUM(K4:K71)</f>
        <v>8597500</v>
      </c>
      <c r="U2" s="147">
        <f>T2-S2</f>
        <v>3379900</v>
      </c>
      <c r="W2" s="138" t="s">
        <v>203</v>
      </c>
      <c r="X2" s="173">
        <v>10559771</v>
      </c>
    </row>
    <row r="3" spans="1:24" s="143" customFormat="1" ht="54" customHeight="1" x14ac:dyDescent="0.15">
      <c r="A3" s="140"/>
      <c r="B3" s="148" t="s">
        <v>155</v>
      </c>
      <c r="C3" s="148" t="s">
        <v>204</v>
      </c>
      <c r="D3" s="150" t="s">
        <v>205</v>
      </c>
      <c r="E3" s="149" t="s">
        <v>156</v>
      </c>
      <c r="F3" s="148" t="s">
        <v>206</v>
      </c>
      <c r="G3" s="148" t="s">
        <v>207</v>
      </c>
      <c r="H3" s="151" t="s">
        <v>208</v>
      </c>
      <c r="I3" s="151" t="s">
        <v>209</v>
      </c>
      <c r="J3" s="152" t="s">
        <v>210</v>
      </c>
      <c r="K3" s="144" t="s">
        <v>211</v>
      </c>
      <c r="L3" s="144" t="s">
        <v>190</v>
      </c>
    </row>
    <row r="4" spans="1:24" ht="14" x14ac:dyDescent="0.15">
      <c r="A4" s="165">
        <v>1</v>
      </c>
      <c r="B4" s="164" t="s">
        <v>212</v>
      </c>
      <c r="C4" s="165">
        <v>2001</v>
      </c>
      <c r="D4" s="166" t="s">
        <v>213</v>
      </c>
      <c r="E4" s="175">
        <v>12400</v>
      </c>
      <c r="F4" s="164" t="s">
        <v>165</v>
      </c>
      <c r="G4" s="209">
        <v>10</v>
      </c>
      <c r="H4" s="167" t="s">
        <v>214</v>
      </c>
      <c r="I4" s="207">
        <f>E4*G4</f>
        <v>124000</v>
      </c>
      <c r="J4" s="145">
        <v>75000</v>
      </c>
      <c r="K4" s="146">
        <v>90000</v>
      </c>
      <c r="L4" s="168">
        <f t="shared" ref="L4:L67" si="0">K4-J4</f>
        <v>15000</v>
      </c>
      <c r="T4" s="138"/>
    </row>
    <row r="5" spans="1:24" ht="14" x14ac:dyDescent="0.15">
      <c r="A5" s="165">
        <v>2</v>
      </c>
      <c r="B5" s="164" t="s">
        <v>215</v>
      </c>
      <c r="C5" s="165">
        <v>2002</v>
      </c>
      <c r="D5" s="166" t="s">
        <v>213</v>
      </c>
      <c r="E5" s="175">
        <v>12400</v>
      </c>
      <c r="F5" s="164" t="s">
        <v>194</v>
      </c>
      <c r="G5" s="209">
        <v>24</v>
      </c>
      <c r="H5" s="167" t="s">
        <v>216</v>
      </c>
      <c r="I5" s="207">
        <f t="shared" ref="I5:I68" si="1">E5*G5</f>
        <v>297600</v>
      </c>
      <c r="J5" s="145">
        <v>25100</v>
      </c>
      <c r="K5" s="146">
        <v>40000</v>
      </c>
      <c r="L5" s="168">
        <f t="shared" si="0"/>
        <v>14900</v>
      </c>
      <c r="T5" s="138"/>
    </row>
    <row r="6" spans="1:24" x14ac:dyDescent="0.15">
      <c r="A6" s="165">
        <v>3</v>
      </c>
      <c r="B6" s="164" t="s">
        <v>217</v>
      </c>
      <c r="C6" s="165">
        <v>2013</v>
      </c>
      <c r="D6" s="169">
        <v>150673</v>
      </c>
      <c r="E6" s="174">
        <f t="shared" ref="E6:E17" si="2">D6/(2024-C6)</f>
        <v>13697.545454545454</v>
      </c>
      <c r="F6" s="164" t="s">
        <v>194</v>
      </c>
      <c r="G6" s="209">
        <v>14</v>
      </c>
      <c r="H6" s="170" t="s">
        <v>218</v>
      </c>
      <c r="I6" s="207">
        <f t="shared" si="1"/>
        <v>191765.63636363635</v>
      </c>
      <c r="J6" s="146">
        <v>47000</v>
      </c>
      <c r="K6" s="146">
        <v>50000</v>
      </c>
      <c r="L6" s="168">
        <f t="shared" si="0"/>
        <v>3000</v>
      </c>
      <c r="T6" s="138"/>
    </row>
    <row r="7" spans="1:24" x14ac:dyDescent="0.15">
      <c r="A7" s="165">
        <v>4</v>
      </c>
      <c r="B7" s="164" t="s">
        <v>217</v>
      </c>
      <c r="C7" s="165">
        <v>2013</v>
      </c>
      <c r="D7" s="169">
        <v>137306</v>
      </c>
      <c r="E7" s="174">
        <f t="shared" si="2"/>
        <v>12482.363636363636</v>
      </c>
      <c r="F7" s="164" t="s">
        <v>194</v>
      </c>
      <c r="G7" s="209">
        <v>14</v>
      </c>
      <c r="H7" s="170" t="s">
        <v>218</v>
      </c>
      <c r="I7" s="207">
        <f t="shared" si="1"/>
        <v>174753.09090909091</v>
      </c>
      <c r="J7" s="146">
        <v>47000</v>
      </c>
      <c r="K7" s="146">
        <v>50000</v>
      </c>
      <c r="L7" s="168">
        <f t="shared" si="0"/>
        <v>3000</v>
      </c>
      <c r="T7" s="138"/>
    </row>
    <row r="8" spans="1:24" x14ac:dyDescent="0.15">
      <c r="A8" s="165">
        <v>5</v>
      </c>
      <c r="B8" s="164" t="s">
        <v>217</v>
      </c>
      <c r="C8" s="165">
        <v>2013</v>
      </c>
      <c r="D8" s="169">
        <v>142119</v>
      </c>
      <c r="E8" s="174">
        <f t="shared" si="2"/>
        <v>12919.90909090909</v>
      </c>
      <c r="F8" s="164" t="s">
        <v>194</v>
      </c>
      <c r="G8" s="209">
        <v>14</v>
      </c>
      <c r="H8" s="170" t="s">
        <v>218</v>
      </c>
      <c r="I8" s="207">
        <f t="shared" si="1"/>
        <v>180878.72727272726</v>
      </c>
      <c r="J8" s="146">
        <v>47000</v>
      </c>
      <c r="K8" s="146">
        <v>50000</v>
      </c>
      <c r="L8" s="168">
        <f t="shared" si="0"/>
        <v>3000</v>
      </c>
      <c r="T8" s="138"/>
    </row>
    <row r="9" spans="1:24" x14ac:dyDescent="0.15">
      <c r="A9" s="165">
        <v>6</v>
      </c>
      <c r="B9" s="164" t="s">
        <v>219</v>
      </c>
      <c r="C9" s="165">
        <v>2010</v>
      </c>
      <c r="D9" s="169">
        <v>118234</v>
      </c>
      <c r="E9" s="174">
        <f t="shared" si="2"/>
        <v>8445.2857142857138</v>
      </c>
      <c r="F9" s="164" t="s">
        <v>194</v>
      </c>
      <c r="G9" s="209">
        <v>14</v>
      </c>
      <c r="H9" s="170" t="s">
        <v>218</v>
      </c>
      <c r="I9" s="207">
        <f t="shared" si="1"/>
        <v>118234</v>
      </c>
      <c r="J9" s="146">
        <v>47000</v>
      </c>
      <c r="K9" s="146">
        <v>50000</v>
      </c>
      <c r="L9" s="168">
        <f t="shared" si="0"/>
        <v>3000</v>
      </c>
      <c r="T9" s="138"/>
    </row>
    <row r="10" spans="1:24" x14ac:dyDescent="0.15">
      <c r="A10" s="165">
        <v>7</v>
      </c>
      <c r="B10" s="164" t="s">
        <v>217</v>
      </c>
      <c r="C10" s="165">
        <v>2012</v>
      </c>
      <c r="D10" s="169">
        <v>128990</v>
      </c>
      <c r="E10" s="174">
        <f t="shared" si="2"/>
        <v>10749.166666666666</v>
      </c>
      <c r="F10" s="164" t="s">
        <v>194</v>
      </c>
      <c r="G10" s="209">
        <v>14</v>
      </c>
      <c r="H10" s="170" t="s">
        <v>218</v>
      </c>
      <c r="I10" s="207">
        <f t="shared" si="1"/>
        <v>150488.33333333331</v>
      </c>
      <c r="J10" s="146">
        <v>47000</v>
      </c>
      <c r="K10" s="146">
        <v>50000</v>
      </c>
      <c r="L10" s="168">
        <f t="shared" si="0"/>
        <v>3000</v>
      </c>
      <c r="T10" s="138"/>
    </row>
    <row r="11" spans="1:24" x14ac:dyDescent="0.15">
      <c r="A11" s="165">
        <v>8</v>
      </c>
      <c r="B11" s="164" t="s">
        <v>217</v>
      </c>
      <c r="C11" s="165">
        <v>2012</v>
      </c>
      <c r="D11" s="169">
        <v>155095</v>
      </c>
      <c r="E11" s="174">
        <f t="shared" si="2"/>
        <v>12924.583333333334</v>
      </c>
      <c r="F11" s="164" t="s">
        <v>194</v>
      </c>
      <c r="G11" s="209">
        <v>14</v>
      </c>
      <c r="H11" s="170" t="s">
        <v>218</v>
      </c>
      <c r="I11" s="207">
        <f t="shared" si="1"/>
        <v>180944.16666666669</v>
      </c>
      <c r="J11" s="146">
        <v>47000</v>
      </c>
      <c r="K11" s="146">
        <v>50000</v>
      </c>
      <c r="L11" s="168">
        <f t="shared" si="0"/>
        <v>3000</v>
      </c>
      <c r="T11" s="138"/>
    </row>
    <row r="12" spans="1:24" x14ac:dyDescent="0.15">
      <c r="A12" s="165">
        <v>9</v>
      </c>
      <c r="B12" s="164" t="s">
        <v>220</v>
      </c>
      <c r="C12" s="165">
        <v>2004</v>
      </c>
      <c r="D12" s="169">
        <v>90592</v>
      </c>
      <c r="E12" s="174">
        <f t="shared" si="2"/>
        <v>4529.6000000000004</v>
      </c>
      <c r="F12" s="164" t="s">
        <v>194</v>
      </c>
      <c r="G12" s="209">
        <v>24</v>
      </c>
      <c r="H12" s="167" t="s">
        <v>216</v>
      </c>
      <c r="I12" s="207">
        <f t="shared" si="1"/>
        <v>108710.40000000001</v>
      </c>
      <c r="J12" s="145">
        <v>25100</v>
      </c>
      <c r="K12" s="146">
        <v>40000</v>
      </c>
      <c r="L12" s="168">
        <f t="shared" si="0"/>
        <v>14900</v>
      </c>
      <c r="T12" s="138"/>
    </row>
    <row r="13" spans="1:24" x14ac:dyDescent="0.15">
      <c r="A13" s="165">
        <v>10</v>
      </c>
      <c r="B13" s="164" t="s">
        <v>215</v>
      </c>
      <c r="C13" s="165">
        <v>2002</v>
      </c>
      <c r="D13" s="169">
        <v>75943</v>
      </c>
      <c r="E13" s="174">
        <f t="shared" si="2"/>
        <v>3451.9545454545455</v>
      </c>
      <c r="F13" s="164" t="s">
        <v>194</v>
      </c>
      <c r="G13" s="209">
        <v>24</v>
      </c>
      <c r="H13" s="167" t="s">
        <v>216</v>
      </c>
      <c r="I13" s="207">
        <f t="shared" si="1"/>
        <v>82846.909090909088</v>
      </c>
      <c r="J13" s="145">
        <v>25100</v>
      </c>
      <c r="K13" s="146">
        <v>40000</v>
      </c>
      <c r="L13" s="168">
        <f t="shared" si="0"/>
        <v>14900</v>
      </c>
      <c r="T13" s="138"/>
    </row>
    <row r="14" spans="1:24" x14ac:dyDescent="0.15">
      <c r="A14" s="165">
        <v>11</v>
      </c>
      <c r="B14" s="164" t="s">
        <v>220</v>
      </c>
      <c r="C14" s="165">
        <v>2004</v>
      </c>
      <c r="D14" s="169">
        <v>77123</v>
      </c>
      <c r="E14" s="174">
        <f t="shared" si="2"/>
        <v>3856.15</v>
      </c>
      <c r="F14" s="164" t="s">
        <v>194</v>
      </c>
      <c r="G14" s="209">
        <v>24</v>
      </c>
      <c r="H14" s="167" t="s">
        <v>216</v>
      </c>
      <c r="I14" s="207">
        <f t="shared" si="1"/>
        <v>92547.6</v>
      </c>
      <c r="J14" s="145">
        <v>25100</v>
      </c>
      <c r="K14" s="146">
        <v>40000</v>
      </c>
      <c r="L14" s="168">
        <f t="shared" si="0"/>
        <v>14900</v>
      </c>
      <c r="T14" s="138"/>
    </row>
    <row r="15" spans="1:24" x14ac:dyDescent="0.15">
      <c r="A15" s="165">
        <v>12</v>
      </c>
      <c r="B15" s="164" t="s">
        <v>221</v>
      </c>
      <c r="C15" s="165">
        <v>2013</v>
      </c>
      <c r="D15" s="169">
        <v>180326</v>
      </c>
      <c r="E15" s="174">
        <f t="shared" si="2"/>
        <v>16393.272727272728</v>
      </c>
      <c r="F15" s="164" t="s">
        <v>194</v>
      </c>
      <c r="G15" s="209">
        <v>14</v>
      </c>
      <c r="H15" s="170" t="s">
        <v>222</v>
      </c>
      <c r="I15" s="207">
        <f t="shared" si="1"/>
        <v>229505.81818181818</v>
      </c>
      <c r="J15" s="146">
        <v>34600</v>
      </c>
      <c r="K15" s="146">
        <v>50000</v>
      </c>
      <c r="L15" s="168">
        <f t="shared" si="0"/>
        <v>15400</v>
      </c>
      <c r="T15" s="138"/>
    </row>
    <row r="16" spans="1:24" x14ac:dyDescent="0.15">
      <c r="A16" s="165">
        <v>13</v>
      </c>
      <c r="B16" s="164" t="s">
        <v>223</v>
      </c>
      <c r="C16" s="165">
        <v>1993</v>
      </c>
      <c r="D16" s="169">
        <v>11156</v>
      </c>
      <c r="E16" s="174">
        <f t="shared" si="2"/>
        <v>359.87096774193549</v>
      </c>
      <c r="F16" s="164" t="s">
        <v>165</v>
      </c>
      <c r="G16" s="209">
        <v>25</v>
      </c>
      <c r="H16" s="170" t="s">
        <v>224</v>
      </c>
      <c r="I16" s="207">
        <f t="shared" si="1"/>
        <v>8996.7741935483864</v>
      </c>
      <c r="J16" s="146">
        <v>37000</v>
      </c>
      <c r="K16" s="146">
        <v>50000</v>
      </c>
      <c r="L16" s="168">
        <f t="shared" si="0"/>
        <v>13000</v>
      </c>
      <c r="T16" s="138"/>
    </row>
    <row r="17" spans="1:20" x14ac:dyDescent="0.15">
      <c r="A17" s="165">
        <v>14</v>
      </c>
      <c r="B17" s="164" t="s">
        <v>225</v>
      </c>
      <c r="C17" s="165">
        <v>2003</v>
      </c>
      <c r="D17" s="169">
        <v>98746</v>
      </c>
      <c r="E17" s="174">
        <f t="shared" si="2"/>
        <v>4702.1904761904761</v>
      </c>
      <c r="F17" s="164" t="s">
        <v>194</v>
      </c>
      <c r="G17" s="209">
        <v>14</v>
      </c>
      <c r="H17" s="170" t="s">
        <v>218</v>
      </c>
      <c r="I17" s="207">
        <f t="shared" si="1"/>
        <v>65830.666666666672</v>
      </c>
      <c r="J17" s="146">
        <v>47000</v>
      </c>
      <c r="K17" s="146">
        <v>50000</v>
      </c>
      <c r="L17" s="168">
        <f t="shared" si="0"/>
        <v>3000</v>
      </c>
      <c r="T17" s="138"/>
    </row>
    <row r="18" spans="1:20" ht="14" x14ac:dyDescent="0.15">
      <c r="A18" s="165">
        <v>15</v>
      </c>
      <c r="B18" s="164" t="s">
        <v>226</v>
      </c>
      <c r="C18" s="165">
        <v>2002</v>
      </c>
      <c r="D18" s="166" t="s">
        <v>213</v>
      </c>
      <c r="E18" s="175">
        <v>12400</v>
      </c>
      <c r="F18" s="164" t="s">
        <v>194</v>
      </c>
      <c r="G18" s="209">
        <v>24</v>
      </c>
      <c r="H18" s="170" t="s">
        <v>218</v>
      </c>
      <c r="I18" s="207">
        <f t="shared" si="1"/>
        <v>297600</v>
      </c>
      <c r="J18" s="146">
        <v>47000</v>
      </c>
      <c r="K18" s="146">
        <v>50000</v>
      </c>
      <c r="L18" s="168">
        <f t="shared" si="0"/>
        <v>3000</v>
      </c>
      <c r="T18" s="138"/>
    </row>
    <row r="19" spans="1:20" x14ac:dyDescent="0.15">
      <c r="A19" s="165">
        <v>16</v>
      </c>
      <c r="B19" s="164" t="s">
        <v>227</v>
      </c>
      <c r="C19" s="165">
        <v>2004</v>
      </c>
      <c r="D19" s="169">
        <v>7380</v>
      </c>
      <c r="E19" s="174">
        <f>D19/(2024-C19)</f>
        <v>369</v>
      </c>
      <c r="F19" s="164" t="s">
        <v>194</v>
      </c>
      <c r="G19" s="209">
        <v>25</v>
      </c>
      <c r="H19" s="170" t="s">
        <v>224</v>
      </c>
      <c r="I19" s="207">
        <f t="shared" si="1"/>
        <v>9225</v>
      </c>
      <c r="J19" s="145">
        <v>37000</v>
      </c>
      <c r="K19" s="146">
        <v>50000</v>
      </c>
      <c r="L19" s="168">
        <f t="shared" si="0"/>
        <v>13000</v>
      </c>
      <c r="T19" s="138"/>
    </row>
    <row r="20" spans="1:20" ht="14" x14ac:dyDescent="0.15">
      <c r="A20" s="165">
        <v>17</v>
      </c>
      <c r="B20" s="164" t="s">
        <v>228</v>
      </c>
      <c r="C20" s="165">
        <v>2014</v>
      </c>
      <c r="D20" s="166" t="s">
        <v>213</v>
      </c>
      <c r="E20" s="175">
        <v>12400</v>
      </c>
      <c r="F20" s="164" t="s">
        <v>194</v>
      </c>
      <c r="G20" s="209">
        <v>24</v>
      </c>
      <c r="H20" s="167" t="s">
        <v>216</v>
      </c>
      <c r="I20" s="207">
        <f t="shared" si="1"/>
        <v>297600</v>
      </c>
      <c r="J20" s="145">
        <v>25100</v>
      </c>
      <c r="K20" s="146">
        <v>40000</v>
      </c>
      <c r="L20" s="168">
        <f t="shared" si="0"/>
        <v>14900</v>
      </c>
      <c r="T20" s="138"/>
    </row>
    <row r="21" spans="1:20" x14ac:dyDescent="0.15">
      <c r="A21" s="165">
        <v>18</v>
      </c>
      <c r="B21" s="164" t="s">
        <v>228</v>
      </c>
      <c r="C21" s="165">
        <v>2014</v>
      </c>
      <c r="D21" s="169">
        <v>137721</v>
      </c>
      <c r="E21" s="174">
        <f t="shared" ref="E21:E39" si="3">D21/(2024-C21)</f>
        <v>13772.1</v>
      </c>
      <c r="F21" s="164" t="s">
        <v>194</v>
      </c>
      <c r="G21" s="209">
        <v>24</v>
      </c>
      <c r="H21" s="167" t="s">
        <v>216</v>
      </c>
      <c r="I21" s="207">
        <f t="shared" si="1"/>
        <v>330530.40000000002</v>
      </c>
      <c r="J21" s="145">
        <v>25100</v>
      </c>
      <c r="K21" s="146">
        <v>40000</v>
      </c>
      <c r="L21" s="168">
        <f t="shared" si="0"/>
        <v>14900</v>
      </c>
      <c r="T21" s="138"/>
    </row>
    <row r="22" spans="1:20" x14ac:dyDescent="0.15">
      <c r="A22" s="165">
        <v>19</v>
      </c>
      <c r="B22" s="164" t="s">
        <v>229</v>
      </c>
      <c r="C22" s="165">
        <v>2017</v>
      </c>
      <c r="D22" s="169">
        <v>140328</v>
      </c>
      <c r="E22" s="174">
        <f t="shared" si="3"/>
        <v>20046.857142857141</v>
      </c>
      <c r="F22" s="164" t="s">
        <v>194</v>
      </c>
      <c r="G22" s="209">
        <v>14</v>
      </c>
      <c r="H22" s="170" t="s">
        <v>222</v>
      </c>
      <c r="I22" s="207">
        <f t="shared" si="1"/>
        <v>280656</v>
      </c>
      <c r="J22" s="146">
        <v>34600</v>
      </c>
      <c r="K22" s="146">
        <v>50000</v>
      </c>
      <c r="L22" s="168">
        <f t="shared" si="0"/>
        <v>15400</v>
      </c>
      <c r="T22" s="138"/>
    </row>
    <row r="23" spans="1:20" x14ac:dyDescent="0.15">
      <c r="A23" s="165">
        <v>20</v>
      </c>
      <c r="B23" s="164" t="s">
        <v>230</v>
      </c>
      <c r="C23" s="165">
        <v>2012</v>
      </c>
      <c r="D23" s="169">
        <v>117418</v>
      </c>
      <c r="E23" s="174">
        <f t="shared" si="3"/>
        <v>9784.8333333333339</v>
      </c>
      <c r="F23" s="164" t="s">
        <v>194</v>
      </c>
      <c r="G23" s="209">
        <v>24</v>
      </c>
      <c r="H23" s="167" t="s">
        <v>216</v>
      </c>
      <c r="I23" s="207">
        <f t="shared" si="1"/>
        <v>234836</v>
      </c>
      <c r="J23" s="145">
        <v>25100</v>
      </c>
      <c r="K23" s="146">
        <v>40000</v>
      </c>
      <c r="L23" s="168">
        <f t="shared" si="0"/>
        <v>14900</v>
      </c>
      <c r="T23" s="138"/>
    </row>
    <row r="24" spans="1:20" x14ac:dyDescent="0.15">
      <c r="A24" s="165">
        <v>21</v>
      </c>
      <c r="B24" s="164" t="s">
        <v>230</v>
      </c>
      <c r="C24" s="165">
        <v>2012</v>
      </c>
      <c r="D24" s="169">
        <v>108722</v>
      </c>
      <c r="E24" s="174">
        <f t="shared" si="3"/>
        <v>9060.1666666666661</v>
      </c>
      <c r="F24" s="164" t="s">
        <v>194</v>
      </c>
      <c r="G24" s="209">
        <v>24</v>
      </c>
      <c r="H24" s="167" t="s">
        <v>216</v>
      </c>
      <c r="I24" s="207">
        <f t="shared" si="1"/>
        <v>217444</v>
      </c>
      <c r="J24" s="145">
        <v>25100</v>
      </c>
      <c r="K24" s="146">
        <v>40000</v>
      </c>
      <c r="L24" s="168">
        <f t="shared" si="0"/>
        <v>14900</v>
      </c>
      <c r="T24" s="138"/>
    </row>
    <row r="25" spans="1:20" x14ac:dyDescent="0.15">
      <c r="A25" s="165">
        <v>22</v>
      </c>
      <c r="B25" s="164" t="s">
        <v>231</v>
      </c>
      <c r="C25" s="165">
        <v>2015</v>
      </c>
      <c r="D25" s="169">
        <v>128307</v>
      </c>
      <c r="E25" s="174">
        <f t="shared" si="3"/>
        <v>14256.333333333334</v>
      </c>
      <c r="F25" s="164" t="s">
        <v>194</v>
      </c>
      <c r="G25" s="209">
        <v>24</v>
      </c>
      <c r="H25" s="167" t="s">
        <v>216</v>
      </c>
      <c r="I25" s="207">
        <f t="shared" si="1"/>
        <v>342152</v>
      </c>
      <c r="J25" s="145">
        <v>25100</v>
      </c>
      <c r="K25" s="146">
        <v>40000</v>
      </c>
      <c r="L25" s="168">
        <f t="shared" si="0"/>
        <v>14900</v>
      </c>
      <c r="T25" s="138"/>
    </row>
    <row r="26" spans="1:20" x14ac:dyDescent="0.15">
      <c r="A26" s="165">
        <v>23</v>
      </c>
      <c r="B26" s="164" t="s">
        <v>232</v>
      </c>
      <c r="C26" s="165">
        <v>2015</v>
      </c>
      <c r="D26" s="169">
        <v>133920</v>
      </c>
      <c r="E26" s="174">
        <f t="shared" si="3"/>
        <v>14880</v>
      </c>
      <c r="F26" s="164" t="s">
        <v>194</v>
      </c>
      <c r="G26" s="209">
        <v>24</v>
      </c>
      <c r="H26" s="167" t="s">
        <v>216</v>
      </c>
      <c r="I26" s="207">
        <f t="shared" si="1"/>
        <v>357120</v>
      </c>
      <c r="J26" s="145">
        <v>25100</v>
      </c>
      <c r="K26" s="146">
        <v>40000</v>
      </c>
      <c r="L26" s="168">
        <f t="shared" si="0"/>
        <v>14900</v>
      </c>
      <c r="T26" s="138"/>
    </row>
    <row r="27" spans="1:20" x14ac:dyDescent="0.15">
      <c r="A27" s="165">
        <v>24</v>
      </c>
      <c r="B27" s="164" t="s">
        <v>233</v>
      </c>
      <c r="C27" s="165">
        <v>2015</v>
      </c>
      <c r="D27" s="169">
        <v>145917</v>
      </c>
      <c r="E27" s="174">
        <f t="shared" si="3"/>
        <v>16213</v>
      </c>
      <c r="F27" s="164" t="s">
        <v>194</v>
      </c>
      <c r="G27" s="209">
        <v>14</v>
      </c>
      <c r="H27" s="170" t="s">
        <v>222</v>
      </c>
      <c r="I27" s="207">
        <f t="shared" si="1"/>
        <v>226982</v>
      </c>
      <c r="J27" s="146">
        <v>34600</v>
      </c>
      <c r="K27" s="146">
        <v>50000</v>
      </c>
      <c r="L27" s="168">
        <f t="shared" si="0"/>
        <v>15400</v>
      </c>
      <c r="T27" s="138"/>
    </row>
    <row r="28" spans="1:20" x14ac:dyDescent="0.15">
      <c r="A28" s="165">
        <v>25</v>
      </c>
      <c r="B28" s="164" t="s">
        <v>227</v>
      </c>
      <c r="C28" s="165">
        <v>2002</v>
      </c>
      <c r="D28" s="169">
        <v>7806</v>
      </c>
      <c r="E28" s="174">
        <f t="shared" si="3"/>
        <v>354.81818181818181</v>
      </c>
      <c r="F28" s="164" t="s">
        <v>194</v>
      </c>
      <c r="G28" s="209">
        <v>25</v>
      </c>
      <c r="H28" s="170" t="s">
        <v>224</v>
      </c>
      <c r="I28" s="207">
        <f t="shared" si="1"/>
        <v>8870.454545454546</v>
      </c>
      <c r="J28" s="145">
        <v>37000</v>
      </c>
      <c r="K28" s="146">
        <v>50000</v>
      </c>
      <c r="L28" s="168">
        <f t="shared" si="0"/>
        <v>13000</v>
      </c>
      <c r="T28" s="138"/>
    </row>
    <row r="29" spans="1:20" x14ac:dyDescent="0.15">
      <c r="A29" s="165">
        <v>26</v>
      </c>
      <c r="B29" s="164" t="s">
        <v>234</v>
      </c>
      <c r="C29" s="165">
        <v>2014</v>
      </c>
      <c r="D29" s="169">
        <v>130391</v>
      </c>
      <c r="E29" s="174">
        <f t="shared" si="3"/>
        <v>13039.1</v>
      </c>
      <c r="F29" s="164" t="s">
        <v>194</v>
      </c>
      <c r="G29" s="209">
        <v>14</v>
      </c>
      <c r="H29" s="170" t="s">
        <v>222</v>
      </c>
      <c r="I29" s="207">
        <f t="shared" si="1"/>
        <v>182547.4</v>
      </c>
      <c r="J29" s="146">
        <v>34600</v>
      </c>
      <c r="K29" s="146">
        <v>50000</v>
      </c>
      <c r="L29" s="168">
        <f t="shared" si="0"/>
        <v>15400</v>
      </c>
      <c r="T29" s="138"/>
    </row>
    <row r="30" spans="1:20" x14ac:dyDescent="0.15">
      <c r="A30" s="165">
        <v>27</v>
      </c>
      <c r="B30" s="164" t="s">
        <v>234</v>
      </c>
      <c r="C30" s="165">
        <v>2014</v>
      </c>
      <c r="D30" s="169">
        <v>139941</v>
      </c>
      <c r="E30" s="174">
        <f t="shared" si="3"/>
        <v>13994.1</v>
      </c>
      <c r="F30" s="164" t="s">
        <v>194</v>
      </c>
      <c r="G30" s="209">
        <v>14</v>
      </c>
      <c r="H30" s="170" t="s">
        <v>222</v>
      </c>
      <c r="I30" s="207">
        <f t="shared" si="1"/>
        <v>195917.4</v>
      </c>
      <c r="J30" s="146">
        <v>34600</v>
      </c>
      <c r="K30" s="146">
        <v>50000</v>
      </c>
      <c r="L30" s="168">
        <f t="shared" si="0"/>
        <v>15400</v>
      </c>
      <c r="T30" s="138"/>
    </row>
    <row r="31" spans="1:20" x14ac:dyDescent="0.15">
      <c r="A31" s="165">
        <v>28</v>
      </c>
      <c r="B31" s="164" t="s">
        <v>235</v>
      </c>
      <c r="C31" s="165">
        <v>2015</v>
      </c>
      <c r="D31" s="169">
        <v>127529</v>
      </c>
      <c r="E31" s="174">
        <f t="shared" si="3"/>
        <v>14169.888888888889</v>
      </c>
      <c r="F31" s="164" t="s">
        <v>194</v>
      </c>
      <c r="G31" s="209">
        <v>14</v>
      </c>
      <c r="H31" s="170" t="s">
        <v>222</v>
      </c>
      <c r="I31" s="207">
        <f t="shared" si="1"/>
        <v>198378.44444444444</v>
      </c>
      <c r="J31" s="146">
        <v>34600</v>
      </c>
      <c r="K31" s="146">
        <v>50000</v>
      </c>
      <c r="L31" s="168">
        <f t="shared" si="0"/>
        <v>15400</v>
      </c>
      <c r="T31" s="138"/>
    </row>
    <row r="32" spans="1:20" x14ac:dyDescent="0.15">
      <c r="A32" s="165">
        <v>29</v>
      </c>
      <c r="B32" s="164" t="s">
        <v>235</v>
      </c>
      <c r="C32" s="165">
        <v>2015</v>
      </c>
      <c r="D32" s="169">
        <v>139131</v>
      </c>
      <c r="E32" s="174">
        <f t="shared" si="3"/>
        <v>15459</v>
      </c>
      <c r="F32" s="164" t="s">
        <v>194</v>
      </c>
      <c r="G32" s="209">
        <v>14</v>
      </c>
      <c r="H32" s="170" t="s">
        <v>222</v>
      </c>
      <c r="I32" s="207">
        <f t="shared" si="1"/>
        <v>216426</v>
      </c>
      <c r="J32" s="146">
        <v>34600</v>
      </c>
      <c r="K32" s="146">
        <v>50000</v>
      </c>
      <c r="L32" s="168">
        <f t="shared" si="0"/>
        <v>15400</v>
      </c>
      <c r="T32" s="138"/>
    </row>
    <row r="33" spans="1:20" x14ac:dyDescent="0.15">
      <c r="A33" s="165">
        <v>30</v>
      </c>
      <c r="B33" s="164" t="s">
        <v>235</v>
      </c>
      <c r="C33" s="165">
        <v>2015</v>
      </c>
      <c r="D33" s="169">
        <v>135276</v>
      </c>
      <c r="E33" s="174">
        <f t="shared" si="3"/>
        <v>15030.666666666666</v>
      </c>
      <c r="F33" s="164" t="s">
        <v>194</v>
      </c>
      <c r="G33" s="209">
        <v>14</v>
      </c>
      <c r="H33" s="170" t="s">
        <v>222</v>
      </c>
      <c r="I33" s="207">
        <f t="shared" si="1"/>
        <v>210429.33333333331</v>
      </c>
      <c r="J33" s="146">
        <v>34600</v>
      </c>
      <c r="K33" s="146">
        <v>50000</v>
      </c>
      <c r="L33" s="168">
        <f t="shared" si="0"/>
        <v>15400</v>
      </c>
      <c r="T33" s="138"/>
    </row>
    <row r="34" spans="1:20" x14ac:dyDescent="0.15">
      <c r="A34" s="165">
        <v>31</v>
      </c>
      <c r="B34" s="164" t="s">
        <v>221</v>
      </c>
      <c r="C34" s="165">
        <v>2013</v>
      </c>
      <c r="D34" s="169">
        <v>138751</v>
      </c>
      <c r="E34" s="174">
        <f t="shared" si="3"/>
        <v>12613.727272727272</v>
      </c>
      <c r="F34" s="164" t="s">
        <v>194</v>
      </c>
      <c r="G34" s="209">
        <v>14</v>
      </c>
      <c r="H34" s="170" t="s">
        <v>222</v>
      </c>
      <c r="I34" s="207">
        <f t="shared" si="1"/>
        <v>176592.18181818182</v>
      </c>
      <c r="J34" s="146">
        <v>34600</v>
      </c>
      <c r="K34" s="146">
        <v>50000</v>
      </c>
      <c r="L34" s="168">
        <f t="shared" si="0"/>
        <v>15400</v>
      </c>
      <c r="T34" s="138"/>
    </row>
    <row r="35" spans="1:20" x14ac:dyDescent="0.15">
      <c r="A35" s="165">
        <v>32</v>
      </c>
      <c r="B35" s="164" t="s">
        <v>234</v>
      </c>
      <c r="C35" s="165">
        <v>2014</v>
      </c>
      <c r="D35" s="169">
        <v>135349</v>
      </c>
      <c r="E35" s="174">
        <f t="shared" si="3"/>
        <v>13534.9</v>
      </c>
      <c r="F35" s="164" t="s">
        <v>194</v>
      </c>
      <c r="G35" s="209">
        <v>14</v>
      </c>
      <c r="H35" s="170" t="s">
        <v>222</v>
      </c>
      <c r="I35" s="207">
        <f t="shared" si="1"/>
        <v>189488.6</v>
      </c>
      <c r="J35" s="146">
        <v>34600</v>
      </c>
      <c r="K35" s="146">
        <v>50000</v>
      </c>
      <c r="L35" s="168">
        <f t="shared" si="0"/>
        <v>15400</v>
      </c>
      <c r="T35" s="138"/>
    </row>
    <row r="36" spans="1:20" x14ac:dyDescent="0.15">
      <c r="A36" s="165">
        <v>33</v>
      </c>
      <c r="B36" s="164" t="s">
        <v>234</v>
      </c>
      <c r="C36" s="165">
        <v>2014</v>
      </c>
      <c r="D36" s="169">
        <v>139955</v>
      </c>
      <c r="E36" s="174">
        <f t="shared" si="3"/>
        <v>13995.5</v>
      </c>
      <c r="F36" s="164" t="s">
        <v>194</v>
      </c>
      <c r="G36" s="209">
        <v>14</v>
      </c>
      <c r="H36" s="170" t="s">
        <v>222</v>
      </c>
      <c r="I36" s="207">
        <f t="shared" si="1"/>
        <v>195937</v>
      </c>
      <c r="J36" s="146">
        <v>34600</v>
      </c>
      <c r="K36" s="146">
        <v>50000</v>
      </c>
      <c r="L36" s="168">
        <f t="shared" si="0"/>
        <v>15400</v>
      </c>
      <c r="T36" s="138"/>
    </row>
    <row r="37" spans="1:20" x14ac:dyDescent="0.15">
      <c r="A37" s="165">
        <v>34</v>
      </c>
      <c r="B37" s="164" t="s">
        <v>235</v>
      </c>
      <c r="C37" s="165">
        <v>2015</v>
      </c>
      <c r="D37" s="169">
        <v>149322</v>
      </c>
      <c r="E37" s="174">
        <f t="shared" si="3"/>
        <v>16591.333333333332</v>
      </c>
      <c r="F37" s="164" t="s">
        <v>194</v>
      </c>
      <c r="G37" s="209">
        <v>14</v>
      </c>
      <c r="H37" s="170" t="s">
        <v>222</v>
      </c>
      <c r="I37" s="207">
        <f t="shared" si="1"/>
        <v>232278.66666666666</v>
      </c>
      <c r="J37" s="146">
        <v>34600</v>
      </c>
      <c r="K37" s="146">
        <v>50000</v>
      </c>
      <c r="L37" s="168">
        <f t="shared" si="0"/>
        <v>15400</v>
      </c>
      <c r="T37" s="138"/>
    </row>
    <row r="38" spans="1:20" x14ac:dyDescent="0.15">
      <c r="A38" s="165">
        <v>35</v>
      </c>
      <c r="B38" s="164" t="s">
        <v>236</v>
      </c>
      <c r="C38" s="165">
        <v>2015</v>
      </c>
      <c r="D38" s="169">
        <v>137527</v>
      </c>
      <c r="E38" s="174">
        <f t="shared" si="3"/>
        <v>15280.777777777777</v>
      </c>
      <c r="F38" s="164" t="s">
        <v>194</v>
      </c>
      <c r="G38" s="209">
        <v>14</v>
      </c>
      <c r="H38" s="170" t="s">
        <v>222</v>
      </c>
      <c r="I38" s="207">
        <f t="shared" si="1"/>
        <v>213930.88888888888</v>
      </c>
      <c r="J38" s="146">
        <v>34600</v>
      </c>
      <c r="K38" s="146">
        <v>50000</v>
      </c>
      <c r="L38" s="168">
        <f t="shared" si="0"/>
        <v>15400</v>
      </c>
      <c r="T38" s="138"/>
    </row>
    <row r="39" spans="1:20" x14ac:dyDescent="0.15">
      <c r="A39" s="165">
        <v>36</v>
      </c>
      <c r="B39" s="164" t="s">
        <v>237</v>
      </c>
      <c r="C39" s="165">
        <v>2018</v>
      </c>
      <c r="D39" s="169">
        <v>144869</v>
      </c>
      <c r="E39" s="174">
        <f t="shared" si="3"/>
        <v>24144.833333333332</v>
      </c>
      <c r="F39" s="164" t="s">
        <v>194</v>
      </c>
      <c r="G39" s="209">
        <v>14</v>
      </c>
      <c r="H39" s="170" t="s">
        <v>222</v>
      </c>
      <c r="I39" s="207">
        <f t="shared" si="1"/>
        <v>338027.66666666663</v>
      </c>
      <c r="J39" s="146">
        <v>34600</v>
      </c>
      <c r="K39" s="146">
        <v>50000</v>
      </c>
      <c r="L39" s="168">
        <f t="shared" si="0"/>
        <v>15400</v>
      </c>
      <c r="T39" s="138"/>
    </row>
    <row r="40" spans="1:20" ht="14" x14ac:dyDescent="0.15">
      <c r="A40" s="165">
        <v>37</v>
      </c>
      <c r="B40" s="164" t="s">
        <v>237</v>
      </c>
      <c r="C40" s="165">
        <v>2016</v>
      </c>
      <c r="D40" s="166" t="s">
        <v>213</v>
      </c>
      <c r="E40" s="175">
        <v>12400</v>
      </c>
      <c r="F40" s="164" t="s">
        <v>194</v>
      </c>
      <c r="G40" s="209">
        <v>14</v>
      </c>
      <c r="H40" s="170" t="s">
        <v>222</v>
      </c>
      <c r="I40" s="207">
        <f t="shared" si="1"/>
        <v>173600</v>
      </c>
      <c r="J40" s="146">
        <v>34600</v>
      </c>
      <c r="K40" s="146">
        <v>50000</v>
      </c>
      <c r="L40" s="168">
        <f t="shared" si="0"/>
        <v>15400</v>
      </c>
      <c r="T40" s="138"/>
    </row>
    <row r="41" spans="1:20" x14ac:dyDescent="0.15">
      <c r="A41" s="165">
        <v>38</v>
      </c>
      <c r="B41" s="164" t="s">
        <v>235</v>
      </c>
      <c r="C41" s="165">
        <v>2015</v>
      </c>
      <c r="D41" s="169">
        <v>155255</v>
      </c>
      <c r="E41" s="174">
        <f t="shared" ref="E41:E65" si="4">D41/(2024-C41)</f>
        <v>17250.555555555555</v>
      </c>
      <c r="F41" s="164" t="s">
        <v>194</v>
      </c>
      <c r="G41" s="209">
        <v>14</v>
      </c>
      <c r="H41" s="170" t="s">
        <v>222</v>
      </c>
      <c r="I41" s="207">
        <f t="shared" si="1"/>
        <v>241507.77777777775</v>
      </c>
      <c r="J41" s="146">
        <v>34600</v>
      </c>
      <c r="K41" s="146">
        <v>50000</v>
      </c>
      <c r="L41" s="168">
        <f t="shared" si="0"/>
        <v>15400</v>
      </c>
      <c r="T41" s="138"/>
    </row>
    <row r="42" spans="1:20" x14ac:dyDescent="0.15">
      <c r="A42" s="165">
        <v>39</v>
      </c>
      <c r="B42" s="164" t="s">
        <v>237</v>
      </c>
      <c r="C42" s="165">
        <v>2016</v>
      </c>
      <c r="D42" s="169">
        <v>157015</v>
      </c>
      <c r="E42" s="174">
        <f t="shared" si="4"/>
        <v>19626.875</v>
      </c>
      <c r="F42" s="164" t="s">
        <v>194</v>
      </c>
      <c r="G42" s="209">
        <v>14</v>
      </c>
      <c r="H42" s="170" t="s">
        <v>222</v>
      </c>
      <c r="I42" s="207">
        <f t="shared" si="1"/>
        <v>274776.25</v>
      </c>
      <c r="J42" s="146">
        <v>34600</v>
      </c>
      <c r="K42" s="146">
        <v>50000</v>
      </c>
      <c r="L42" s="168">
        <f t="shared" si="0"/>
        <v>15400</v>
      </c>
      <c r="T42" s="138"/>
    </row>
    <row r="43" spans="1:20" x14ac:dyDescent="0.15">
      <c r="A43" s="165">
        <v>40</v>
      </c>
      <c r="B43" s="164" t="s">
        <v>229</v>
      </c>
      <c r="C43" s="165">
        <v>2017</v>
      </c>
      <c r="D43" s="169">
        <v>157450</v>
      </c>
      <c r="E43" s="174">
        <f t="shared" si="4"/>
        <v>22492.857142857141</v>
      </c>
      <c r="F43" s="164" t="s">
        <v>194</v>
      </c>
      <c r="G43" s="209">
        <v>14</v>
      </c>
      <c r="H43" s="170" t="s">
        <v>222</v>
      </c>
      <c r="I43" s="207">
        <f t="shared" si="1"/>
        <v>314900</v>
      </c>
      <c r="J43" s="146">
        <v>34600</v>
      </c>
      <c r="K43" s="146">
        <v>50000</v>
      </c>
      <c r="L43" s="168">
        <f t="shared" si="0"/>
        <v>15400</v>
      </c>
      <c r="T43" s="138"/>
    </row>
    <row r="44" spans="1:20" x14ac:dyDescent="0.15">
      <c r="A44" s="165">
        <v>41</v>
      </c>
      <c r="B44" s="164" t="s">
        <v>237</v>
      </c>
      <c r="C44" s="165">
        <v>2018</v>
      </c>
      <c r="D44" s="169">
        <v>137155</v>
      </c>
      <c r="E44" s="174">
        <f t="shared" si="4"/>
        <v>22859.166666666668</v>
      </c>
      <c r="F44" s="164" t="s">
        <v>194</v>
      </c>
      <c r="G44" s="209">
        <v>14</v>
      </c>
      <c r="H44" s="170" t="s">
        <v>222</v>
      </c>
      <c r="I44" s="207">
        <f t="shared" si="1"/>
        <v>320028.33333333337</v>
      </c>
      <c r="J44" s="146">
        <v>34600</v>
      </c>
      <c r="K44" s="146">
        <v>50000</v>
      </c>
      <c r="L44" s="168">
        <f t="shared" si="0"/>
        <v>15400</v>
      </c>
      <c r="T44" s="138"/>
    </row>
    <row r="45" spans="1:20" x14ac:dyDescent="0.15">
      <c r="A45" s="165">
        <v>42</v>
      </c>
      <c r="B45" s="164" t="s">
        <v>238</v>
      </c>
      <c r="C45" s="165">
        <v>2013</v>
      </c>
      <c r="D45" s="169">
        <v>146252</v>
      </c>
      <c r="E45" s="174">
        <f t="shared" si="4"/>
        <v>13295.636363636364</v>
      </c>
      <c r="F45" s="164" t="s">
        <v>194</v>
      </c>
      <c r="G45" s="209">
        <v>14</v>
      </c>
      <c r="H45" s="170" t="s">
        <v>222</v>
      </c>
      <c r="I45" s="207">
        <f t="shared" si="1"/>
        <v>186138.90909090909</v>
      </c>
      <c r="J45" s="146">
        <v>34600</v>
      </c>
      <c r="K45" s="146">
        <v>50000</v>
      </c>
      <c r="L45" s="168">
        <f t="shared" si="0"/>
        <v>15400</v>
      </c>
      <c r="T45" s="138"/>
    </row>
    <row r="46" spans="1:20" x14ac:dyDescent="0.15">
      <c r="A46" s="165">
        <v>43</v>
      </c>
      <c r="B46" s="164" t="s">
        <v>220</v>
      </c>
      <c r="C46" s="165">
        <v>2007</v>
      </c>
      <c r="D46" s="169">
        <v>66972</v>
      </c>
      <c r="E46" s="174">
        <f t="shared" si="4"/>
        <v>3939.5294117647059</v>
      </c>
      <c r="F46" s="164" t="s">
        <v>194</v>
      </c>
      <c r="G46" s="209">
        <v>24</v>
      </c>
      <c r="H46" s="167" t="s">
        <v>216</v>
      </c>
      <c r="I46" s="207">
        <f t="shared" si="1"/>
        <v>94548.705882352937</v>
      </c>
      <c r="J46" s="145">
        <v>25100</v>
      </c>
      <c r="K46" s="146">
        <v>40000</v>
      </c>
      <c r="L46" s="168">
        <f t="shared" si="0"/>
        <v>14900</v>
      </c>
      <c r="T46" s="138"/>
    </row>
    <row r="47" spans="1:20" x14ac:dyDescent="0.15">
      <c r="A47" s="165">
        <v>44</v>
      </c>
      <c r="B47" s="164" t="s">
        <v>239</v>
      </c>
      <c r="C47" s="165">
        <v>2014</v>
      </c>
      <c r="D47" s="169">
        <v>3430</v>
      </c>
      <c r="E47" s="174">
        <f t="shared" si="4"/>
        <v>343</v>
      </c>
      <c r="F47" s="164" t="s">
        <v>165</v>
      </c>
      <c r="G47" s="209">
        <v>25</v>
      </c>
      <c r="H47" s="167" t="s">
        <v>240</v>
      </c>
      <c r="I47" s="207">
        <f t="shared" si="1"/>
        <v>8575</v>
      </c>
      <c r="J47" s="146">
        <v>270000</v>
      </c>
      <c r="K47" s="146">
        <v>750000</v>
      </c>
      <c r="L47" s="168">
        <f t="shared" si="0"/>
        <v>480000</v>
      </c>
      <c r="T47" s="138"/>
    </row>
    <row r="48" spans="1:20" x14ac:dyDescent="0.15">
      <c r="A48" s="165">
        <v>45</v>
      </c>
      <c r="B48" s="164" t="s">
        <v>239</v>
      </c>
      <c r="C48" s="165">
        <v>2014</v>
      </c>
      <c r="D48" s="169">
        <v>3430</v>
      </c>
      <c r="E48" s="174">
        <f t="shared" si="4"/>
        <v>343</v>
      </c>
      <c r="F48" s="164" t="s">
        <v>165</v>
      </c>
      <c r="G48" s="209">
        <v>25</v>
      </c>
      <c r="H48" s="167" t="s">
        <v>240</v>
      </c>
      <c r="I48" s="207">
        <f t="shared" si="1"/>
        <v>8575</v>
      </c>
      <c r="J48" s="146">
        <v>270000</v>
      </c>
      <c r="K48" s="146">
        <v>750000</v>
      </c>
      <c r="L48" s="168">
        <f t="shared" si="0"/>
        <v>480000</v>
      </c>
      <c r="T48" s="138"/>
    </row>
    <row r="49" spans="1:20" x14ac:dyDescent="0.15">
      <c r="A49" s="165">
        <v>46</v>
      </c>
      <c r="B49" s="164" t="s">
        <v>241</v>
      </c>
      <c r="C49" s="165">
        <v>2018</v>
      </c>
      <c r="D49" s="169">
        <v>163009</v>
      </c>
      <c r="E49" s="174">
        <f t="shared" si="4"/>
        <v>27168.166666666668</v>
      </c>
      <c r="F49" s="164" t="s">
        <v>194</v>
      </c>
      <c r="G49" s="209">
        <v>24</v>
      </c>
      <c r="H49" s="170" t="s">
        <v>222</v>
      </c>
      <c r="I49" s="207">
        <f t="shared" si="1"/>
        <v>652036</v>
      </c>
      <c r="J49" s="146">
        <v>34600</v>
      </c>
      <c r="K49" s="146">
        <v>50000</v>
      </c>
      <c r="L49" s="168">
        <f t="shared" si="0"/>
        <v>15400</v>
      </c>
      <c r="T49" s="138"/>
    </row>
    <row r="50" spans="1:20" x14ac:dyDescent="0.15">
      <c r="A50" s="165">
        <v>47</v>
      </c>
      <c r="B50" s="164" t="s">
        <v>229</v>
      </c>
      <c r="C50" s="165">
        <v>2017</v>
      </c>
      <c r="D50" s="169">
        <v>146363</v>
      </c>
      <c r="E50" s="174">
        <f t="shared" si="4"/>
        <v>20909</v>
      </c>
      <c r="F50" s="164" t="s">
        <v>194</v>
      </c>
      <c r="G50" s="209">
        <v>24</v>
      </c>
      <c r="H50" s="170" t="s">
        <v>222</v>
      </c>
      <c r="I50" s="207">
        <f t="shared" si="1"/>
        <v>501816</v>
      </c>
      <c r="J50" s="146">
        <v>34600</v>
      </c>
      <c r="K50" s="146">
        <v>50000</v>
      </c>
      <c r="L50" s="168">
        <f t="shared" si="0"/>
        <v>15400</v>
      </c>
      <c r="T50" s="138"/>
    </row>
    <row r="51" spans="1:20" x14ac:dyDescent="0.15">
      <c r="A51" s="165">
        <v>48</v>
      </c>
      <c r="B51" s="164" t="s">
        <v>242</v>
      </c>
      <c r="C51" s="165">
        <v>2016</v>
      </c>
      <c r="D51" s="169">
        <v>115186</v>
      </c>
      <c r="E51" s="174">
        <f t="shared" si="4"/>
        <v>14398.25</v>
      </c>
      <c r="F51" s="164" t="s">
        <v>165</v>
      </c>
      <c r="G51" s="209">
        <v>6</v>
      </c>
      <c r="H51" s="167" t="s">
        <v>243</v>
      </c>
      <c r="I51" s="207">
        <f t="shared" si="1"/>
        <v>86389.5</v>
      </c>
      <c r="J51" s="146">
        <v>300300</v>
      </c>
      <c r="K51" s="146">
        <v>500500</v>
      </c>
      <c r="L51" s="168">
        <f t="shared" si="0"/>
        <v>200200</v>
      </c>
      <c r="T51" s="138"/>
    </row>
    <row r="52" spans="1:20" x14ac:dyDescent="0.15">
      <c r="A52" s="165">
        <v>49</v>
      </c>
      <c r="B52" s="164" t="s">
        <v>242</v>
      </c>
      <c r="C52" s="165">
        <v>2016</v>
      </c>
      <c r="D52" s="169">
        <v>134871</v>
      </c>
      <c r="E52" s="174">
        <f t="shared" si="4"/>
        <v>16858.875</v>
      </c>
      <c r="F52" s="164" t="s">
        <v>165</v>
      </c>
      <c r="G52" s="209">
        <v>6</v>
      </c>
      <c r="H52" s="167" t="s">
        <v>243</v>
      </c>
      <c r="I52" s="207">
        <f t="shared" si="1"/>
        <v>101153.25</v>
      </c>
      <c r="J52" s="146">
        <v>300300</v>
      </c>
      <c r="K52" s="146">
        <v>500500</v>
      </c>
      <c r="L52" s="168">
        <f t="shared" si="0"/>
        <v>200200</v>
      </c>
      <c r="T52" s="138"/>
    </row>
    <row r="53" spans="1:20" x14ac:dyDescent="0.15">
      <c r="A53" s="165">
        <v>50</v>
      </c>
      <c r="B53" s="164" t="s">
        <v>244</v>
      </c>
      <c r="C53" s="165">
        <v>2017</v>
      </c>
      <c r="D53" s="169">
        <v>183760</v>
      </c>
      <c r="E53" s="174">
        <f t="shared" si="4"/>
        <v>26251.428571428572</v>
      </c>
      <c r="F53" s="164" t="s">
        <v>165</v>
      </c>
      <c r="G53" s="209">
        <v>9</v>
      </c>
      <c r="H53" s="167" t="s">
        <v>245</v>
      </c>
      <c r="I53" s="207">
        <f t="shared" si="1"/>
        <v>236262.85714285716</v>
      </c>
      <c r="J53" s="146">
        <v>170000</v>
      </c>
      <c r="K53" s="146">
        <v>250000</v>
      </c>
      <c r="L53" s="168">
        <f t="shared" si="0"/>
        <v>80000</v>
      </c>
      <c r="T53" s="138"/>
    </row>
    <row r="54" spans="1:20" x14ac:dyDescent="0.15">
      <c r="A54" s="165">
        <v>51</v>
      </c>
      <c r="B54" s="164" t="s">
        <v>242</v>
      </c>
      <c r="C54" s="165">
        <v>2016</v>
      </c>
      <c r="D54" s="169">
        <v>120564</v>
      </c>
      <c r="E54" s="174">
        <f t="shared" si="4"/>
        <v>15070.5</v>
      </c>
      <c r="F54" s="164" t="s">
        <v>165</v>
      </c>
      <c r="G54" s="209">
        <v>6</v>
      </c>
      <c r="H54" s="167" t="s">
        <v>243</v>
      </c>
      <c r="I54" s="207">
        <f t="shared" si="1"/>
        <v>90423</v>
      </c>
      <c r="J54" s="146">
        <v>300300</v>
      </c>
      <c r="K54" s="146">
        <v>500500</v>
      </c>
      <c r="L54" s="168">
        <f t="shared" si="0"/>
        <v>200200</v>
      </c>
      <c r="T54" s="138"/>
    </row>
    <row r="55" spans="1:20" x14ac:dyDescent="0.15">
      <c r="A55" s="165">
        <v>52</v>
      </c>
      <c r="B55" s="164" t="s">
        <v>242</v>
      </c>
      <c r="C55" s="165">
        <v>2016</v>
      </c>
      <c r="D55" s="169">
        <v>117706</v>
      </c>
      <c r="E55" s="174">
        <f t="shared" si="4"/>
        <v>14713.25</v>
      </c>
      <c r="F55" s="164" t="s">
        <v>165</v>
      </c>
      <c r="G55" s="209">
        <v>6</v>
      </c>
      <c r="H55" s="167" t="s">
        <v>243</v>
      </c>
      <c r="I55" s="207">
        <f t="shared" si="1"/>
        <v>88279.5</v>
      </c>
      <c r="J55" s="146">
        <v>300300</v>
      </c>
      <c r="K55" s="146">
        <v>500500</v>
      </c>
      <c r="L55" s="168">
        <f t="shared" si="0"/>
        <v>200200</v>
      </c>
      <c r="T55" s="138"/>
    </row>
    <row r="56" spans="1:20" x14ac:dyDescent="0.15">
      <c r="A56" s="165">
        <v>53</v>
      </c>
      <c r="B56" s="164" t="s">
        <v>242</v>
      </c>
      <c r="C56" s="165">
        <v>2016</v>
      </c>
      <c r="D56" s="169">
        <v>115972</v>
      </c>
      <c r="E56" s="174">
        <f t="shared" si="4"/>
        <v>14496.5</v>
      </c>
      <c r="F56" s="164" t="s">
        <v>165</v>
      </c>
      <c r="G56" s="209">
        <v>6</v>
      </c>
      <c r="H56" s="167" t="s">
        <v>243</v>
      </c>
      <c r="I56" s="207">
        <f t="shared" si="1"/>
        <v>86979</v>
      </c>
      <c r="J56" s="146">
        <v>300300</v>
      </c>
      <c r="K56" s="146">
        <v>500500</v>
      </c>
      <c r="L56" s="168">
        <f t="shared" si="0"/>
        <v>200200</v>
      </c>
      <c r="T56" s="138"/>
    </row>
    <row r="57" spans="1:20" x14ac:dyDescent="0.15">
      <c r="A57" s="165">
        <v>54</v>
      </c>
      <c r="B57" s="164" t="s">
        <v>242</v>
      </c>
      <c r="C57" s="165">
        <v>2016</v>
      </c>
      <c r="D57" s="169">
        <v>131933</v>
      </c>
      <c r="E57" s="174">
        <f t="shared" si="4"/>
        <v>16491.625</v>
      </c>
      <c r="F57" s="164" t="s">
        <v>165</v>
      </c>
      <c r="G57" s="209">
        <v>6</v>
      </c>
      <c r="H57" s="167" t="s">
        <v>243</v>
      </c>
      <c r="I57" s="207">
        <f t="shared" si="1"/>
        <v>98949.75</v>
      </c>
      <c r="J57" s="146">
        <v>300300</v>
      </c>
      <c r="K57" s="146">
        <v>500500</v>
      </c>
      <c r="L57" s="168">
        <f t="shared" si="0"/>
        <v>200200</v>
      </c>
      <c r="T57" s="138"/>
    </row>
    <row r="58" spans="1:20" x14ac:dyDescent="0.15">
      <c r="A58" s="165">
        <v>55</v>
      </c>
      <c r="B58" s="164" t="s">
        <v>242</v>
      </c>
      <c r="C58" s="165">
        <v>2016</v>
      </c>
      <c r="D58" s="169">
        <v>135910</v>
      </c>
      <c r="E58" s="174">
        <f t="shared" si="4"/>
        <v>16988.75</v>
      </c>
      <c r="F58" s="164" t="s">
        <v>165</v>
      </c>
      <c r="G58" s="209">
        <v>6</v>
      </c>
      <c r="H58" s="167" t="s">
        <v>243</v>
      </c>
      <c r="I58" s="207">
        <f t="shared" si="1"/>
        <v>101932.5</v>
      </c>
      <c r="J58" s="146">
        <v>300300</v>
      </c>
      <c r="K58" s="146">
        <v>500500</v>
      </c>
      <c r="L58" s="168">
        <f t="shared" si="0"/>
        <v>200200</v>
      </c>
      <c r="T58" s="138"/>
    </row>
    <row r="59" spans="1:20" x14ac:dyDescent="0.15">
      <c r="A59" s="165">
        <v>56</v>
      </c>
      <c r="B59" s="164" t="s">
        <v>246</v>
      </c>
      <c r="C59" s="165">
        <v>2018</v>
      </c>
      <c r="D59" s="169">
        <v>150545</v>
      </c>
      <c r="E59" s="174">
        <f t="shared" si="4"/>
        <v>25090.833333333332</v>
      </c>
      <c r="F59" s="164" t="s">
        <v>194</v>
      </c>
      <c r="G59" s="209">
        <v>14</v>
      </c>
      <c r="H59" s="170" t="s">
        <v>222</v>
      </c>
      <c r="I59" s="207">
        <f t="shared" si="1"/>
        <v>351271.66666666663</v>
      </c>
      <c r="J59" s="146">
        <v>34600</v>
      </c>
      <c r="K59" s="146">
        <v>50000</v>
      </c>
      <c r="L59" s="168">
        <f t="shared" si="0"/>
        <v>15400</v>
      </c>
      <c r="T59" s="138"/>
    </row>
    <row r="60" spans="1:20" x14ac:dyDescent="0.15">
      <c r="A60" s="165">
        <v>57</v>
      </c>
      <c r="B60" s="164" t="s">
        <v>220</v>
      </c>
      <c r="C60" s="165">
        <v>2005</v>
      </c>
      <c r="D60" s="169">
        <v>86805</v>
      </c>
      <c r="E60" s="174">
        <f t="shared" si="4"/>
        <v>4568.6842105263158</v>
      </c>
      <c r="F60" s="164" t="s">
        <v>194</v>
      </c>
      <c r="G60" s="209">
        <v>24</v>
      </c>
      <c r="H60" s="167" t="s">
        <v>216</v>
      </c>
      <c r="I60" s="207">
        <f t="shared" si="1"/>
        <v>109648.42105263157</v>
      </c>
      <c r="J60" s="145">
        <v>25100</v>
      </c>
      <c r="K60" s="146">
        <v>40000</v>
      </c>
      <c r="L60" s="168">
        <f t="shared" si="0"/>
        <v>14900</v>
      </c>
      <c r="T60" s="138"/>
    </row>
    <row r="61" spans="1:20" x14ac:dyDescent="0.15">
      <c r="A61" s="165">
        <v>58</v>
      </c>
      <c r="B61" s="164" t="s">
        <v>220</v>
      </c>
      <c r="C61" s="165">
        <v>2006</v>
      </c>
      <c r="D61" s="169">
        <v>75446</v>
      </c>
      <c r="E61" s="174">
        <f t="shared" si="4"/>
        <v>4191.4444444444443</v>
      </c>
      <c r="F61" s="164" t="s">
        <v>194</v>
      </c>
      <c r="G61" s="209">
        <v>24</v>
      </c>
      <c r="H61" s="167" t="s">
        <v>216</v>
      </c>
      <c r="I61" s="207">
        <f t="shared" si="1"/>
        <v>100594.66666666666</v>
      </c>
      <c r="J61" s="145">
        <v>25100</v>
      </c>
      <c r="K61" s="146">
        <v>40000</v>
      </c>
      <c r="L61" s="168">
        <f t="shared" si="0"/>
        <v>14900</v>
      </c>
      <c r="T61" s="138"/>
    </row>
    <row r="62" spans="1:20" x14ac:dyDescent="0.15">
      <c r="A62" s="165">
        <v>59</v>
      </c>
      <c r="B62" s="164" t="s">
        <v>247</v>
      </c>
      <c r="C62" s="165">
        <v>1998</v>
      </c>
      <c r="D62" s="169">
        <v>31134</v>
      </c>
      <c r="E62" s="174">
        <f t="shared" si="4"/>
        <v>1197.4615384615386</v>
      </c>
      <c r="F62" s="164" t="s">
        <v>194</v>
      </c>
      <c r="G62" s="209">
        <v>14</v>
      </c>
      <c r="H62" s="170" t="s">
        <v>218</v>
      </c>
      <c r="I62" s="207">
        <f t="shared" si="1"/>
        <v>16764.461538461539</v>
      </c>
      <c r="J62" s="146">
        <v>47000</v>
      </c>
      <c r="K62" s="146">
        <v>46000</v>
      </c>
      <c r="L62" s="168">
        <f t="shared" si="0"/>
        <v>-1000</v>
      </c>
      <c r="T62" s="138"/>
    </row>
    <row r="63" spans="1:20" x14ac:dyDescent="0.15">
      <c r="A63" s="165">
        <v>60</v>
      </c>
      <c r="B63" s="164" t="s">
        <v>248</v>
      </c>
      <c r="C63" s="165">
        <v>2000</v>
      </c>
      <c r="D63" s="169">
        <v>44102</v>
      </c>
      <c r="E63" s="174">
        <f t="shared" si="4"/>
        <v>1837.5833333333333</v>
      </c>
      <c r="F63" s="164" t="s">
        <v>165</v>
      </c>
      <c r="G63" s="209">
        <v>9</v>
      </c>
      <c r="H63" s="170" t="s">
        <v>249</v>
      </c>
      <c r="I63" s="207">
        <f t="shared" si="1"/>
        <v>16538.25</v>
      </c>
      <c r="J63" s="146">
        <v>125000</v>
      </c>
      <c r="K63" s="146">
        <v>145000</v>
      </c>
      <c r="L63" s="168">
        <f t="shared" si="0"/>
        <v>20000</v>
      </c>
      <c r="T63" s="138"/>
    </row>
    <row r="64" spans="1:20" x14ac:dyDescent="0.15">
      <c r="A64" s="165">
        <v>61</v>
      </c>
      <c r="B64" s="164" t="s">
        <v>250</v>
      </c>
      <c r="C64" s="165">
        <v>2012</v>
      </c>
      <c r="D64" s="169">
        <v>123911</v>
      </c>
      <c r="E64" s="174">
        <f t="shared" si="4"/>
        <v>10325.916666666666</v>
      </c>
      <c r="F64" s="164" t="s">
        <v>165</v>
      </c>
      <c r="G64" s="209">
        <v>6</v>
      </c>
      <c r="H64" s="167" t="s">
        <v>251</v>
      </c>
      <c r="I64" s="207">
        <f t="shared" si="1"/>
        <v>61955.5</v>
      </c>
      <c r="J64" s="146">
        <v>139000</v>
      </c>
      <c r="K64" s="146">
        <v>150000</v>
      </c>
      <c r="L64" s="168">
        <f t="shared" si="0"/>
        <v>11000</v>
      </c>
      <c r="T64" s="138"/>
    </row>
    <row r="65" spans="1:21" x14ac:dyDescent="0.15">
      <c r="A65" s="165">
        <v>62</v>
      </c>
      <c r="B65" s="164" t="s">
        <v>252</v>
      </c>
      <c r="C65" s="165">
        <v>2013</v>
      </c>
      <c r="D65" s="169">
        <v>140693</v>
      </c>
      <c r="E65" s="174">
        <f t="shared" si="4"/>
        <v>12790.272727272728</v>
      </c>
      <c r="F65" s="164" t="s">
        <v>194</v>
      </c>
      <c r="G65" s="209">
        <v>14</v>
      </c>
      <c r="H65" s="170" t="s">
        <v>222</v>
      </c>
      <c r="I65" s="207">
        <f t="shared" si="1"/>
        <v>179063.81818181818</v>
      </c>
      <c r="J65" s="146">
        <v>34600</v>
      </c>
      <c r="K65" s="146">
        <v>50000</v>
      </c>
      <c r="L65" s="168">
        <f t="shared" si="0"/>
        <v>15400</v>
      </c>
      <c r="T65" s="138"/>
    </row>
    <row r="66" spans="1:21" ht="14" x14ac:dyDescent="0.15">
      <c r="A66" s="165">
        <v>63</v>
      </c>
      <c r="B66" s="167" t="s">
        <v>253</v>
      </c>
      <c r="C66" s="165">
        <v>2013</v>
      </c>
      <c r="D66" s="166" t="s">
        <v>213</v>
      </c>
      <c r="E66" s="175">
        <v>12400</v>
      </c>
      <c r="F66" s="167" t="s">
        <v>194</v>
      </c>
      <c r="G66" s="209">
        <v>14</v>
      </c>
      <c r="H66" s="167" t="s">
        <v>254</v>
      </c>
      <c r="I66" s="207">
        <f t="shared" si="1"/>
        <v>173600</v>
      </c>
      <c r="J66" s="146">
        <v>34600</v>
      </c>
      <c r="K66" s="146">
        <v>50000</v>
      </c>
      <c r="L66" s="168">
        <f t="shared" si="0"/>
        <v>15400</v>
      </c>
      <c r="T66" s="138"/>
    </row>
    <row r="67" spans="1:21" x14ac:dyDescent="0.15">
      <c r="A67" s="165">
        <v>64</v>
      </c>
      <c r="B67" s="164" t="s">
        <v>255</v>
      </c>
      <c r="C67" s="165">
        <v>2017</v>
      </c>
      <c r="D67" s="169">
        <v>130125</v>
      </c>
      <c r="E67" s="174">
        <f>D67/(2024-C67)</f>
        <v>18589.285714285714</v>
      </c>
      <c r="F67" s="164" t="s">
        <v>165</v>
      </c>
      <c r="G67" s="209">
        <v>9</v>
      </c>
      <c r="H67" s="167" t="s">
        <v>243</v>
      </c>
      <c r="I67" s="207">
        <f t="shared" si="1"/>
        <v>167303.57142857142</v>
      </c>
      <c r="J67" s="146">
        <v>139000</v>
      </c>
      <c r="K67" s="146">
        <v>250000</v>
      </c>
      <c r="L67" s="168">
        <f t="shared" si="0"/>
        <v>111000</v>
      </c>
      <c r="T67" s="138"/>
    </row>
    <row r="68" spans="1:21" x14ac:dyDescent="0.15">
      <c r="A68" s="165">
        <v>65</v>
      </c>
      <c r="B68" s="164" t="s">
        <v>255</v>
      </c>
      <c r="C68" s="165">
        <v>2016</v>
      </c>
      <c r="D68" s="169">
        <v>149265</v>
      </c>
      <c r="E68" s="174">
        <f>D68/(2024-C68)</f>
        <v>18658.125</v>
      </c>
      <c r="F68" s="164" t="s">
        <v>165</v>
      </c>
      <c r="G68" s="209">
        <v>9</v>
      </c>
      <c r="H68" s="167" t="s">
        <v>243</v>
      </c>
      <c r="I68" s="207">
        <f t="shared" si="1"/>
        <v>167923.125</v>
      </c>
      <c r="J68" s="146">
        <v>139000</v>
      </c>
      <c r="K68" s="146">
        <v>250000</v>
      </c>
      <c r="L68" s="168">
        <f>K68-J68</f>
        <v>111000</v>
      </c>
      <c r="T68" s="138"/>
    </row>
    <row r="69" spans="1:21" ht="14" x14ac:dyDescent="0.15">
      <c r="A69" s="199">
        <v>66</v>
      </c>
      <c r="B69" s="200" t="s">
        <v>256</v>
      </c>
      <c r="C69" s="199">
        <v>2012</v>
      </c>
      <c r="D69" s="201" t="s">
        <v>213</v>
      </c>
      <c r="E69" s="202" t="s">
        <v>213</v>
      </c>
      <c r="F69" s="200" t="s">
        <v>257</v>
      </c>
      <c r="G69" s="210" t="s">
        <v>258</v>
      </c>
      <c r="H69" s="203" t="s">
        <v>259</v>
      </c>
      <c r="I69" s="208"/>
      <c r="J69" s="204">
        <v>13000</v>
      </c>
      <c r="K69" s="205">
        <v>13000</v>
      </c>
      <c r="L69" s="206">
        <f>K69-J69</f>
        <v>0</v>
      </c>
      <c r="T69" s="138"/>
    </row>
    <row r="70" spans="1:21" x14ac:dyDescent="0.15">
      <c r="A70" s="165">
        <v>67</v>
      </c>
      <c r="B70" s="164" t="s">
        <v>220</v>
      </c>
      <c r="C70" s="165">
        <v>2005</v>
      </c>
      <c r="D70" s="169">
        <v>82444</v>
      </c>
      <c r="E70" s="174">
        <f>D70/(2024-C70)</f>
        <v>4339.1578947368425</v>
      </c>
      <c r="F70" s="164" t="s">
        <v>194</v>
      </c>
      <c r="G70" s="209">
        <v>24</v>
      </c>
      <c r="H70" s="167" t="s">
        <v>216</v>
      </c>
      <c r="I70" s="207">
        <f t="shared" ref="I70:I71" si="5">E70*G70</f>
        <v>104139.78947368421</v>
      </c>
      <c r="J70" s="145">
        <v>25100</v>
      </c>
      <c r="K70" s="146">
        <v>40000</v>
      </c>
      <c r="L70" s="168">
        <f>K70-J70</f>
        <v>14900</v>
      </c>
      <c r="T70" s="138"/>
    </row>
    <row r="71" spans="1:21" x14ac:dyDescent="0.15">
      <c r="A71" s="165">
        <v>68</v>
      </c>
      <c r="B71" s="164" t="s">
        <v>220</v>
      </c>
      <c r="C71" s="165">
        <v>2006</v>
      </c>
      <c r="D71" s="169">
        <v>63419</v>
      </c>
      <c r="E71" s="174">
        <f>D71/(2024-C71)</f>
        <v>3523.2777777777778</v>
      </c>
      <c r="F71" s="164" t="s">
        <v>194</v>
      </c>
      <c r="G71" s="209">
        <v>24</v>
      </c>
      <c r="H71" s="167" t="s">
        <v>216</v>
      </c>
      <c r="I71" s="207">
        <f t="shared" si="5"/>
        <v>84558.666666666672</v>
      </c>
      <c r="J71" s="145">
        <v>25100</v>
      </c>
      <c r="K71" s="146">
        <v>40000</v>
      </c>
      <c r="L71" s="168">
        <f>K71-J71</f>
        <v>14900</v>
      </c>
      <c r="T71" s="138"/>
    </row>
    <row r="72" spans="1:21" x14ac:dyDescent="0.15">
      <c r="B72" s="138">
        <f>28+68</f>
        <v>96</v>
      </c>
      <c r="C72" s="214">
        <f>B72-26</f>
        <v>70</v>
      </c>
      <c r="M72" s="176"/>
    </row>
    <row r="73" spans="1:21" x14ac:dyDescent="0.15">
      <c r="M73" s="176"/>
    </row>
    <row r="74" spans="1:21" ht="18" x14ac:dyDescent="0.2">
      <c r="A74" s="276" t="s">
        <v>260</v>
      </c>
      <c r="B74" s="276"/>
      <c r="C74" s="276"/>
      <c r="D74" s="276"/>
      <c r="E74" s="276"/>
      <c r="F74" s="276"/>
      <c r="G74" s="276"/>
      <c r="H74" s="276"/>
      <c r="I74" s="276"/>
      <c r="J74" s="276"/>
      <c r="K74" s="276"/>
      <c r="L74" s="276"/>
      <c r="M74" s="198"/>
      <c r="N74" s="198"/>
      <c r="O74" s="198"/>
      <c r="P74" s="198"/>
      <c r="Q74" s="198"/>
      <c r="R74" s="198"/>
      <c r="S74" s="198"/>
      <c r="T74" s="198"/>
      <c r="U74" s="198"/>
    </row>
    <row r="75" spans="1:21" ht="18" x14ac:dyDescent="0.2">
      <c r="A75" s="159"/>
      <c r="B75" s="160"/>
      <c r="C75" s="160"/>
      <c r="D75" s="160"/>
      <c r="E75" s="160"/>
      <c r="F75" s="160"/>
      <c r="G75" s="158"/>
      <c r="H75" s="158"/>
      <c r="I75" s="158"/>
      <c r="J75" s="161"/>
      <c r="K75" s="158"/>
      <c r="L75" s="162"/>
      <c r="M75" s="162"/>
      <c r="N75" s="158"/>
      <c r="O75" s="158"/>
      <c r="P75" s="158"/>
      <c r="S75" s="147">
        <f>SUM(J77:J104)</f>
        <v>4302229.3</v>
      </c>
      <c r="T75" s="147">
        <f>SUM(K77:K104)</f>
        <v>7757100</v>
      </c>
      <c r="U75" s="147">
        <f>SUM(L77:L104)</f>
        <v>3454870.7</v>
      </c>
    </row>
    <row r="76" spans="1:21" ht="60" x14ac:dyDescent="0.15">
      <c r="A76" s="148"/>
      <c r="B76" s="148" t="s">
        <v>155</v>
      </c>
      <c r="C76" s="140" t="s">
        <v>168</v>
      </c>
      <c r="D76" s="141" t="s">
        <v>261</v>
      </c>
      <c r="E76" s="149" t="s">
        <v>156</v>
      </c>
      <c r="F76" s="148" t="s">
        <v>206</v>
      </c>
      <c r="G76" s="148" t="s">
        <v>207</v>
      </c>
      <c r="H76" s="142" t="s">
        <v>262</v>
      </c>
      <c r="I76" s="151" t="s">
        <v>209</v>
      </c>
      <c r="J76" s="144" t="s">
        <v>210</v>
      </c>
      <c r="K76" s="144" t="s">
        <v>211</v>
      </c>
      <c r="L76" s="144" t="s">
        <v>190</v>
      </c>
      <c r="T76" s="138"/>
    </row>
    <row r="77" spans="1:21" x14ac:dyDescent="0.15">
      <c r="A77" s="165">
        <v>1</v>
      </c>
      <c r="B77" s="164" t="s">
        <v>217</v>
      </c>
      <c r="C77" s="165">
        <v>2013</v>
      </c>
      <c r="D77" s="169">
        <v>137252.25362681341</v>
      </c>
      <c r="E77" s="174">
        <f t="shared" ref="E77:E104" si="6">D77/(2024-C77)</f>
        <v>12477.477602437582</v>
      </c>
      <c r="F77" s="164" t="s">
        <v>194</v>
      </c>
      <c r="G77" s="209">
        <v>14</v>
      </c>
      <c r="H77" s="170" t="s">
        <v>218</v>
      </c>
      <c r="I77" s="170">
        <f>E77*G77</f>
        <v>174684.68643412617</v>
      </c>
      <c r="J77" s="146">
        <v>49350</v>
      </c>
      <c r="K77" s="146">
        <v>52500</v>
      </c>
      <c r="L77" s="168">
        <f t="shared" ref="L77:L104" si="7">K77-J77</f>
        <v>3150</v>
      </c>
      <c r="T77" s="138"/>
    </row>
    <row r="78" spans="1:21" x14ac:dyDescent="0.15">
      <c r="A78" s="165">
        <v>2</v>
      </c>
      <c r="B78" s="164" t="s">
        <v>263</v>
      </c>
      <c r="C78" s="165">
        <v>2015</v>
      </c>
      <c r="D78" s="169">
        <v>157418.15217391305</v>
      </c>
      <c r="E78" s="174">
        <f t="shared" si="6"/>
        <v>17490.905797101452</v>
      </c>
      <c r="F78" s="164" t="s">
        <v>194</v>
      </c>
      <c r="G78" s="209">
        <v>14</v>
      </c>
      <c r="H78" s="170" t="s">
        <v>222</v>
      </c>
      <c r="I78" s="170">
        <f t="shared" ref="I78:I104" si="8">E78*G78</f>
        <v>244872.68115942032</v>
      </c>
      <c r="J78" s="146">
        <v>36330</v>
      </c>
      <c r="K78" s="146">
        <v>52500</v>
      </c>
      <c r="L78" s="168">
        <f t="shared" si="7"/>
        <v>16170</v>
      </c>
      <c r="T78" s="138"/>
    </row>
    <row r="79" spans="1:21" x14ac:dyDescent="0.15">
      <c r="A79" s="165">
        <v>3</v>
      </c>
      <c r="B79" s="164" t="s">
        <v>264</v>
      </c>
      <c r="C79" s="165">
        <v>2016</v>
      </c>
      <c r="D79" s="169">
        <v>141482.70893970894</v>
      </c>
      <c r="E79" s="174">
        <f t="shared" si="6"/>
        <v>17685.338617463618</v>
      </c>
      <c r="F79" s="164" t="s">
        <v>194</v>
      </c>
      <c r="G79" s="209">
        <v>14</v>
      </c>
      <c r="H79" s="170" t="s">
        <v>222</v>
      </c>
      <c r="I79" s="170">
        <f t="shared" si="8"/>
        <v>247594.74064449064</v>
      </c>
      <c r="J79" s="146">
        <v>36330</v>
      </c>
      <c r="K79" s="146">
        <v>52500</v>
      </c>
      <c r="L79" s="168">
        <f t="shared" si="7"/>
        <v>16170</v>
      </c>
      <c r="T79" s="138"/>
    </row>
    <row r="80" spans="1:21" x14ac:dyDescent="0.15">
      <c r="A80" s="165">
        <v>4</v>
      </c>
      <c r="B80" s="164" t="s">
        <v>265</v>
      </c>
      <c r="C80" s="165">
        <v>2017</v>
      </c>
      <c r="D80" s="169">
        <v>158544.08524864187</v>
      </c>
      <c r="E80" s="174">
        <f t="shared" si="6"/>
        <v>22649.155035520267</v>
      </c>
      <c r="F80" s="164" t="s">
        <v>194</v>
      </c>
      <c r="G80" s="209">
        <v>19</v>
      </c>
      <c r="H80" s="170" t="s">
        <v>222</v>
      </c>
      <c r="I80" s="170">
        <f t="shared" si="8"/>
        <v>430333.94567488506</v>
      </c>
      <c r="J80" s="146">
        <v>36330</v>
      </c>
      <c r="K80" s="146">
        <v>52500</v>
      </c>
      <c r="L80" s="168">
        <f t="shared" si="7"/>
        <v>16170</v>
      </c>
      <c r="T80" s="138"/>
    </row>
    <row r="81" spans="1:20" x14ac:dyDescent="0.15">
      <c r="A81" s="165">
        <v>5</v>
      </c>
      <c r="B81" s="164" t="s">
        <v>221</v>
      </c>
      <c r="C81" s="165">
        <v>2013</v>
      </c>
      <c r="D81" s="169">
        <v>169263.87931034481</v>
      </c>
      <c r="E81" s="174">
        <f t="shared" si="6"/>
        <v>15387.625391849528</v>
      </c>
      <c r="F81" s="164" t="s">
        <v>194</v>
      </c>
      <c r="G81" s="209">
        <v>14</v>
      </c>
      <c r="H81" s="170" t="s">
        <v>222</v>
      </c>
      <c r="I81" s="170">
        <f t="shared" si="8"/>
        <v>215426.7554858934</v>
      </c>
      <c r="J81" s="146">
        <v>36330</v>
      </c>
      <c r="K81" s="146">
        <v>52500</v>
      </c>
      <c r="L81" s="168">
        <f t="shared" si="7"/>
        <v>16170</v>
      </c>
      <c r="T81" s="138"/>
    </row>
    <row r="82" spans="1:20" x14ac:dyDescent="0.15">
      <c r="A82" s="165">
        <v>6</v>
      </c>
      <c r="B82" s="164" t="s">
        <v>233</v>
      </c>
      <c r="C82" s="165">
        <v>2015</v>
      </c>
      <c r="D82" s="169">
        <v>137792.19468459813</v>
      </c>
      <c r="E82" s="174">
        <f t="shared" si="6"/>
        <v>15310.243853844237</v>
      </c>
      <c r="F82" s="164" t="s">
        <v>194</v>
      </c>
      <c r="G82" s="209">
        <v>14</v>
      </c>
      <c r="H82" s="170" t="s">
        <v>222</v>
      </c>
      <c r="I82" s="170">
        <f t="shared" si="8"/>
        <v>214343.41395381931</v>
      </c>
      <c r="J82" s="146">
        <v>36330</v>
      </c>
      <c r="K82" s="146">
        <v>52500</v>
      </c>
      <c r="L82" s="168">
        <f t="shared" si="7"/>
        <v>16170</v>
      </c>
      <c r="T82" s="138"/>
    </row>
    <row r="83" spans="1:20" x14ac:dyDescent="0.15">
      <c r="A83" s="165">
        <v>7</v>
      </c>
      <c r="B83" s="164" t="s">
        <v>266</v>
      </c>
      <c r="C83" s="165">
        <v>2017</v>
      </c>
      <c r="D83" s="169">
        <v>136882.78867102397</v>
      </c>
      <c r="E83" s="174">
        <f t="shared" si="6"/>
        <v>19554.684095860568</v>
      </c>
      <c r="F83" s="164" t="s">
        <v>194</v>
      </c>
      <c r="G83" s="209">
        <v>14</v>
      </c>
      <c r="H83" s="170" t="s">
        <v>222</v>
      </c>
      <c r="I83" s="170">
        <f t="shared" si="8"/>
        <v>273765.57734204794</v>
      </c>
      <c r="J83" s="146">
        <v>36330</v>
      </c>
      <c r="K83" s="146">
        <v>52500</v>
      </c>
      <c r="L83" s="168">
        <f t="shared" si="7"/>
        <v>16170</v>
      </c>
      <c r="T83" s="138"/>
    </row>
    <row r="84" spans="1:20" x14ac:dyDescent="0.15">
      <c r="A84" s="165">
        <v>8</v>
      </c>
      <c r="B84" s="164" t="s">
        <v>267</v>
      </c>
      <c r="C84" s="165">
        <v>2019</v>
      </c>
      <c r="D84" s="169">
        <v>143461.90614334471</v>
      </c>
      <c r="E84" s="174">
        <f t="shared" si="6"/>
        <v>28692.381228668943</v>
      </c>
      <c r="F84" s="164" t="s">
        <v>194</v>
      </c>
      <c r="G84" s="209">
        <v>14</v>
      </c>
      <c r="H84" s="170" t="s">
        <v>268</v>
      </c>
      <c r="I84" s="170">
        <f t="shared" si="8"/>
        <v>401693.33720136521</v>
      </c>
      <c r="J84" s="146">
        <v>50000</v>
      </c>
      <c r="K84" s="146">
        <v>60000</v>
      </c>
      <c r="L84" s="168">
        <f t="shared" si="7"/>
        <v>10000</v>
      </c>
      <c r="T84" s="138"/>
    </row>
    <row r="85" spans="1:20" x14ac:dyDescent="0.15">
      <c r="A85" s="165">
        <v>9</v>
      </c>
      <c r="B85" s="164" t="s">
        <v>269</v>
      </c>
      <c r="C85" s="165">
        <v>2016</v>
      </c>
      <c r="D85" s="169">
        <v>167091.99741768884</v>
      </c>
      <c r="E85" s="174">
        <f t="shared" si="6"/>
        <v>20886.499677211104</v>
      </c>
      <c r="F85" s="164" t="s">
        <v>165</v>
      </c>
      <c r="G85" s="209">
        <v>8</v>
      </c>
      <c r="H85" s="167" t="s">
        <v>270</v>
      </c>
      <c r="I85" s="170">
        <f t="shared" si="8"/>
        <v>167091.99741768884</v>
      </c>
      <c r="J85" s="145">
        <v>1050000</v>
      </c>
      <c r="K85" s="146">
        <v>2100000</v>
      </c>
      <c r="L85" s="168">
        <f t="shared" si="7"/>
        <v>1050000</v>
      </c>
      <c r="T85" s="138"/>
    </row>
    <row r="86" spans="1:20" x14ac:dyDescent="0.15">
      <c r="A86" s="165">
        <v>10</v>
      </c>
      <c r="B86" s="164" t="s">
        <v>271</v>
      </c>
      <c r="C86" s="165">
        <v>2018</v>
      </c>
      <c r="D86" s="169">
        <v>142663.81601525261</v>
      </c>
      <c r="E86" s="174">
        <f t="shared" si="6"/>
        <v>23777.30266920877</v>
      </c>
      <c r="F86" s="164" t="s">
        <v>194</v>
      </c>
      <c r="G86" s="209">
        <v>14</v>
      </c>
      <c r="H86" s="170" t="s">
        <v>268</v>
      </c>
      <c r="I86" s="170">
        <f t="shared" si="8"/>
        <v>332882.2373689228</v>
      </c>
      <c r="J86" s="146">
        <v>50000</v>
      </c>
      <c r="K86" s="146">
        <v>60000</v>
      </c>
      <c r="L86" s="168">
        <f t="shared" si="7"/>
        <v>10000</v>
      </c>
      <c r="T86" s="138"/>
    </row>
    <row r="87" spans="1:20" x14ac:dyDescent="0.15">
      <c r="A87" s="165">
        <v>11</v>
      </c>
      <c r="B87" s="164" t="s">
        <v>272</v>
      </c>
      <c r="C87" s="165">
        <v>2017</v>
      </c>
      <c r="D87" s="169">
        <v>157607.61875276428</v>
      </c>
      <c r="E87" s="174">
        <f t="shared" si="6"/>
        <v>22515.374107537755</v>
      </c>
      <c r="F87" s="164" t="s">
        <v>194</v>
      </c>
      <c r="G87" s="209">
        <v>14</v>
      </c>
      <c r="H87" s="170" t="s">
        <v>268</v>
      </c>
      <c r="I87" s="170">
        <f t="shared" si="8"/>
        <v>315215.23750552855</v>
      </c>
      <c r="J87" s="146">
        <v>50000</v>
      </c>
      <c r="K87" s="146">
        <v>60000</v>
      </c>
      <c r="L87" s="168">
        <f t="shared" si="7"/>
        <v>10000</v>
      </c>
      <c r="T87" s="138"/>
    </row>
    <row r="88" spans="1:20" x14ac:dyDescent="0.15">
      <c r="A88" s="165">
        <v>12</v>
      </c>
      <c r="B88" s="164" t="s">
        <v>272</v>
      </c>
      <c r="C88" s="165">
        <v>2017</v>
      </c>
      <c r="D88" s="169">
        <v>145827.68957871397</v>
      </c>
      <c r="E88" s="174">
        <f t="shared" si="6"/>
        <v>20832.527082673423</v>
      </c>
      <c r="F88" s="164" t="s">
        <v>194</v>
      </c>
      <c r="G88" s="209">
        <v>14</v>
      </c>
      <c r="H88" s="170" t="s">
        <v>268</v>
      </c>
      <c r="I88" s="170">
        <f t="shared" si="8"/>
        <v>291655.37915742793</v>
      </c>
      <c r="J88" s="146">
        <v>50000</v>
      </c>
      <c r="K88" s="146">
        <v>60000</v>
      </c>
      <c r="L88" s="168">
        <f t="shared" si="7"/>
        <v>10000</v>
      </c>
      <c r="N88" s="138">
        <v>6834771</v>
      </c>
      <c r="O88" s="138">
        <f>N88/96</f>
        <v>71195.53125</v>
      </c>
      <c r="T88" s="138"/>
    </row>
    <row r="89" spans="1:20" x14ac:dyDescent="0.15">
      <c r="A89" s="165">
        <v>13</v>
      </c>
      <c r="B89" s="164" t="s">
        <v>273</v>
      </c>
      <c r="C89" s="165">
        <v>2018</v>
      </c>
      <c r="D89" s="169">
        <v>151142.26501429934</v>
      </c>
      <c r="E89" s="174">
        <f t="shared" si="6"/>
        <v>25190.377502383224</v>
      </c>
      <c r="F89" s="164" t="s">
        <v>194</v>
      </c>
      <c r="G89" s="209">
        <v>14</v>
      </c>
      <c r="H89" s="170" t="s">
        <v>268</v>
      </c>
      <c r="I89" s="170">
        <f t="shared" si="8"/>
        <v>352665.28503336513</v>
      </c>
      <c r="J89" s="146">
        <v>50000</v>
      </c>
      <c r="K89" s="146">
        <v>60000</v>
      </c>
      <c r="L89" s="168">
        <f t="shared" si="7"/>
        <v>10000</v>
      </c>
      <c r="T89" s="138"/>
    </row>
    <row r="90" spans="1:20" x14ac:dyDescent="0.15">
      <c r="A90" s="165">
        <v>14</v>
      </c>
      <c r="B90" s="164" t="s">
        <v>274</v>
      </c>
      <c r="C90" s="165">
        <v>2020</v>
      </c>
      <c r="D90" s="169">
        <v>253173.07496136014</v>
      </c>
      <c r="E90" s="174">
        <f t="shared" si="6"/>
        <v>63293.268740340034</v>
      </c>
      <c r="F90" s="164" t="s">
        <v>165</v>
      </c>
      <c r="G90" s="209">
        <v>8</v>
      </c>
      <c r="H90" s="167" t="s">
        <v>275</v>
      </c>
      <c r="I90" s="170">
        <f t="shared" si="8"/>
        <v>506346.14992272027</v>
      </c>
      <c r="J90" s="145">
        <v>396759.3</v>
      </c>
      <c r="K90" s="146">
        <v>472500</v>
      </c>
      <c r="L90" s="168">
        <f t="shared" si="7"/>
        <v>75740.700000000012</v>
      </c>
      <c r="T90" s="138"/>
    </row>
    <row r="91" spans="1:20" x14ac:dyDescent="0.15">
      <c r="A91" s="165">
        <v>15</v>
      </c>
      <c r="B91" s="164" t="s">
        <v>234</v>
      </c>
      <c r="C91" s="165">
        <v>2014</v>
      </c>
      <c r="D91" s="169">
        <v>129467.98398479912</v>
      </c>
      <c r="E91" s="174">
        <f t="shared" si="6"/>
        <v>12946.798398479912</v>
      </c>
      <c r="F91" s="164" t="s">
        <v>194</v>
      </c>
      <c r="G91" s="209">
        <v>14</v>
      </c>
      <c r="H91" s="170" t="s">
        <v>222</v>
      </c>
      <c r="I91" s="170">
        <f t="shared" si="8"/>
        <v>181255.17757871878</v>
      </c>
      <c r="J91" s="146">
        <v>36330</v>
      </c>
      <c r="K91" s="146">
        <v>52500</v>
      </c>
      <c r="L91" s="168">
        <f t="shared" si="7"/>
        <v>16170</v>
      </c>
      <c r="T91" s="138"/>
    </row>
    <row r="92" spans="1:20" x14ac:dyDescent="0.15">
      <c r="A92" s="165">
        <v>16</v>
      </c>
      <c r="B92" s="164" t="s">
        <v>237</v>
      </c>
      <c r="C92" s="165">
        <v>2016</v>
      </c>
      <c r="D92" s="169">
        <v>159062.10017271157</v>
      </c>
      <c r="E92" s="174">
        <f t="shared" si="6"/>
        <v>19882.762521588946</v>
      </c>
      <c r="F92" s="164" t="s">
        <v>194</v>
      </c>
      <c r="G92" s="209">
        <v>14</v>
      </c>
      <c r="H92" s="170" t="s">
        <v>222</v>
      </c>
      <c r="I92" s="170">
        <f t="shared" si="8"/>
        <v>278358.67530224525</v>
      </c>
      <c r="J92" s="146">
        <v>36330</v>
      </c>
      <c r="K92" s="146">
        <v>52500</v>
      </c>
      <c r="L92" s="168">
        <f t="shared" si="7"/>
        <v>16170</v>
      </c>
      <c r="T92" s="138"/>
    </row>
    <row r="93" spans="1:20" x14ac:dyDescent="0.15">
      <c r="A93" s="165">
        <v>17</v>
      </c>
      <c r="B93" s="164" t="s">
        <v>235</v>
      </c>
      <c r="C93" s="165">
        <v>2015</v>
      </c>
      <c r="D93" s="169">
        <v>144897.55154481492</v>
      </c>
      <c r="E93" s="174">
        <f t="shared" si="6"/>
        <v>16099.727949423881</v>
      </c>
      <c r="F93" s="164" t="s">
        <v>194</v>
      </c>
      <c r="G93" s="209">
        <v>14</v>
      </c>
      <c r="H93" s="170" t="s">
        <v>222</v>
      </c>
      <c r="I93" s="170">
        <f t="shared" si="8"/>
        <v>225396.19129193434</v>
      </c>
      <c r="J93" s="146">
        <v>36330</v>
      </c>
      <c r="K93" s="146">
        <v>52500</v>
      </c>
      <c r="L93" s="168">
        <f t="shared" si="7"/>
        <v>16170</v>
      </c>
      <c r="T93" s="138"/>
    </row>
    <row r="94" spans="1:20" x14ac:dyDescent="0.15">
      <c r="A94" s="165">
        <v>18</v>
      </c>
      <c r="B94" s="164" t="s">
        <v>239</v>
      </c>
      <c r="C94" s="165">
        <v>2016</v>
      </c>
      <c r="D94" s="169">
        <v>3360</v>
      </c>
      <c r="E94" s="174">
        <f t="shared" si="6"/>
        <v>420</v>
      </c>
      <c r="F94" s="164" t="s">
        <v>165</v>
      </c>
      <c r="G94" s="209">
        <v>25</v>
      </c>
      <c r="H94" s="167" t="s">
        <v>240</v>
      </c>
      <c r="I94" s="170">
        <f t="shared" si="8"/>
        <v>10500</v>
      </c>
      <c r="J94" s="146">
        <v>283500</v>
      </c>
      <c r="K94" s="146">
        <v>787500</v>
      </c>
      <c r="L94" s="168">
        <f t="shared" si="7"/>
        <v>504000</v>
      </c>
      <c r="T94" s="138"/>
    </row>
    <row r="95" spans="1:20" x14ac:dyDescent="0.15">
      <c r="A95" s="165">
        <v>19</v>
      </c>
      <c r="B95" s="164" t="s">
        <v>239</v>
      </c>
      <c r="C95" s="165">
        <v>2016</v>
      </c>
      <c r="D95" s="169">
        <v>3360</v>
      </c>
      <c r="E95" s="174">
        <f t="shared" si="6"/>
        <v>420</v>
      </c>
      <c r="F95" s="164" t="s">
        <v>165</v>
      </c>
      <c r="G95" s="209">
        <v>25</v>
      </c>
      <c r="H95" s="167" t="s">
        <v>240</v>
      </c>
      <c r="I95" s="170">
        <f t="shared" si="8"/>
        <v>10500</v>
      </c>
      <c r="J95" s="146">
        <v>283500</v>
      </c>
      <c r="K95" s="146">
        <v>787500</v>
      </c>
      <c r="L95" s="168">
        <f t="shared" si="7"/>
        <v>504000</v>
      </c>
      <c r="T95" s="138"/>
    </row>
    <row r="96" spans="1:20" x14ac:dyDescent="0.15">
      <c r="A96" s="165">
        <v>20</v>
      </c>
      <c r="B96" s="164" t="s">
        <v>276</v>
      </c>
      <c r="C96" s="165">
        <v>2012</v>
      </c>
      <c r="D96" s="169">
        <v>136611.07531474822</v>
      </c>
      <c r="E96" s="174">
        <f t="shared" si="6"/>
        <v>11384.256276229018</v>
      </c>
      <c r="F96" s="164" t="s">
        <v>194</v>
      </c>
      <c r="G96" s="209">
        <v>14</v>
      </c>
      <c r="H96" s="170" t="s">
        <v>222</v>
      </c>
      <c r="I96" s="170">
        <f t="shared" si="8"/>
        <v>159379.58786720625</v>
      </c>
      <c r="J96" s="146">
        <v>36330</v>
      </c>
      <c r="K96" s="146">
        <v>52500</v>
      </c>
      <c r="L96" s="168">
        <f t="shared" si="7"/>
        <v>16170</v>
      </c>
      <c r="T96" s="138"/>
    </row>
    <row r="97" spans="1:20" x14ac:dyDescent="0.15">
      <c r="A97" s="165">
        <v>21</v>
      </c>
      <c r="B97" s="164" t="s">
        <v>277</v>
      </c>
      <c r="C97" s="165">
        <v>2015</v>
      </c>
      <c r="D97" s="169">
        <v>143186.62503826141</v>
      </c>
      <c r="E97" s="174">
        <f t="shared" si="6"/>
        <v>15909.625004251267</v>
      </c>
      <c r="F97" s="164" t="s">
        <v>194</v>
      </c>
      <c r="G97" s="209">
        <v>14</v>
      </c>
      <c r="H97" s="170" t="s">
        <v>222</v>
      </c>
      <c r="I97" s="170">
        <f t="shared" si="8"/>
        <v>222734.75005951774</v>
      </c>
      <c r="J97" s="146">
        <v>36330</v>
      </c>
      <c r="K97" s="146">
        <v>52500</v>
      </c>
      <c r="L97" s="168">
        <f t="shared" si="7"/>
        <v>16170</v>
      </c>
      <c r="T97" s="138"/>
    </row>
    <row r="98" spans="1:20" x14ac:dyDescent="0.15">
      <c r="A98" s="165">
        <v>22</v>
      </c>
      <c r="B98" s="164" t="s">
        <v>278</v>
      </c>
      <c r="C98" s="165">
        <v>2015</v>
      </c>
      <c r="D98" s="169">
        <v>158047.27695497632</v>
      </c>
      <c r="E98" s="174">
        <f t="shared" si="6"/>
        <v>17560.808550552923</v>
      </c>
      <c r="F98" s="164" t="s">
        <v>194</v>
      </c>
      <c r="G98" s="209">
        <v>14</v>
      </c>
      <c r="H98" s="170" t="s">
        <v>222</v>
      </c>
      <c r="I98" s="170">
        <f t="shared" si="8"/>
        <v>245851.31970774091</v>
      </c>
      <c r="J98" s="146">
        <v>36330</v>
      </c>
      <c r="K98" s="146">
        <v>52500</v>
      </c>
      <c r="L98" s="168">
        <f t="shared" si="7"/>
        <v>16170</v>
      </c>
      <c r="T98" s="138"/>
    </row>
    <row r="99" spans="1:20" x14ac:dyDescent="0.15">
      <c r="A99" s="165">
        <v>23</v>
      </c>
      <c r="B99" s="164" t="s">
        <v>242</v>
      </c>
      <c r="C99" s="165">
        <v>2016</v>
      </c>
      <c r="D99" s="169">
        <v>126370.3610724234</v>
      </c>
      <c r="E99" s="174">
        <f t="shared" si="6"/>
        <v>15796.295134052925</v>
      </c>
      <c r="F99" s="164" t="s">
        <v>165</v>
      </c>
      <c r="G99" s="209">
        <v>6</v>
      </c>
      <c r="H99" s="167" t="s">
        <v>243</v>
      </c>
      <c r="I99" s="170">
        <f t="shared" si="8"/>
        <v>94777.770804317552</v>
      </c>
      <c r="J99" s="146">
        <v>315315</v>
      </c>
      <c r="K99" s="146">
        <v>525525</v>
      </c>
      <c r="L99" s="168">
        <f t="shared" si="7"/>
        <v>210210</v>
      </c>
      <c r="T99" s="138"/>
    </row>
    <row r="100" spans="1:20" x14ac:dyDescent="0.15">
      <c r="A100" s="165">
        <v>24</v>
      </c>
      <c r="B100" s="164" t="s">
        <v>242</v>
      </c>
      <c r="C100" s="165">
        <v>2016</v>
      </c>
      <c r="D100" s="169">
        <v>123566.16330083566</v>
      </c>
      <c r="E100" s="174">
        <f t="shared" si="6"/>
        <v>15445.770412604457</v>
      </c>
      <c r="F100" s="164" t="s">
        <v>165</v>
      </c>
      <c r="G100" s="209">
        <v>6</v>
      </c>
      <c r="H100" s="167" t="s">
        <v>243</v>
      </c>
      <c r="I100" s="170">
        <f t="shared" si="8"/>
        <v>92674.622475626747</v>
      </c>
      <c r="J100" s="146">
        <v>315315</v>
      </c>
      <c r="K100" s="146">
        <v>525525</v>
      </c>
      <c r="L100" s="168">
        <f t="shared" si="7"/>
        <v>210210</v>
      </c>
      <c r="T100" s="138"/>
    </row>
    <row r="101" spans="1:20" x14ac:dyDescent="0.15">
      <c r="A101" s="165">
        <v>25</v>
      </c>
      <c r="B101" s="164" t="s">
        <v>242</v>
      </c>
      <c r="C101" s="165">
        <v>2016</v>
      </c>
      <c r="D101" s="169">
        <v>113098.8864902507</v>
      </c>
      <c r="E101" s="174">
        <f t="shared" si="6"/>
        <v>14137.360811281338</v>
      </c>
      <c r="F101" s="164" t="s">
        <v>165</v>
      </c>
      <c r="G101" s="209">
        <v>6</v>
      </c>
      <c r="H101" s="167" t="s">
        <v>243</v>
      </c>
      <c r="I101" s="170">
        <f t="shared" si="8"/>
        <v>84824.164867688029</v>
      </c>
      <c r="J101" s="146">
        <v>315315</v>
      </c>
      <c r="K101" s="146">
        <v>525525</v>
      </c>
      <c r="L101" s="168">
        <f t="shared" si="7"/>
        <v>210210</v>
      </c>
      <c r="T101" s="138"/>
    </row>
    <row r="102" spans="1:20" x14ac:dyDescent="0.15">
      <c r="A102" s="165">
        <v>26</v>
      </c>
      <c r="B102" s="164" t="s">
        <v>242</v>
      </c>
      <c r="C102" s="165">
        <v>2016</v>
      </c>
      <c r="D102" s="169">
        <v>120683.06928969359</v>
      </c>
      <c r="E102" s="174">
        <f t="shared" si="6"/>
        <v>15085.383661211699</v>
      </c>
      <c r="F102" s="164" t="s">
        <v>165</v>
      </c>
      <c r="G102" s="209">
        <v>6</v>
      </c>
      <c r="H102" s="167" t="s">
        <v>243</v>
      </c>
      <c r="I102" s="170">
        <f t="shared" si="8"/>
        <v>90512.301967270192</v>
      </c>
      <c r="J102" s="146">
        <v>315315</v>
      </c>
      <c r="K102" s="146">
        <v>525525</v>
      </c>
      <c r="L102" s="168">
        <f t="shared" si="7"/>
        <v>210210</v>
      </c>
      <c r="T102" s="138"/>
    </row>
    <row r="103" spans="1:20" x14ac:dyDescent="0.15">
      <c r="A103" s="165">
        <v>27</v>
      </c>
      <c r="B103" s="164" t="s">
        <v>255</v>
      </c>
      <c r="C103" s="165">
        <v>2017</v>
      </c>
      <c r="D103" s="169">
        <v>151218.0260471665</v>
      </c>
      <c r="E103" s="174">
        <f t="shared" si="6"/>
        <v>21602.575149595214</v>
      </c>
      <c r="F103" s="164" t="s">
        <v>165</v>
      </c>
      <c r="G103" s="209">
        <v>6</v>
      </c>
      <c r="H103" s="167" t="s">
        <v>243</v>
      </c>
      <c r="I103" s="170">
        <f t="shared" si="8"/>
        <v>129615.45089757128</v>
      </c>
      <c r="J103" s="146">
        <v>145950</v>
      </c>
      <c r="K103" s="146">
        <v>262500</v>
      </c>
      <c r="L103" s="168">
        <f t="shared" si="7"/>
        <v>116550</v>
      </c>
      <c r="T103" s="138"/>
    </row>
    <row r="104" spans="1:20" x14ac:dyDescent="0.15">
      <c r="A104" s="165">
        <v>28</v>
      </c>
      <c r="B104" s="164" t="s">
        <v>255</v>
      </c>
      <c r="C104" s="165">
        <v>2016</v>
      </c>
      <c r="D104" s="169">
        <v>156485.27697841727</v>
      </c>
      <c r="E104" s="174">
        <f t="shared" si="6"/>
        <v>19560.659622302159</v>
      </c>
      <c r="F104" s="164" t="s">
        <v>165</v>
      </c>
      <c r="G104" s="209">
        <v>6</v>
      </c>
      <c r="H104" s="167" t="s">
        <v>243</v>
      </c>
      <c r="I104" s="170">
        <f t="shared" si="8"/>
        <v>117363.95773381295</v>
      </c>
      <c r="J104" s="146">
        <v>145950</v>
      </c>
      <c r="K104" s="146">
        <v>262500</v>
      </c>
      <c r="L104" s="168">
        <f t="shared" si="7"/>
        <v>116550</v>
      </c>
      <c r="T104" s="138"/>
    </row>
    <row r="105" spans="1:20" x14ac:dyDescent="0.15">
      <c r="S105" s="139"/>
      <c r="T105" s="138"/>
    </row>
    <row r="106" spans="1:20" x14ac:dyDescent="0.15">
      <c r="D106" s="138" t="s">
        <v>279</v>
      </c>
      <c r="E106" s="176">
        <f>(SUM(E96:E98,E91:E93,E89,E88,E86:E87,E77:E84,E70:E71,E65,E59:E62,E49:E50,E42:E46,E41,E21:E39,E19,E17,E6:E15))/64</f>
        <v>14208.331999914579</v>
      </c>
      <c r="S106" s="139"/>
    </row>
    <row r="107" spans="1:20" x14ac:dyDescent="0.15">
      <c r="D107" s="138" t="s">
        <v>280</v>
      </c>
      <c r="E107" s="176">
        <f>(SUM(E99:E104,E94:E95,E90,E85,E67:E68,E63:E64,E51:E58,E47:E48,E16))/25</f>
        <v>14894.950938482209</v>
      </c>
      <c r="S107" s="139"/>
      <c r="T107" s="138"/>
    </row>
    <row r="108" spans="1:20" x14ac:dyDescent="0.15">
      <c r="S108" s="139"/>
      <c r="T108" s="138"/>
    </row>
    <row r="109" spans="1:20" ht="68" x14ac:dyDescent="0.2">
      <c r="A109" s="275" t="s">
        <v>167</v>
      </c>
      <c r="B109" s="275"/>
      <c r="C109"/>
      <c r="D109"/>
      <c r="E109"/>
      <c r="F109"/>
      <c r="G109"/>
      <c r="H109"/>
      <c r="I109" t="s">
        <v>168</v>
      </c>
      <c r="J109" t="s">
        <v>169</v>
      </c>
      <c r="K109" t="s">
        <v>281</v>
      </c>
      <c r="L109" s="189" t="s">
        <v>171</v>
      </c>
      <c r="M109" t="s">
        <v>172</v>
      </c>
      <c r="N109" s="26" t="s">
        <v>173</v>
      </c>
      <c r="O109" s="26" t="s">
        <v>174</v>
      </c>
      <c r="P109" s="26" t="s">
        <v>175</v>
      </c>
      <c r="Q109" s="26" t="s">
        <v>176</v>
      </c>
      <c r="R109" s="189" t="s">
        <v>23</v>
      </c>
      <c r="S109"/>
      <c r="T109"/>
    </row>
    <row r="110" spans="1:20" ht="16" x14ac:dyDescent="0.2">
      <c r="A110" s="183" t="s">
        <v>168</v>
      </c>
      <c r="B110" s="184" t="s">
        <v>177</v>
      </c>
      <c r="C110"/>
      <c r="D110"/>
      <c r="E110" t="s">
        <v>178</v>
      </c>
      <c r="F110" t="s">
        <v>179</v>
      </c>
      <c r="H110"/>
      <c r="I110" s="195" t="s">
        <v>282</v>
      </c>
      <c r="J110">
        <v>51</v>
      </c>
      <c r="K110" s="41">
        <f>SUM(I5:I15,I17:I32,I33:I46,I49:I50,I59:I62,I65:I66,I70:I71)</f>
        <v>10706068.251179451</v>
      </c>
      <c r="L110" s="190">
        <f>K110*0.008887</f>
        <v>95144.828548231788</v>
      </c>
      <c r="M110" s="28">
        <f>G111</f>
        <v>211995.29210315252</v>
      </c>
      <c r="N110" s="43">
        <f>M110*B113</f>
        <v>71.038562407305889</v>
      </c>
      <c r="O110" s="43">
        <f>L110-N110</f>
        <v>95073.789985824478</v>
      </c>
      <c r="P110" s="28">
        <f>SUM(O110:O119)</f>
        <v>773188.38163638604</v>
      </c>
      <c r="Q110" s="43">
        <f>SUM(O110:O159)</f>
        <v>4090604.888766597</v>
      </c>
      <c r="R110" s="191">
        <f>X2/P110</f>
        <v>13.657436209337707</v>
      </c>
      <c r="S110"/>
      <c r="T110"/>
    </row>
    <row r="111" spans="1:20" ht="16" x14ac:dyDescent="0.2">
      <c r="A111" s="185">
        <v>2024</v>
      </c>
      <c r="B111" s="187">
        <v>3.6792299999999998E-4</v>
      </c>
      <c r="C111"/>
      <c r="D111"/>
      <c r="E111">
        <v>1</v>
      </c>
      <c r="F111" t="s">
        <v>194</v>
      </c>
      <c r="G111" s="41">
        <f>(SUM(E5:E15,E17:E46,E49:E50,E59:E62,E65:E66,E70:E71))/3</f>
        <v>211995.29210315252</v>
      </c>
      <c r="H111"/>
      <c r="I111" s="195" t="s">
        <v>283</v>
      </c>
      <c r="J111">
        <v>16</v>
      </c>
      <c r="K111" s="41">
        <f>SUM(I4,I16,I47:I48,I51:I58,I63:I64,I67:I68)</f>
        <v>1454236.5777649768</v>
      </c>
      <c r="L111" s="190">
        <f>K111*0.01018</f>
        <v>14804.128361647463</v>
      </c>
      <c r="M111" s="28">
        <f>G112</f>
        <v>66041.986751152072</v>
      </c>
      <c r="N111" s="43">
        <f>M111*B113</f>
        <v>22.130339550377304</v>
      </c>
      <c r="O111" s="43">
        <f t="shared" ref="O111:O159" si="9">L111-N111</f>
        <v>14781.998022097087</v>
      </c>
      <c r="P111" s="43"/>
      <c r="Q111" s="43"/>
      <c r="R111" s="191"/>
      <c r="S111"/>
      <c r="T111"/>
    </row>
    <row r="112" spans="1:20" ht="16" x14ac:dyDescent="0.2">
      <c r="A112" s="185">
        <v>2025</v>
      </c>
      <c r="B112" s="187">
        <f>B111-(C112/2)</f>
        <v>3.5150899999999996E-4</v>
      </c>
      <c r="C112">
        <f>B111-B113</f>
        <v>3.2827999999999991E-5</v>
      </c>
      <c r="D112"/>
      <c r="E112">
        <v>1</v>
      </c>
      <c r="F112" t="s">
        <v>165</v>
      </c>
      <c r="G112" s="41">
        <f>(SUM(E4,E16,E47:E48,E51:E58,E63:E64,E67:E68))/3</f>
        <v>66041.986751152072</v>
      </c>
      <c r="H112"/>
      <c r="I112" s="195" t="s">
        <v>284</v>
      </c>
      <c r="J112">
        <v>69</v>
      </c>
      <c r="K112" s="41">
        <f>SUM(I77:I84,I86:I89,I91:I93,I96:I98,I5:I15,I17:I32,I33:I46,I49:I50,I59:I62,I65:I66,I70:I71)</f>
        <v>15514177.229948109</v>
      </c>
      <c r="L112" s="190">
        <f>K112*0.008887</f>
        <v>137874.49304254886</v>
      </c>
      <c r="M112" s="28">
        <f>SUM(G111,G113)</f>
        <v>323777.74933151098</v>
      </c>
      <c r="N112" s="43">
        <f>M112*B114</f>
        <v>99.258925723814656</v>
      </c>
      <c r="O112" s="43">
        <f t="shared" si="9"/>
        <v>137775.23411682504</v>
      </c>
      <c r="P112"/>
      <c r="Q112"/>
      <c r="R112"/>
      <c r="S112"/>
      <c r="T112"/>
    </row>
    <row r="113" spans="1:20" ht="16" x14ac:dyDescent="0.2">
      <c r="A113" s="185">
        <v>2026</v>
      </c>
      <c r="B113" s="187">
        <v>3.3509499999999999E-4</v>
      </c>
      <c r="C113"/>
      <c r="D113"/>
      <c r="E113">
        <v>2</v>
      </c>
      <c r="F113" t="s">
        <v>194</v>
      </c>
      <c r="G113" s="41">
        <f>(SUM(E77:E84,E86:E89,E91:E93,E96:E98))/3</f>
        <v>111782.45722835844</v>
      </c>
      <c r="H113"/>
      <c r="I113" s="195" t="s">
        <v>285</v>
      </c>
      <c r="J113">
        <v>26</v>
      </c>
      <c r="K113" s="41">
        <f>SUM(I85,I90,I94:I95,I99:I104,I4,I16,I47:I48,I51:I58,I63:I64,I67:I68)</f>
        <v>2758442.9938516729</v>
      </c>
      <c r="L113" s="190">
        <f>K113*0.01018</f>
        <v>28080.94967741003</v>
      </c>
      <c r="M113" s="28">
        <f>SUM(G112,G114)</f>
        <v>128257.92448735172</v>
      </c>
      <c r="N113" s="43">
        <f>M113*B114</f>
        <v>39.319390620464972</v>
      </c>
      <c r="O113" s="43">
        <f t="shared" si="9"/>
        <v>28041.630286789565</v>
      </c>
      <c r="P113"/>
      <c r="Q113"/>
      <c r="R113"/>
      <c r="S113"/>
      <c r="T113"/>
    </row>
    <row r="114" spans="1:20" ht="16" x14ac:dyDescent="0.2">
      <c r="A114" s="185">
        <v>2027</v>
      </c>
      <c r="B114" s="187">
        <f>B113-(C114/2)</f>
        <v>3.0656499999999996E-4</v>
      </c>
      <c r="C114">
        <f>B113-B115</f>
        <v>5.7059999999999999E-5</v>
      </c>
      <c r="D114"/>
      <c r="E114">
        <v>2</v>
      </c>
      <c r="F114" t="s">
        <v>165</v>
      </c>
      <c r="G114" s="41">
        <f>(SUM(E85,E90,E94:E95,E99:E104))/3</f>
        <v>62215.937736199645</v>
      </c>
      <c r="H114"/>
      <c r="I114" s="195" t="s">
        <v>286</v>
      </c>
      <c r="J114">
        <v>69</v>
      </c>
      <c r="K114" s="41">
        <v>15514177</v>
      </c>
      <c r="L114" s="190">
        <f>K114*0.008887</f>
        <v>137874.490999</v>
      </c>
      <c r="M114" s="28">
        <v>323777.74933151098</v>
      </c>
      <c r="N114" s="43">
        <f>M114*B115</f>
        <v>90.021546535386648</v>
      </c>
      <c r="O114" s="43">
        <f t="shared" si="9"/>
        <v>137784.4694524646</v>
      </c>
      <c r="P114"/>
      <c r="Q114"/>
      <c r="R114"/>
      <c r="S114"/>
      <c r="T114"/>
    </row>
    <row r="115" spans="1:20" ht="16" x14ac:dyDescent="0.2">
      <c r="A115" s="185">
        <v>2028</v>
      </c>
      <c r="B115" s="187">
        <v>2.7803499999999999E-4</v>
      </c>
      <c r="C115"/>
      <c r="D115"/>
      <c r="E115">
        <v>3</v>
      </c>
      <c r="F115" t="s">
        <v>194</v>
      </c>
      <c r="G115" s="41">
        <f>G111+G113</f>
        <v>323777.74933151098</v>
      </c>
      <c r="H115"/>
      <c r="I115" s="195" t="s">
        <v>287</v>
      </c>
      <c r="J115">
        <v>26</v>
      </c>
      <c r="K115" s="41">
        <v>2758443</v>
      </c>
      <c r="L115" s="190">
        <f>K115*0.01018</f>
        <v>28080.94974</v>
      </c>
      <c r="M115" s="28">
        <v>128257.92448735172</v>
      </c>
      <c r="N115" s="43">
        <f>M115*B115</f>
        <v>35.660192034840833</v>
      </c>
      <c r="O115" s="43">
        <f t="shared" si="9"/>
        <v>28045.28954796516</v>
      </c>
      <c r="P115"/>
      <c r="Q115"/>
      <c r="R115"/>
      <c r="S115"/>
      <c r="T115"/>
    </row>
    <row r="116" spans="1:20" ht="16" x14ac:dyDescent="0.2">
      <c r="A116" s="185">
        <v>2029</v>
      </c>
      <c r="B116" s="187">
        <f>B115-(C116/2)</f>
        <v>2.5852899999999996E-4</v>
      </c>
      <c r="C116">
        <f>B115-B117</f>
        <v>3.9011999999999999E-5</v>
      </c>
      <c r="D116"/>
      <c r="E116">
        <v>3</v>
      </c>
      <c r="F116" t="s">
        <v>165</v>
      </c>
      <c r="G116" s="211">
        <f>G112+G114</f>
        <v>128257.92448735172</v>
      </c>
      <c r="H116"/>
      <c r="I116" s="195" t="s">
        <v>288</v>
      </c>
      <c r="J116">
        <v>69</v>
      </c>
      <c r="K116" s="41">
        <v>15514177</v>
      </c>
      <c r="L116" s="190">
        <f t="shared" ref="L116" si="10">K116*0.008887</f>
        <v>137874.490999</v>
      </c>
      <c r="M116" s="28">
        <v>323777.74933151098</v>
      </c>
      <c r="N116" s="43">
        <f>M116*B116</f>
        <v>83.70593775692619</v>
      </c>
      <c r="O116" s="43">
        <f t="shared" si="9"/>
        <v>137790.78506124308</v>
      </c>
      <c r="P116"/>
      <c r="Q116"/>
      <c r="R116"/>
      <c r="S116"/>
      <c r="T116"/>
    </row>
    <row r="117" spans="1:20" ht="16" x14ac:dyDescent="0.2">
      <c r="A117" s="185">
        <v>2030</v>
      </c>
      <c r="B117" s="187">
        <v>2.3902299999999999E-4</v>
      </c>
      <c r="C117"/>
      <c r="D117"/>
      <c r="E117">
        <v>4</v>
      </c>
      <c r="F117" t="s">
        <v>194</v>
      </c>
      <c r="G117" s="41">
        <v>323777.74933151098</v>
      </c>
      <c r="H117"/>
      <c r="I117" s="195" t="s">
        <v>289</v>
      </c>
      <c r="J117">
        <v>26</v>
      </c>
      <c r="K117" s="41">
        <v>2758443</v>
      </c>
      <c r="L117" s="190">
        <f t="shared" ref="L117" si="11">K117*0.01018</f>
        <v>28080.94974</v>
      </c>
      <c r="M117" s="28">
        <v>128257.92448735172</v>
      </c>
      <c r="N117" s="43">
        <f>M117*B116</f>
        <v>33.158392959790547</v>
      </c>
      <c r="O117" s="43">
        <f t="shared" si="9"/>
        <v>28047.791347040209</v>
      </c>
      <c r="P117"/>
      <c r="Q117"/>
      <c r="R117"/>
      <c r="S117"/>
      <c r="T117"/>
    </row>
    <row r="118" spans="1:20" ht="16" x14ac:dyDescent="0.2">
      <c r="A118" s="185">
        <v>2031</v>
      </c>
      <c r="B118" s="187">
        <f>B117-(C118/2)</f>
        <v>2.403975E-4</v>
      </c>
      <c r="C118">
        <f>B117-B119</f>
        <v>-2.7489999999999969E-6</v>
      </c>
      <c r="D118"/>
      <c r="E118">
        <v>4</v>
      </c>
      <c r="F118" t="s">
        <v>165</v>
      </c>
      <c r="G118" s="41">
        <v>128257.92448735172</v>
      </c>
      <c r="H118"/>
      <c r="I118" s="195" t="s">
        <v>290</v>
      </c>
      <c r="J118">
        <v>69</v>
      </c>
      <c r="K118" s="41">
        <v>15514177</v>
      </c>
      <c r="L118" s="190">
        <f t="shared" ref="L118" si="12">K118*0.008887</f>
        <v>137874.490999</v>
      </c>
      <c r="M118" s="28">
        <v>323777.74933151098</v>
      </c>
      <c r="N118" s="43">
        <f>M118*B117</f>
        <v>77.390328978465746</v>
      </c>
      <c r="O118" s="43">
        <f t="shared" si="9"/>
        <v>137797.10067002152</v>
      </c>
      <c r="P118"/>
      <c r="Q118"/>
      <c r="R118"/>
      <c r="S118"/>
      <c r="T118"/>
    </row>
    <row r="119" spans="1:20" ht="16" x14ac:dyDescent="0.2">
      <c r="A119" s="185">
        <v>2032</v>
      </c>
      <c r="B119" s="187">
        <v>2.4177199999999999E-4</v>
      </c>
      <c r="C119"/>
      <c r="D119"/>
      <c r="E119">
        <v>5</v>
      </c>
      <c r="F119" t="s">
        <v>194</v>
      </c>
      <c r="G119" s="41">
        <v>323777.74933151098</v>
      </c>
      <c r="H119"/>
      <c r="I119" s="195" t="s">
        <v>291</v>
      </c>
      <c r="J119">
        <v>26</v>
      </c>
      <c r="K119" s="41">
        <v>2758443</v>
      </c>
      <c r="L119" s="190">
        <f t="shared" ref="L119" si="13">K119*0.01018</f>
        <v>28080.94974</v>
      </c>
      <c r="M119" s="28">
        <v>128257.92448735172</v>
      </c>
      <c r="N119" s="43">
        <f>M119*B117</f>
        <v>30.656593884740268</v>
      </c>
      <c r="O119" s="43">
        <f t="shared" si="9"/>
        <v>28050.293146115258</v>
      </c>
      <c r="P119"/>
      <c r="Q119"/>
      <c r="R119"/>
      <c r="S119"/>
      <c r="T119"/>
    </row>
    <row r="120" spans="1:20" ht="16" x14ac:dyDescent="0.2">
      <c r="A120" s="185">
        <v>2033</v>
      </c>
      <c r="B120" s="187">
        <f>B119-(C120/2)</f>
        <v>2.2170999999999999E-4</v>
      </c>
      <c r="C120">
        <f>B119-B121</f>
        <v>4.0123999999999997E-5</v>
      </c>
      <c r="D120"/>
      <c r="E120">
        <v>5</v>
      </c>
      <c r="F120" t="s">
        <v>165</v>
      </c>
      <c r="G120" s="41">
        <v>128257.92448735172</v>
      </c>
      <c r="H120"/>
      <c r="I120" s="195" t="s">
        <v>292</v>
      </c>
      <c r="J120">
        <v>69</v>
      </c>
      <c r="K120" s="41">
        <v>15514177</v>
      </c>
      <c r="L120" s="190">
        <f t="shared" ref="L120" si="14">K120*0.008887</f>
        <v>137874.490999</v>
      </c>
      <c r="M120" s="28">
        <v>323777.74933151098</v>
      </c>
      <c r="N120" s="43">
        <f>M120*B118</f>
        <v>77.835361494921912</v>
      </c>
      <c r="O120" s="43">
        <f t="shared" si="9"/>
        <v>137796.65563750509</v>
      </c>
      <c r="P120"/>
      <c r="Q120"/>
      <c r="R120"/>
      <c r="S120"/>
      <c r="T120"/>
    </row>
    <row r="121" spans="1:20" ht="16" x14ac:dyDescent="0.2">
      <c r="A121" s="185">
        <v>2034</v>
      </c>
      <c r="B121" s="187">
        <v>2.0164799999999999E-4</v>
      </c>
      <c r="C121"/>
      <c r="D121"/>
      <c r="E121"/>
      <c r="F121" t="s">
        <v>180</v>
      </c>
      <c r="G121" s="41">
        <f>SUM(G111:G120)</f>
        <v>1808142.6952754504</v>
      </c>
      <c r="H121"/>
      <c r="I121" s="195" t="s">
        <v>293</v>
      </c>
      <c r="J121">
        <v>26</v>
      </c>
      <c r="K121" s="41">
        <v>2758443</v>
      </c>
      <c r="L121" s="190">
        <f t="shared" ref="L121" si="15">K121*0.01018</f>
        <v>28080.94974</v>
      </c>
      <c r="M121" s="28">
        <v>128257.92448735172</v>
      </c>
      <c r="N121" s="43">
        <f>M121*B118</f>
        <v>30.832884401948135</v>
      </c>
      <c r="O121" s="43">
        <f t="shared" si="9"/>
        <v>28050.116855598051</v>
      </c>
      <c r="P121"/>
      <c r="Q121"/>
      <c r="R121"/>
      <c r="S121"/>
      <c r="T121"/>
    </row>
    <row r="122" spans="1:20" ht="16" x14ac:dyDescent="0.2">
      <c r="A122" s="185">
        <v>2035</v>
      </c>
      <c r="B122" s="187">
        <f>B121-(C122/2)</f>
        <v>1.9913E-4</v>
      </c>
      <c r="C122">
        <f>B121-B123</f>
        <v>5.0359999999999836E-6</v>
      </c>
      <c r="D122"/>
      <c r="E122"/>
      <c r="H122"/>
      <c r="I122" s="195" t="s">
        <v>294</v>
      </c>
      <c r="J122">
        <v>69</v>
      </c>
      <c r="K122" s="41">
        <v>15514177</v>
      </c>
      <c r="L122" s="190">
        <f t="shared" ref="L122" si="16">K122*0.008887</f>
        <v>137874.490999</v>
      </c>
      <c r="M122" s="28">
        <v>323777.74933151098</v>
      </c>
      <c r="N122" s="43">
        <f>M122*B119</f>
        <v>78.280394011378064</v>
      </c>
      <c r="O122" s="43">
        <f t="shared" si="9"/>
        <v>137796.21060498862</v>
      </c>
      <c r="P122"/>
      <c r="Q122"/>
      <c r="R122"/>
      <c r="S122"/>
      <c r="T122"/>
    </row>
    <row r="123" spans="1:20" ht="16" x14ac:dyDescent="0.2">
      <c r="A123" s="185">
        <v>2036</v>
      </c>
      <c r="B123" s="187">
        <v>1.9661200000000001E-4</v>
      </c>
      <c r="C123"/>
      <c r="D123"/>
      <c r="E123"/>
      <c r="F123"/>
      <c r="G123"/>
      <c r="H123"/>
      <c r="I123" s="195" t="s">
        <v>295</v>
      </c>
      <c r="J123">
        <v>26</v>
      </c>
      <c r="K123" s="41">
        <v>2758443</v>
      </c>
      <c r="L123" s="190">
        <f t="shared" ref="L123" si="17">K123*0.01018</f>
        <v>28080.94974</v>
      </c>
      <c r="M123" s="28">
        <v>128257.92448735172</v>
      </c>
      <c r="N123" s="43">
        <f>M123*B119</f>
        <v>31.009174919155999</v>
      </c>
      <c r="O123" s="43">
        <f t="shared" si="9"/>
        <v>28049.940565080844</v>
      </c>
      <c r="P123"/>
      <c r="Q123"/>
      <c r="R123"/>
      <c r="S123"/>
      <c r="T123"/>
    </row>
    <row r="124" spans="1:20" ht="16" x14ac:dyDescent="0.2">
      <c r="A124" s="185">
        <v>2037</v>
      </c>
      <c r="B124" s="187">
        <f>B123-(C124/2)</f>
        <v>1.9206950000000001E-4</v>
      </c>
      <c r="C124">
        <f>B123-B125</f>
        <v>9.0850000000000121E-6</v>
      </c>
      <c r="D124"/>
      <c r="E124"/>
      <c r="F124"/>
      <c r="G124"/>
      <c r="H124"/>
      <c r="I124" s="195" t="s">
        <v>296</v>
      </c>
      <c r="J124">
        <v>69</v>
      </c>
      <c r="K124" s="41">
        <v>15514177</v>
      </c>
      <c r="L124" s="190">
        <f t="shared" ref="L124" si="18">K124*0.008887</f>
        <v>137874.490999</v>
      </c>
      <c r="M124" s="28">
        <v>323777.74933151098</v>
      </c>
      <c r="N124" s="43">
        <f>M124*B120</f>
        <v>71.784764804289296</v>
      </c>
      <c r="O124" s="43">
        <f t="shared" si="9"/>
        <v>137802.70623419571</v>
      </c>
      <c r="P124"/>
      <c r="Q124"/>
      <c r="R124"/>
      <c r="S124"/>
      <c r="T124"/>
    </row>
    <row r="125" spans="1:20" ht="16" x14ac:dyDescent="0.2">
      <c r="A125" s="185">
        <v>2038</v>
      </c>
      <c r="B125" s="187">
        <v>1.87527E-4</v>
      </c>
      <c r="C125"/>
      <c r="D125"/>
      <c r="E125"/>
      <c r="F125"/>
      <c r="G125"/>
      <c r="H125"/>
      <c r="I125" s="195" t="s">
        <v>297</v>
      </c>
      <c r="J125">
        <v>26</v>
      </c>
      <c r="K125" s="41">
        <v>2758443</v>
      </c>
      <c r="L125" s="190">
        <f t="shared" ref="L125" si="19">K125*0.01018</f>
        <v>28080.94974</v>
      </c>
      <c r="M125" s="28">
        <v>128257.92448735172</v>
      </c>
      <c r="N125" s="43">
        <f>M125*B120</f>
        <v>28.436064438090749</v>
      </c>
      <c r="O125" s="43">
        <f t="shared" si="9"/>
        <v>28052.51367556191</v>
      </c>
      <c r="P125"/>
      <c r="Q125"/>
      <c r="R125"/>
      <c r="S125"/>
      <c r="T125"/>
    </row>
    <row r="126" spans="1:20" ht="16" x14ac:dyDescent="0.2">
      <c r="A126" s="185">
        <v>2039</v>
      </c>
      <c r="B126" s="187">
        <f>B125-(C126/2)</f>
        <v>1.88851E-4</v>
      </c>
      <c r="C126">
        <f>B125-B127</f>
        <v>-2.6480000000000058E-6</v>
      </c>
      <c r="D126"/>
      <c r="E126"/>
      <c r="F126"/>
      <c r="G126"/>
      <c r="H126"/>
      <c r="I126" s="195" t="s">
        <v>298</v>
      </c>
      <c r="J126">
        <v>69</v>
      </c>
      <c r="K126" s="41">
        <v>15514177</v>
      </c>
      <c r="L126" s="190">
        <f t="shared" ref="L126" si="20">K126*0.008887</f>
        <v>137874.490999</v>
      </c>
      <c r="M126" s="28">
        <v>323777.74933151098</v>
      </c>
      <c r="N126" s="43">
        <f>M126*B121</f>
        <v>65.289135597200527</v>
      </c>
      <c r="O126" s="43">
        <f t="shared" si="9"/>
        <v>137809.20186340279</v>
      </c>
      <c r="P126"/>
      <c r="Q126"/>
      <c r="R126"/>
      <c r="S126"/>
      <c r="T126"/>
    </row>
    <row r="127" spans="1:20" ht="16" x14ac:dyDescent="0.2">
      <c r="A127" s="185">
        <v>2040</v>
      </c>
      <c r="B127" s="187">
        <v>1.90175E-4</v>
      </c>
      <c r="C127"/>
      <c r="D127"/>
      <c r="E127"/>
      <c r="F127"/>
      <c r="G127"/>
      <c r="H127"/>
      <c r="I127" s="195" t="s">
        <v>299</v>
      </c>
      <c r="J127">
        <v>26</v>
      </c>
      <c r="K127" s="41">
        <v>2758443</v>
      </c>
      <c r="L127" s="190">
        <f t="shared" ref="L127" si="21">K127*0.01018</f>
        <v>28080.94974</v>
      </c>
      <c r="M127" s="28">
        <v>128257.92448735172</v>
      </c>
      <c r="N127" s="43">
        <f>M127*B121</f>
        <v>25.862953957025496</v>
      </c>
      <c r="O127" s="43">
        <f t="shared" si="9"/>
        <v>28055.086786042975</v>
      </c>
      <c r="P127"/>
      <c r="Q127"/>
      <c r="R127"/>
      <c r="S127"/>
      <c r="T127"/>
    </row>
    <row r="128" spans="1:20" ht="16" x14ac:dyDescent="0.2">
      <c r="A128" s="185">
        <v>2041</v>
      </c>
      <c r="B128" s="187">
        <f>B127-(C128/2)</f>
        <v>1.8275099999999999E-4</v>
      </c>
      <c r="C128">
        <f>B127-B129</f>
        <v>1.4848000000000004E-5</v>
      </c>
      <c r="D128"/>
      <c r="E128"/>
      <c r="F128"/>
      <c r="G128"/>
      <c r="H128"/>
      <c r="I128" s="195" t="s">
        <v>300</v>
      </c>
      <c r="J128">
        <v>69</v>
      </c>
      <c r="K128" s="41">
        <v>15514177</v>
      </c>
      <c r="L128" s="190">
        <f t="shared" ref="L128" si="22">K128*0.008887</f>
        <v>137874.490999</v>
      </c>
      <c r="M128" s="28">
        <v>323777.74933151098</v>
      </c>
      <c r="N128" s="43">
        <f>M128*B122</f>
        <v>64.473863224383777</v>
      </c>
      <c r="O128" s="43">
        <f t="shared" si="9"/>
        <v>137810.01713577562</v>
      </c>
      <c r="P128"/>
      <c r="Q128"/>
      <c r="R128"/>
      <c r="S128"/>
      <c r="T128"/>
    </row>
    <row r="129" spans="1:20" ht="16" x14ac:dyDescent="0.2">
      <c r="A129" s="185">
        <v>2042</v>
      </c>
      <c r="B129" s="187">
        <v>1.75327E-4</v>
      </c>
      <c r="C129"/>
      <c r="D129"/>
      <c r="E129"/>
      <c r="F129"/>
      <c r="G129"/>
      <c r="H129"/>
      <c r="I129" s="195" t="s">
        <v>301</v>
      </c>
      <c r="J129">
        <v>26</v>
      </c>
      <c r="K129" s="41">
        <v>2758443</v>
      </c>
      <c r="L129" s="190">
        <f t="shared" ref="L129" si="23">K129*0.01018</f>
        <v>28080.94974</v>
      </c>
      <c r="M129" s="28">
        <v>128257.92448735172</v>
      </c>
      <c r="N129" s="43">
        <f>M129*B122</f>
        <v>25.540000503166347</v>
      </c>
      <c r="O129" s="43">
        <f t="shared" si="9"/>
        <v>28055.409739496834</v>
      </c>
      <c r="P129"/>
      <c r="Q129"/>
      <c r="R129"/>
      <c r="S129"/>
      <c r="T129"/>
    </row>
    <row r="130" spans="1:20" ht="16" x14ac:dyDescent="0.2">
      <c r="A130" s="185">
        <v>2043</v>
      </c>
      <c r="B130" s="187">
        <f>B129-(C130/2)</f>
        <v>1.7451000000000001E-4</v>
      </c>
      <c r="C130">
        <f>B129-B131</f>
        <v>1.634000000000005E-6</v>
      </c>
      <c r="D130"/>
      <c r="E130"/>
      <c r="F130"/>
      <c r="G130"/>
      <c r="H130"/>
      <c r="I130" s="195" t="s">
        <v>302</v>
      </c>
      <c r="J130">
        <v>69</v>
      </c>
      <c r="K130" s="41">
        <v>15514177</v>
      </c>
      <c r="L130" s="190">
        <f t="shared" ref="L130" si="24">K130*0.008887</f>
        <v>137874.490999</v>
      </c>
      <c r="M130" s="28">
        <v>323777.74933151098</v>
      </c>
      <c r="N130" s="43">
        <f>M130*B123</f>
        <v>63.658590851567041</v>
      </c>
      <c r="O130" s="43">
        <f t="shared" si="9"/>
        <v>137810.83240814845</v>
      </c>
      <c r="P130"/>
      <c r="Q130"/>
      <c r="R130"/>
      <c r="S130"/>
      <c r="T130"/>
    </row>
    <row r="131" spans="1:20" ht="16" x14ac:dyDescent="0.2">
      <c r="A131" s="185">
        <v>2044</v>
      </c>
      <c r="B131" s="187">
        <v>1.7369299999999999E-4</v>
      </c>
      <c r="C131"/>
      <c r="D131"/>
      <c r="E131"/>
      <c r="F131"/>
      <c r="G131"/>
      <c r="H131"/>
      <c r="I131" s="195" t="s">
        <v>303</v>
      </c>
      <c r="J131">
        <v>26</v>
      </c>
      <c r="K131" s="41">
        <v>2758443</v>
      </c>
      <c r="L131" s="190">
        <f t="shared" ref="L131" si="25">K131*0.01018</f>
        <v>28080.94974</v>
      </c>
      <c r="M131" s="28">
        <v>128257.92448735172</v>
      </c>
      <c r="N131" s="43">
        <f>M131*B123</f>
        <v>25.217047049307197</v>
      </c>
      <c r="O131" s="43">
        <f t="shared" si="9"/>
        <v>28055.732692950693</v>
      </c>
      <c r="P131"/>
      <c r="Q131"/>
      <c r="R131"/>
      <c r="S131"/>
      <c r="T131"/>
    </row>
    <row r="132" spans="1:20" ht="16" x14ac:dyDescent="0.2">
      <c r="A132" s="185">
        <v>2045</v>
      </c>
      <c r="B132" s="187">
        <f>B131-(C132/2)</f>
        <v>1.7154299999999999E-4</v>
      </c>
      <c r="C132">
        <f>B131-B133</f>
        <v>4.2999999999999961E-6</v>
      </c>
      <c r="D132"/>
      <c r="E132"/>
      <c r="F132"/>
      <c r="G132"/>
      <c r="H132"/>
      <c r="I132" s="195" t="s">
        <v>304</v>
      </c>
      <c r="J132">
        <v>69</v>
      </c>
      <c r="K132" s="41">
        <v>15514177</v>
      </c>
      <c r="L132" s="190">
        <f t="shared" ref="L132" si="26">K132*0.008887</f>
        <v>137874.490999</v>
      </c>
      <c r="M132" s="28">
        <v>323777.74933151098</v>
      </c>
      <c r="N132" s="43">
        <f>M132*B124</f>
        <v>62.187830425228654</v>
      </c>
      <c r="O132" s="43">
        <f t="shared" si="9"/>
        <v>137812.30316857478</v>
      </c>
      <c r="P132"/>
      <c r="Q132"/>
      <c r="R132"/>
      <c r="S132"/>
      <c r="T132"/>
    </row>
    <row r="133" spans="1:20" ht="16" x14ac:dyDescent="0.2">
      <c r="A133" s="185">
        <v>2046</v>
      </c>
      <c r="B133" s="187">
        <v>1.69393E-4</v>
      </c>
      <c r="C133"/>
      <c r="D133"/>
      <c r="E133"/>
      <c r="F133"/>
      <c r="G133"/>
      <c r="H133"/>
      <c r="I133" s="195" t="s">
        <v>305</v>
      </c>
      <c r="J133">
        <v>26</v>
      </c>
      <c r="K133" s="41">
        <v>2758443</v>
      </c>
      <c r="L133" s="190">
        <f t="shared" ref="L133" si="27">K133*0.01018</f>
        <v>28080.94974</v>
      </c>
      <c r="M133" s="28">
        <v>128257.92448735172</v>
      </c>
      <c r="N133" s="43">
        <f>M133*B124</f>
        <v>24.634435427323403</v>
      </c>
      <c r="O133" s="43">
        <f t="shared" si="9"/>
        <v>28056.315304572676</v>
      </c>
      <c r="P133"/>
      <c r="Q133"/>
      <c r="R133"/>
      <c r="S133"/>
      <c r="T133"/>
    </row>
    <row r="134" spans="1:20" ht="16" x14ac:dyDescent="0.2">
      <c r="A134" s="185">
        <v>2047</v>
      </c>
      <c r="B134" s="187">
        <f>B133-(C134/2)</f>
        <v>1.6429500000000001E-4</v>
      </c>
      <c r="C134">
        <f>B133-B135</f>
        <v>1.0195999999999995E-5</v>
      </c>
      <c r="D134"/>
      <c r="E134"/>
      <c r="F134"/>
      <c r="G134"/>
      <c r="H134"/>
      <c r="I134" s="195" t="s">
        <v>306</v>
      </c>
      <c r="J134">
        <v>69</v>
      </c>
      <c r="K134" s="41">
        <v>15514177</v>
      </c>
      <c r="L134" s="190">
        <f t="shared" ref="L134" si="28">K134*0.008887</f>
        <v>137874.490999</v>
      </c>
      <c r="M134" s="28">
        <v>323777.74933151098</v>
      </c>
      <c r="N134" s="43">
        <f>M134*B125</f>
        <v>60.71706999889026</v>
      </c>
      <c r="O134" s="43">
        <f t="shared" si="9"/>
        <v>137813.77392900112</v>
      </c>
      <c r="P134"/>
      <c r="Q134"/>
      <c r="R134"/>
      <c r="S134"/>
      <c r="T134"/>
    </row>
    <row r="135" spans="1:20" ht="16" x14ac:dyDescent="0.2">
      <c r="A135" s="185">
        <v>2048</v>
      </c>
      <c r="B135" s="187">
        <v>1.59197E-4</v>
      </c>
      <c r="C135"/>
      <c r="D135"/>
      <c r="E135"/>
      <c r="F135"/>
      <c r="G135"/>
      <c r="H135"/>
      <c r="I135" s="195" t="s">
        <v>307</v>
      </c>
      <c r="J135">
        <v>26</v>
      </c>
      <c r="K135" s="41">
        <v>2758443</v>
      </c>
      <c r="L135" s="190">
        <f t="shared" ref="L135" si="29">K135*0.01018</f>
        <v>28080.94974</v>
      </c>
      <c r="M135" s="28">
        <v>128257.92448735172</v>
      </c>
      <c r="N135" s="43">
        <f>M135*B125</f>
        <v>24.051823805339605</v>
      </c>
      <c r="O135" s="43">
        <f t="shared" si="9"/>
        <v>28056.897916194659</v>
      </c>
      <c r="P135"/>
      <c r="Q135"/>
      <c r="R135"/>
      <c r="S135"/>
      <c r="T135"/>
    </row>
    <row r="136" spans="1:20" ht="16" x14ac:dyDescent="0.2">
      <c r="A136" s="185">
        <v>2049</v>
      </c>
      <c r="B136" s="187">
        <f>B135-(C136/2)</f>
        <v>1.57448E-4</v>
      </c>
      <c r="C136">
        <f>B135-B137</f>
        <v>3.4979999999999994E-6</v>
      </c>
      <c r="D136"/>
      <c r="E136"/>
      <c r="F136"/>
      <c r="G136"/>
      <c r="H136"/>
      <c r="I136" s="195" t="s">
        <v>308</v>
      </c>
      <c r="J136">
        <v>69</v>
      </c>
      <c r="K136" s="41">
        <v>15514177</v>
      </c>
      <c r="L136" s="190">
        <f t="shared" ref="L136" si="30">K136*0.008887</f>
        <v>137874.490999</v>
      </c>
      <c r="M136" s="28">
        <v>323777.74933151098</v>
      </c>
      <c r="N136" s="43">
        <f>M136*B126</f>
        <v>61.145751739005178</v>
      </c>
      <c r="O136" s="43">
        <f t="shared" si="9"/>
        <v>137813.34524726099</v>
      </c>
      <c r="P136"/>
      <c r="Q136"/>
      <c r="R136"/>
      <c r="S136"/>
      <c r="T136"/>
    </row>
    <row r="137" spans="1:20" ht="16" x14ac:dyDescent="0.2">
      <c r="A137" s="185">
        <v>2050</v>
      </c>
      <c r="B137" s="187">
        <v>1.55699E-4</v>
      </c>
      <c r="C137"/>
      <c r="D137"/>
      <c r="E137"/>
      <c r="F137"/>
      <c r="G137"/>
      <c r="H137"/>
      <c r="I137" s="195" t="s">
        <v>309</v>
      </c>
      <c r="J137">
        <v>26</v>
      </c>
      <c r="K137" s="41">
        <v>2758443</v>
      </c>
      <c r="L137" s="190">
        <f t="shared" ref="L137" si="31">K137*0.01018</f>
        <v>28080.94974</v>
      </c>
      <c r="M137" s="28">
        <v>128257.92448735172</v>
      </c>
      <c r="N137" s="43">
        <f>M137*B126</f>
        <v>24.221637297360857</v>
      </c>
      <c r="O137" s="43">
        <f t="shared" si="9"/>
        <v>28056.72810270264</v>
      </c>
      <c r="P137"/>
      <c r="Q137"/>
      <c r="R137"/>
      <c r="S137"/>
      <c r="T137"/>
    </row>
    <row r="138" spans="1:20" ht="16" x14ac:dyDescent="0.2">
      <c r="A138" s="186" t="s">
        <v>185</v>
      </c>
      <c r="B138" s="188">
        <f>AVERAGE(B111:B117)</f>
        <v>3.0523985714285713E-4</v>
      </c>
      <c r="C138"/>
      <c r="D138"/>
      <c r="E138"/>
      <c r="F138"/>
      <c r="G138"/>
      <c r="H138"/>
      <c r="I138" s="195" t="s">
        <v>310</v>
      </c>
      <c r="J138">
        <v>69</v>
      </c>
      <c r="K138" s="41">
        <v>15514177</v>
      </c>
      <c r="L138" s="190">
        <f t="shared" ref="L138" si="32">K138*0.008887</f>
        <v>137874.490999</v>
      </c>
      <c r="M138" s="28">
        <v>323777.74933151098</v>
      </c>
      <c r="N138" s="43">
        <f>M138*B127</f>
        <v>61.574433479120103</v>
      </c>
      <c r="O138" s="43">
        <f t="shared" si="9"/>
        <v>137812.91656552089</v>
      </c>
      <c r="P138"/>
      <c r="Q138"/>
      <c r="R138"/>
      <c r="S138"/>
      <c r="T138"/>
    </row>
    <row r="139" spans="1:20" ht="16" x14ac:dyDescent="0.2">
      <c r="A139" s="186" t="s">
        <v>186</v>
      </c>
      <c r="B139" s="188">
        <f>AVERAGE(B118:B137)</f>
        <v>1.8718740000000001E-4</v>
      </c>
      <c r="C139"/>
      <c r="D139"/>
      <c r="E139"/>
      <c r="F139"/>
      <c r="G139"/>
      <c r="H139"/>
      <c r="I139" s="195" t="s">
        <v>311</v>
      </c>
      <c r="J139">
        <v>26</v>
      </c>
      <c r="K139" s="41">
        <v>2758443</v>
      </c>
      <c r="L139" s="190">
        <f t="shared" ref="L139" si="33">K139*0.01018</f>
        <v>28080.94974</v>
      </c>
      <c r="M139" s="28">
        <v>128257.92448735172</v>
      </c>
      <c r="N139" s="43">
        <f>M139*B127</f>
        <v>24.391450789382112</v>
      </c>
      <c r="O139" s="43">
        <f t="shared" si="9"/>
        <v>28056.558289210618</v>
      </c>
      <c r="P139"/>
      <c r="Q139"/>
      <c r="R139"/>
      <c r="S139"/>
      <c r="T139"/>
    </row>
    <row r="140" spans="1:20" ht="16" x14ac:dyDescent="0.2">
      <c r="A140"/>
      <c r="B140"/>
      <c r="C140"/>
      <c r="D140"/>
      <c r="E140"/>
      <c r="F140"/>
      <c r="G140"/>
      <c r="H140"/>
      <c r="I140" s="195" t="s">
        <v>312</v>
      </c>
      <c r="J140">
        <v>69</v>
      </c>
      <c r="K140" s="41">
        <v>15514177</v>
      </c>
      <c r="L140" s="190">
        <f t="shared" ref="L140" si="34">K140*0.008887</f>
        <v>137874.490999</v>
      </c>
      <c r="M140" s="28">
        <v>323777.74933151098</v>
      </c>
      <c r="N140" s="43">
        <f>M140*B128</f>
        <v>59.170707468082959</v>
      </c>
      <c r="O140" s="43">
        <f t="shared" si="9"/>
        <v>137815.32029153191</v>
      </c>
      <c r="P140"/>
      <c r="Q140"/>
      <c r="R140"/>
      <c r="S140"/>
      <c r="T140"/>
    </row>
    <row r="141" spans="1:20" ht="16" x14ac:dyDescent="0.2">
      <c r="I141" s="195" t="s">
        <v>313</v>
      </c>
      <c r="J141">
        <v>26</v>
      </c>
      <c r="K141" s="41">
        <v>2758443</v>
      </c>
      <c r="L141" s="190">
        <f t="shared" ref="L141" si="35">K141*0.01018</f>
        <v>28080.94974</v>
      </c>
      <c r="M141" s="28">
        <v>128257.92448735172</v>
      </c>
      <c r="N141" s="43">
        <f>M141*B128</f>
        <v>23.439263957988011</v>
      </c>
      <c r="O141" s="43">
        <f t="shared" si="9"/>
        <v>28057.510476042011</v>
      </c>
      <c r="P141"/>
      <c r="Q141"/>
      <c r="R141"/>
    </row>
    <row r="142" spans="1:20" ht="16" x14ac:dyDescent="0.2">
      <c r="I142" s="195" t="s">
        <v>314</v>
      </c>
      <c r="J142">
        <v>69</v>
      </c>
      <c r="K142" s="41">
        <v>15514177</v>
      </c>
      <c r="L142" s="190">
        <f t="shared" ref="L142" si="36">K142*0.008887</f>
        <v>137874.490999</v>
      </c>
      <c r="M142" s="28">
        <v>323777.74933151098</v>
      </c>
      <c r="N142" s="43">
        <f>M142*B129</f>
        <v>56.766981457045823</v>
      </c>
      <c r="O142" s="43">
        <f t="shared" si="9"/>
        <v>137817.72401754296</v>
      </c>
      <c r="P142"/>
      <c r="Q142"/>
      <c r="R142"/>
    </row>
    <row r="143" spans="1:20" ht="16" x14ac:dyDescent="0.2">
      <c r="I143" s="195" t="s">
        <v>315</v>
      </c>
      <c r="J143">
        <v>26</v>
      </c>
      <c r="K143" s="41">
        <v>2758443</v>
      </c>
      <c r="L143" s="190">
        <f t="shared" ref="L143" si="37">K143*0.01018</f>
        <v>28080.94974</v>
      </c>
      <c r="M143" s="28">
        <v>128257.92448735172</v>
      </c>
      <c r="N143" s="212">
        <f>M143*B129</f>
        <v>22.487077126593913</v>
      </c>
      <c r="O143" s="43">
        <f t="shared" si="9"/>
        <v>28058.462662873408</v>
      </c>
    </row>
    <row r="144" spans="1:20" ht="16" x14ac:dyDescent="0.2">
      <c r="I144" s="195" t="s">
        <v>316</v>
      </c>
      <c r="J144">
        <v>69</v>
      </c>
      <c r="K144" s="41">
        <v>15514177</v>
      </c>
      <c r="L144" s="190">
        <f t="shared" ref="L144" si="38">K144*0.008887</f>
        <v>137874.490999</v>
      </c>
      <c r="M144" s="28">
        <v>323777.74933151098</v>
      </c>
      <c r="N144" s="212">
        <f>M144*B130</f>
        <v>56.502455035841983</v>
      </c>
      <c r="O144" s="43">
        <f t="shared" si="9"/>
        <v>137817.98854396417</v>
      </c>
    </row>
    <row r="145" spans="9:15" ht="16" x14ac:dyDescent="0.2">
      <c r="I145" s="195" t="s">
        <v>317</v>
      </c>
      <c r="J145">
        <v>26</v>
      </c>
      <c r="K145" s="41">
        <v>2758443</v>
      </c>
      <c r="L145" s="190">
        <f t="shared" ref="L145" si="39">K145*0.01018</f>
        <v>28080.94974</v>
      </c>
      <c r="M145" s="28">
        <v>128257.92448735172</v>
      </c>
      <c r="N145" s="212">
        <f>M145*B130</f>
        <v>22.382290402287747</v>
      </c>
      <c r="O145" s="43">
        <f t="shared" si="9"/>
        <v>28058.567449597711</v>
      </c>
    </row>
    <row r="146" spans="9:15" ht="16" x14ac:dyDescent="0.2">
      <c r="I146" s="195" t="s">
        <v>318</v>
      </c>
      <c r="J146">
        <v>69</v>
      </c>
      <c r="K146" s="41">
        <v>15514177</v>
      </c>
      <c r="L146" s="190">
        <f t="shared" ref="L146" si="40">K146*0.008887</f>
        <v>137874.490999</v>
      </c>
      <c r="M146" s="28">
        <v>323777.74933151098</v>
      </c>
      <c r="N146" s="212">
        <f>M146*B131</f>
        <v>56.237928614638136</v>
      </c>
      <c r="O146" s="43">
        <f t="shared" si="9"/>
        <v>137818.25307038537</v>
      </c>
    </row>
    <row r="147" spans="9:15" ht="16" x14ac:dyDescent="0.2">
      <c r="I147" s="195" t="s">
        <v>319</v>
      </c>
      <c r="J147">
        <v>26</v>
      </c>
      <c r="K147" s="41">
        <v>2758443</v>
      </c>
      <c r="L147" s="190">
        <f t="shared" ref="L147" si="41">K147*0.01018</f>
        <v>28080.94974</v>
      </c>
      <c r="M147" s="28">
        <v>128257.92448735172</v>
      </c>
      <c r="N147" s="212">
        <f>M147*B131</f>
        <v>22.277503677981581</v>
      </c>
      <c r="O147" s="43">
        <f t="shared" si="9"/>
        <v>28058.672236322018</v>
      </c>
    </row>
    <row r="148" spans="9:15" ht="16" x14ac:dyDescent="0.2">
      <c r="I148" s="195" t="s">
        <v>320</v>
      </c>
      <c r="J148">
        <v>69</v>
      </c>
      <c r="K148" s="41">
        <v>15514177</v>
      </c>
      <c r="L148" s="190">
        <f t="shared" ref="L148" si="42">K148*0.008887</f>
        <v>137874.490999</v>
      </c>
      <c r="M148" s="28">
        <v>323777.74933151098</v>
      </c>
      <c r="N148" s="212">
        <f>M148*B132</f>
        <v>55.541806453575383</v>
      </c>
      <c r="O148" s="43">
        <f t="shared" si="9"/>
        <v>137818.94919254642</v>
      </c>
    </row>
    <row r="149" spans="9:15" ht="16" x14ac:dyDescent="0.2">
      <c r="I149" s="195" t="s">
        <v>321</v>
      </c>
      <c r="J149">
        <v>26</v>
      </c>
      <c r="K149" s="41">
        <v>2758443</v>
      </c>
      <c r="L149" s="190">
        <f t="shared" ref="L149" si="43">K149*0.01018</f>
        <v>28080.94974</v>
      </c>
      <c r="M149" s="28">
        <v>128257.92448735172</v>
      </c>
      <c r="N149" s="212">
        <f>M149*B132</f>
        <v>22.001749140333775</v>
      </c>
      <c r="O149" s="43">
        <f t="shared" si="9"/>
        <v>28058.947990859666</v>
      </c>
    </row>
    <row r="150" spans="9:15" ht="16" x14ac:dyDescent="0.2">
      <c r="I150" s="195" t="s">
        <v>322</v>
      </c>
      <c r="J150">
        <v>69</v>
      </c>
      <c r="K150" s="41">
        <v>15514177</v>
      </c>
      <c r="L150" s="190">
        <f t="shared" ref="L150" si="44">K150*0.008887</f>
        <v>137874.490999</v>
      </c>
      <c r="M150" s="28">
        <v>323777.74933151098</v>
      </c>
      <c r="N150" s="212">
        <f>M150*B133</f>
        <v>54.845684292512637</v>
      </c>
      <c r="O150" s="43">
        <f t="shared" si="9"/>
        <v>137819.64531470748</v>
      </c>
    </row>
    <row r="151" spans="9:15" ht="16" x14ac:dyDescent="0.2">
      <c r="I151" s="195" t="s">
        <v>323</v>
      </c>
      <c r="J151">
        <v>26</v>
      </c>
      <c r="K151" s="41">
        <v>2758443</v>
      </c>
      <c r="L151" s="190">
        <f t="shared" ref="L151" si="45">K151*0.01018</f>
        <v>28080.94974</v>
      </c>
      <c r="M151" s="28">
        <v>128257.92448735172</v>
      </c>
      <c r="N151" s="212">
        <f>M151*B133</f>
        <v>21.725994602685969</v>
      </c>
      <c r="O151" s="43">
        <f t="shared" si="9"/>
        <v>28059.223745397314</v>
      </c>
    </row>
    <row r="152" spans="9:15" ht="16" x14ac:dyDescent="0.2">
      <c r="I152" s="195" t="s">
        <v>324</v>
      </c>
      <c r="J152">
        <v>69</v>
      </c>
      <c r="K152" s="41">
        <v>15514177</v>
      </c>
      <c r="L152" s="190">
        <f t="shared" ref="L152" si="46">K152*0.008887</f>
        <v>137874.490999</v>
      </c>
      <c r="M152" s="28">
        <v>323777.74933151098</v>
      </c>
      <c r="N152" s="212">
        <f>M152*B134</f>
        <v>53.195065326420597</v>
      </c>
      <c r="O152" s="43">
        <f t="shared" si="9"/>
        <v>137821.29593367359</v>
      </c>
    </row>
    <row r="153" spans="9:15" ht="16" x14ac:dyDescent="0.2">
      <c r="I153" s="195" t="s">
        <v>325</v>
      </c>
      <c r="J153">
        <v>26</v>
      </c>
      <c r="K153" s="41">
        <v>2758443</v>
      </c>
      <c r="L153" s="190">
        <f t="shared" ref="L153" si="47">K153*0.01018</f>
        <v>28080.94974</v>
      </c>
      <c r="M153" s="28">
        <v>128257.92448735172</v>
      </c>
      <c r="N153" s="212">
        <f>M153*B134</f>
        <v>21.072135703649451</v>
      </c>
      <c r="O153" s="43">
        <f t="shared" si="9"/>
        <v>28059.877604296351</v>
      </c>
    </row>
    <row r="154" spans="9:15" ht="16" x14ac:dyDescent="0.2">
      <c r="I154" s="195" t="s">
        <v>326</v>
      </c>
      <c r="J154">
        <v>69</v>
      </c>
      <c r="K154" s="41">
        <v>15514177</v>
      </c>
      <c r="L154" s="190">
        <f t="shared" ref="L154" si="48">K154*0.008887</f>
        <v>137874.490999</v>
      </c>
      <c r="M154" s="28">
        <v>323777.74933151098</v>
      </c>
      <c r="N154" s="212">
        <f>M154*B135</f>
        <v>51.54444636032855</v>
      </c>
      <c r="O154" s="43">
        <f t="shared" si="9"/>
        <v>137822.94655263968</v>
      </c>
    </row>
    <row r="155" spans="9:15" ht="16" x14ac:dyDescent="0.2">
      <c r="I155" s="195" t="s">
        <v>327</v>
      </c>
      <c r="J155">
        <v>26</v>
      </c>
      <c r="K155" s="41">
        <v>2758443</v>
      </c>
      <c r="L155" s="190">
        <f t="shared" ref="L155" si="49">K155*0.01018</f>
        <v>28080.94974</v>
      </c>
      <c r="M155" s="28">
        <v>128257.92448735172</v>
      </c>
      <c r="N155" s="212">
        <f>M155*B135</f>
        <v>20.41827680461293</v>
      </c>
      <c r="O155" s="43">
        <f t="shared" si="9"/>
        <v>28060.531463195388</v>
      </c>
    </row>
    <row r="156" spans="9:15" ht="16" x14ac:dyDescent="0.2">
      <c r="I156" s="195" t="s">
        <v>328</v>
      </c>
      <c r="J156">
        <v>69</v>
      </c>
      <c r="K156" s="41">
        <v>15514177</v>
      </c>
      <c r="L156" s="190">
        <f t="shared" ref="L156" si="50">K156*0.008887</f>
        <v>137874.490999</v>
      </c>
      <c r="M156" s="28">
        <v>323777.74933151098</v>
      </c>
      <c r="N156" s="212">
        <f>M156*B136</f>
        <v>50.978159076747737</v>
      </c>
      <c r="O156" s="43">
        <f t="shared" si="9"/>
        <v>137823.51283992326</v>
      </c>
    </row>
    <row r="157" spans="9:15" ht="16" x14ac:dyDescent="0.2">
      <c r="I157" s="195" t="s">
        <v>329</v>
      </c>
      <c r="J157">
        <v>26</v>
      </c>
      <c r="K157" s="41">
        <v>2758443</v>
      </c>
      <c r="L157" s="190">
        <f t="shared" ref="L157" si="51">K157*0.01018</f>
        <v>28080.94974</v>
      </c>
      <c r="M157" s="28">
        <v>128257.92448735172</v>
      </c>
      <c r="N157" s="212">
        <f>M157*B136</f>
        <v>20.193953694684552</v>
      </c>
      <c r="O157" s="43">
        <f t="shared" si="9"/>
        <v>28060.755786305315</v>
      </c>
    </row>
    <row r="158" spans="9:15" ht="16" x14ac:dyDescent="0.2">
      <c r="I158" s="195" t="s">
        <v>330</v>
      </c>
      <c r="J158">
        <v>69</v>
      </c>
      <c r="K158" s="41">
        <v>15514177</v>
      </c>
      <c r="L158" s="190">
        <f t="shared" ref="L158" si="52">K158*0.008887</f>
        <v>137874.490999</v>
      </c>
      <c r="M158" s="28">
        <v>323777.74933151098</v>
      </c>
      <c r="N158" s="212">
        <f>M158*B137</f>
        <v>50.411871793166931</v>
      </c>
      <c r="O158" s="43">
        <f t="shared" si="9"/>
        <v>137824.07912720685</v>
      </c>
    </row>
    <row r="159" spans="9:15" ht="16" x14ac:dyDescent="0.2">
      <c r="I159" s="195" t="s">
        <v>331</v>
      </c>
      <c r="J159">
        <v>26</v>
      </c>
      <c r="K159" s="41">
        <v>2758443</v>
      </c>
      <c r="L159" s="190">
        <f t="shared" ref="L159" si="53">K159*0.01018</f>
        <v>28080.94974</v>
      </c>
      <c r="M159" s="28">
        <v>128257.92448735172</v>
      </c>
      <c r="N159" s="213">
        <f>M159*B137</f>
        <v>19.969630584756175</v>
      </c>
      <c r="O159" s="43">
        <f t="shared" si="9"/>
        <v>28060.980109415243</v>
      </c>
    </row>
    <row r="161" spans="10:14" ht="16" x14ac:dyDescent="0.2">
      <c r="J161" s="214" t="s">
        <v>181</v>
      </c>
      <c r="K161" s="211">
        <f>SUM(K110,K112,K114,K116,K118)</f>
        <v>72762776.48112756</v>
      </c>
      <c r="L161" t="s">
        <v>332</v>
      </c>
      <c r="M161" s="211">
        <f>SUM(M110,M112,M114,M116,M118)</f>
        <v>1507106.2894291966</v>
      </c>
      <c r="N161" s="212">
        <f>SUM(N110,N112,N114,N116,N118)</f>
        <v>421.41530140189906</v>
      </c>
    </row>
    <row r="162" spans="10:14" ht="16" x14ac:dyDescent="0.2">
      <c r="J162" s="214" t="s">
        <v>333</v>
      </c>
      <c r="K162" s="211">
        <f>SUM(K111,K113,K115,K117,K119)</f>
        <v>12488008.57161665</v>
      </c>
      <c r="L162" t="s">
        <v>334</v>
      </c>
      <c r="M162" s="211">
        <f>SUM(M111,M113,M115,M117,M119)</f>
        <v>579073.68470055889</v>
      </c>
      <c r="N162" s="212">
        <f>SUM(N111,N113,N115,N117,N119)</f>
        <v>160.92490905021393</v>
      </c>
    </row>
    <row r="163" spans="10:14" ht="16" x14ac:dyDescent="0.2">
      <c r="J163" s="214" t="s">
        <v>183</v>
      </c>
      <c r="K163" s="211">
        <f>SUM(K110,K112,K114,K116,K118,K120,K122,K124,K126,K128,K130,K132,K134,K136,K138,K140,K142,K144,K146,K148,K150,K152,K154,K156,K158)</f>
        <v>383046316.48112756</v>
      </c>
      <c r="L163" t="s">
        <v>335</v>
      </c>
      <c r="M163" s="211">
        <f>SUM(M110,M112,M114,M116,M118,M120,M122,M124,M126,M128,M130,M132,M134,M136,M138,M140,M142,M144,M146,M148,M150,M152,M154,M156,M158)</f>
        <v>7982661.2760594133</v>
      </c>
      <c r="N163" s="212">
        <f>SUM(N110,N112,N114,N116,N118,N120,N122,N124,N126,N128,N130,N132,N134,N136,N138,N140,N142,N144,N146,N148,N150,N152,N154,N156,N158)</f>
        <v>1633.5576029062445</v>
      </c>
    </row>
    <row r="164" spans="10:14" ht="16" x14ac:dyDescent="0.2">
      <c r="J164" s="214" t="s">
        <v>336</v>
      </c>
      <c r="K164" s="211">
        <f>SUM(K111,K113,K115,K117,K119,K121,K123,K125,K127,K129,K131,K133,K135,K137,K139,K141,K143,K145,K147,K149,K151,K153,K155,K157,K159)</f>
        <v>67656868.57161665</v>
      </c>
      <c r="L164" t="s">
        <v>337</v>
      </c>
      <c r="M164" s="211">
        <f>SUM(M111,M113,M115,M117,M119,M121,M123,M125,M127,M129,M131,M133,M135,M137,M139,M141,M143,M145,M147,M149,M151,M153,M155,M157,M159)</f>
        <v>3144232.1744475942</v>
      </c>
      <c r="N164" s="212">
        <f>SUM(N111,N113,N115,N117,N119,N121,N123,N125,N127,N129,N131,N133,N135,N137,N139,N141,N143,N145,N147,N149,N151,N153,N155,N157,N159)</f>
        <v>641.09025733388808</v>
      </c>
    </row>
  </sheetData>
  <mergeCells count="3">
    <mergeCell ref="A1:L1"/>
    <mergeCell ref="A74:L74"/>
    <mergeCell ref="A109:B109"/>
  </mergeCells>
  <phoneticPr fontId="3" type="noConversion"/>
  <pageMargins left="0.25" right="0.25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6FD8E-00E8-4A71-B50E-1C4E108B8570}">
  <dimension ref="A1:R52"/>
  <sheetViews>
    <sheetView workbookViewId="0">
      <selection activeCell="E22" sqref="E22"/>
    </sheetView>
  </sheetViews>
  <sheetFormatPr baseColWidth="10" defaultColWidth="8.83203125" defaultRowHeight="16" x14ac:dyDescent="0.2"/>
  <cols>
    <col min="2" max="2" width="17.6640625" bestFit="1" customWidth="1"/>
    <col min="3" max="3" width="13" bestFit="1" customWidth="1"/>
    <col min="4" max="4" width="14.1640625" customWidth="1"/>
    <col min="5" max="5" width="13" bestFit="1" customWidth="1"/>
    <col min="6" max="6" width="13.33203125" bestFit="1" customWidth="1"/>
    <col min="7" max="7" width="18.33203125" bestFit="1" customWidth="1"/>
    <col min="8" max="8" width="17" bestFit="1" customWidth="1"/>
    <col min="9" max="9" width="23.1640625" customWidth="1"/>
    <col min="10" max="10" width="18.6640625" customWidth="1"/>
    <col min="11" max="11" width="10.83203125" customWidth="1"/>
    <col min="12" max="12" width="17.33203125" customWidth="1"/>
    <col min="13" max="13" width="19.83203125" bestFit="1" customWidth="1"/>
    <col min="14" max="14" width="20.33203125" bestFit="1" customWidth="1"/>
    <col min="15" max="15" width="24" bestFit="1" customWidth="1"/>
    <col min="16" max="16" width="18.6640625" bestFit="1" customWidth="1"/>
    <col min="17" max="17" width="14.5" customWidth="1"/>
    <col min="18" max="18" width="17.1640625" bestFit="1" customWidth="1"/>
    <col min="19" max="19" width="18.6640625" bestFit="1" customWidth="1"/>
    <col min="20" max="20" width="16.33203125" bestFit="1" customWidth="1"/>
    <col min="21" max="21" width="17.83203125" customWidth="1"/>
  </cols>
  <sheetData>
    <row r="1" spans="1:15" ht="17" thickBot="1" x14ac:dyDescent="0.25">
      <c r="J1" s="157">
        <f>SUM(J3:J14)</f>
        <v>397080</v>
      </c>
      <c r="K1" s="157">
        <f>SUM(K3:K14)</f>
        <v>540000</v>
      </c>
      <c r="L1" s="157">
        <f>SUM(L3:L14)</f>
        <v>142920</v>
      </c>
      <c r="M1" s="156">
        <v>45000</v>
      </c>
      <c r="N1" s="157">
        <f>SUM(L1,M1)</f>
        <v>187920</v>
      </c>
      <c r="O1" s="172" t="e">
        <f>SUM(#REF!)</f>
        <v>#REF!</v>
      </c>
    </row>
    <row r="2" spans="1:15" ht="45.75" customHeight="1" thickBot="1" x14ac:dyDescent="0.25">
      <c r="A2" s="132" t="s">
        <v>154</v>
      </c>
      <c r="B2" s="133" t="s">
        <v>155</v>
      </c>
      <c r="C2" s="133" t="s">
        <v>168</v>
      </c>
      <c r="D2" s="133" t="s">
        <v>338</v>
      </c>
      <c r="E2" s="133" t="s">
        <v>156</v>
      </c>
      <c r="F2" s="133" t="s">
        <v>157</v>
      </c>
      <c r="G2" s="133" t="s">
        <v>158</v>
      </c>
      <c r="H2" s="133" t="s">
        <v>159</v>
      </c>
      <c r="I2" s="177" t="s">
        <v>160</v>
      </c>
      <c r="J2" s="153" t="s">
        <v>189</v>
      </c>
      <c r="K2" s="153" t="s">
        <v>161</v>
      </c>
      <c r="L2" s="153" t="s">
        <v>190</v>
      </c>
      <c r="M2" s="171" t="s">
        <v>162</v>
      </c>
      <c r="N2" s="171" t="s">
        <v>191</v>
      </c>
      <c r="O2" s="171" t="s">
        <v>163</v>
      </c>
    </row>
    <row r="3" spans="1:15" ht="17" thickBot="1" x14ac:dyDescent="0.25">
      <c r="A3" s="134">
        <v>1</v>
      </c>
      <c r="B3" s="135" t="s">
        <v>339</v>
      </c>
      <c r="C3" s="135">
        <v>2018</v>
      </c>
      <c r="D3" s="136">
        <v>99475</v>
      </c>
      <c r="E3" s="136">
        <f t="shared" ref="E3:E14" si="0">D3/(2024-C3)</f>
        <v>16579.166666666668</v>
      </c>
      <c r="F3" s="135" t="s">
        <v>340</v>
      </c>
      <c r="G3" s="135">
        <v>19</v>
      </c>
      <c r="H3" s="135" t="s">
        <v>341</v>
      </c>
      <c r="I3" s="178">
        <f t="shared" ref="I3:I14" si="1">E3/G3</f>
        <v>872.5877192982457</v>
      </c>
      <c r="J3" s="156">
        <v>34600</v>
      </c>
      <c r="K3" s="156">
        <v>50000</v>
      </c>
      <c r="L3" s="156">
        <f>K3-J3</f>
        <v>15400</v>
      </c>
    </row>
    <row r="4" spans="1:15" ht="17" thickBot="1" x14ac:dyDescent="0.25">
      <c r="A4" s="134">
        <v>2</v>
      </c>
      <c r="B4" s="135" t="s">
        <v>339</v>
      </c>
      <c r="C4" s="135">
        <v>2016</v>
      </c>
      <c r="D4" s="136">
        <v>82055</v>
      </c>
      <c r="E4" s="136">
        <f t="shared" si="0"/>
        <v>10256.875</v>
      </c>
      <c r="F4" s="135" t="s">
        <v>340</v>
      </c>
      <c r="G4" s="135">
        <v>19</v>
      </c>
      <c r="H4" s="135" t="s">
        <v>341</v>
      </c>
      <c r="I4" s="178">
        <f t="shared" si="1"/>
        <v>539.83552631578948</v>
      </c>
      <c r="J4" s="156">
        <v>38060</v>
      </c>
      <c r="K4" s="156">
        <v>40000</v>
      </c>
      <c r="L4" s="156">
        <f t="shared" ref="L4:L14" si="2">K4-J4</f>
        <v>1940</v>
      </c>
    </row>
    <row r="5" spans="1:15" ht="17" thickBot="1" x14ac:dyDescent="0.25">
      <c r="A5" s="134">
        <v>3</v>
      </c>
      <c r="B5" s="135" t="s">
        <v>342</v>
      </c>
      <c r="C5" s="135">
        <v>2017</v>
      </c>
      <c r="D5" s="136">
        <v>53838</v>
      </c>
      <c r="E5" s="136">
        <f t="shared" si="0"/>
        <v>7691.1428571428569</v>
      </c>
      <c r="F5" s="135" t="s">
        <v>194</v>
      </c>
      <c r="G5" s="135">
        <v>24</v>
      </c>
      <c r="H5" s="135" t="s">
        <v>341</v>
      </c>
      <c r="I5" s="178">
        <f t="shared" si="1"/>
        <v>320.46428571428572</v>
      </c>
      <c r="J5" s="156">
        <v>38060</v>
      </c>
      <c r="K5" s="156">
        <v>40000</v>
      </c>
      <c r="L5" s="156">
        <f t="shared" si="2"/>
        <v>1940</v>
      </c>
    </row>
    <row r="6" spans="1:15" ht="17" thickBot="1" x14ac:dyDescent="0.25">
      <c r="A6" s="134">
        <v>4</v>
      </c>
      <c r="B6" s="135" t="s">
        <v>343</v>
      </c>
      <c r="C6" s="135">
        <v>2017</v>
      </c>
      <c r="D6" s="136">
        <v>103195</v>
      </c>
      <c r="E6" s="136">
        <f t="shared" si="0"/>
        <v>14742.142857142857</v>
      </c>
      <c r="F6" s="135" t="s">
        <v>194</v>
      </c>
      <c r="G6" s="135">
        <v>24</v>
      </c>
      <c r="H6" s="135" t="s">
        <v>341</v>
      </c>
      <c r="I6" s="178">
        <f t="shared" si="1"/>
        <v>614.25595238095241</v>
      </c>
      <c r="J6" s="156">
        <v>25100</v>
      </c>
      <c r="K6" s="156">
        <v>40000</v>
      </c>
      <c r="L6" s="156">
        <f t="shared" si="2"/>
        <v>14900</v>
      </c>
    </row>
    <row r="7" spans="1:15" ht="17" thickBot="1" x14ac:dyDescent="0.25">
      <c r="A7" s="134">
        <v>5</v>
      </c>
      <c r="B7" s="135" t="s">
        <v>339</v>
      </c>
      <c r="C7" s="135">
        <v>2015</v>
      </c>
      <c r="D7" s="136">
        <v>73826</v>
      </c>
      <c r="E7" s="136">
        <f t="shared" si="0"/>
        <v>8202.8888888888887</v>
      </c>
      <c r="F7" s="135" t="s">
        <v>194</v>
      </c>
      <c r="G7" s="135">
        <v>19</v>
      </c>
      <c r="H7" s="135" t="s">
        <v>341</v>
      </c>
      <c r="I7" s="178">
        <f t="shared" si="1"/>
        <v>431.73099415204678</v>
      </c>
      <c r="J7" s="156">
        <v>25100</v>
      </c>
      <c r="K7" s="156">
        <v>40000</v>
      </c>
      <c r="L7" s="156">
        <f t="shared" si="2"/>
        <v>14900</v>
      </c>
    </row>
    <row r="8" spans="1:15" ht="17" thickBot="1" x14ac:dyDescent="0.25">
      <c r="A8" s="134">
        <v>6</v>
      </c>
      <c r="B8" s="135" t="s">
        <v>343</v>
      </c>
      <c r="C8" s="135">
        <v>2016</v>
      </c>
      <c r="D8" s="136">
        <v>101082</v>
      </c>
      <c r="E8" s="136">
        <f t="shared" si="0"/>
        <v>12635.25</v>
      </c>
      <c r="F8" s="135" t="s">
        <v>194</v>
      </c>
      <c r="G8" s="135">
        <v>24</v>
      </c>
      <c r="H8" s="135" t="s">
        <v>341</v>
      </c>
      <c r="I8" s="178">
        <f t="shared" si="1"/>
        <v>526.46875</v>
      </c>
      <c r="J8" s="156">
        <v>38060</v>
      </c>
      <c r="K8" s="156">
        <v>40000</v>
      </c>
      <c r="L8" s="156">
        <f t="shared" si="2"/>
        <v>1940</v>
      </c>
    </row>
    <row r="9" spans="1:15" ht="17" thickBot="1" x14ac:dyDescent="0.25">
      <c r="A9" s="134">
        <v>7</v>
      </c>
      <c r="B9" s="135" t="s">
        <v>193</v>
      </c>
      <c r="C9" s="135">
        <v>2017</v>
      </c>
      <c r="D9" s="136">
        <v>63537</v>
      </c>
      <c r="E9" s="136">
        <f>D9/(2024-C9)</f>
        <v>9076.7142857142862</v>
      </c>
      <c r="F9" s="135" t="s">
        <v>340</v>
      </c>
      <c r="G9" s="135">
        <v>14</v>
      </c>
      <c r="H9" s="135" t="s">
        <v>195</v>
      </c>
      <c r="I9" s="178">
        <f t="shared" si="1"/>
        <v>648.33673469387759</v>
      </c>
      <c r="J9" s="156">
        <v>25100</v>
      </c>
      <c r="K9" s="156">
        <v>40000</v>
      </c>
      <c r="L9" s="156">
        <f t="shared" si="2"/>
        <v>14900</v>
      </c>
    </row>
    <row r="10" spans="1:15" ht="17" thickBot="1" x14ac:dyDescent="0.25">
      <c r="A10" s="134">
        <v>8</v>
      </c>
      <c r="B10" s="135" t="s">
        <v>344</v>
      </c>
      <c r="C10" s="135">
        <v>2014</v>
      </c>
      <c r="D10" s="136">
        <v>78551</v>
      </c>
      <c r="E10" s="136">
        <f t="shared" si="0"/>
        <v>7855.1</v>
      </c>
      <c r="F10" s="135" t="s">
        <v>194</v>
      </c>
      <c r="G10" s="135">
        <v>14</v>
      </c>
      <c r="H10" s="135" t="s">
        <v>195</v>
      </c>
      <c r="I10" s="178">
        <f t="shared" si="1"/>
        <v>561.07857142857142</v>
      </c>
      <c r="J10" s="156">
        <v>34600</v>
      </c>
      <c r="K10" s="156">
        <v>50000</v>
      </c>
      <c r="L10" s="156">
        <f t="shared" si="2"/>
        <v>15400</v>
      </c>
    </row>
    <row r="11" spans="1:15" ht="17" thickBot="1" x14ac:dyDescent="0.25">
      <c r="A11" s="134">
        <v>9</v>
      </c>
      <c r="B11" s="135" t="s">
        <v>345</v>
      </c>
      <c r="C11" s="135">
        <v>2010</v>
      </c>
      <c r="D11" s="136">
        <v>54919</v>
      </c>
      <c r="E11" s="136">
        <f t="shared" si="0"/>
        <v>3922.7857142857142</v>
      </c>
      <c r="F11" s="135" t="s">
        <v>194</v>
      </c>
      <c r="G11" s="135">
        <v>24</v>
      </c>
      <c r="H11" s="135" t="s">
        <v>195</v>
      </c>
      <c r="I11" s="178">
        <f t="shared" si="1"/>
        <v>163.44940476190476</v>
      </c>
      <c r="J11" s="156">
        <v>34600</v>
      </c>
      <c r="K11" s="156">
        <v>50000</v>
      </c>
      <c r="L11" s="156">
        <f t="shared" si="2"/>
        <v>15400</v>
      </c>
    </row>
    <row r="12" spans="1:15" ht="17" thickBot="1" x14ac:dyDescent="0.25">
      <c r="A12" s="134">
        <v>10</v>
      </c>
      <c r="B12" s="135" t="s">
        <v>345</v>
      </c>
      <c r="C12" s="135">
        <v>2011</v>
      </c>
      <c r="D12" s="136">
        <v>54332</v>
      </c>
      <c r="E12" s="136">
        <f t="shared" si="0"/>
        <v>4179.3846153846152</v>
      </c>
      <c r="F12" s="135" t="s">
        <v>194</v>
      </c>
      <c r="G12" s="135">
        <v>24</v>
      </c>
      <c r="H12" s="135" t="s">
        <v>195</v>
      </c>
      <c r="I12" s="178">
        <f t="shared" si="1"/>
        <v>174.14102564102564</v>
      </c>
      <c r="J12" s="156">
        <v>34600</v>
      </c>
      <c r="K12" s="156">
        <v>50000</v>
      </c>
      <c r="L12" s="156">
        <f t="shared" si="2"/>
        <v>15400</v>
      </c>
    </row>
    <row r="13" spans="1:15" ht="17" thickBot="1" x14ac:dyDescent="0.25">
      <c r="A13" s="134">
        <v>11</v>
      </c>
      <c r="B13" s="135" t="s">
        <v>345</v>
      </c>
      <c r="C13" s="135">
        <v>2007</v>
      </c>
      <c r="D13" s="136">
        <v>61160</v>
      </c>
      <c r="E13" s="136">
        <f t="shared" si="0"/>
        <v>3597.6470588235293</v>
      </c>
      <c r="F13" s="135" t="s">
        <v>194</v>
      </c>
      <c r="G13" s="135">
        <v>24</v>
      </c>
      <c r="H13" s="135" t="s">
        <v>195</v>
      </c>
      <c r="I13" s="178">
        <f t="shared" si="1"/>
        <v>149.90196078431373</v>
      </c>
      <c r="J13" s="156">
        <v>34600</v>
      </c>
      <c r="K13" s="156">
        <v>50000</v>
      </c>
      <c r="L13" s="156">
        <f t="shared" si="2"/>
        <v>15400</v>
      </c>
    </row>
    <row r="14" spans="1:15" ht="17" thickBot="1" x14ac:dyDescent="0.25">
      <c r="A14" s="134">
        <v>12</v>
      </c>
      <c r="B14" s="135" t="s">
        <v>344</v>
      </c>
      <c r="C14" s="135">
        <v>2010</v>
      </c>
      <c r="D14" s="136">
        <v>52419</v>
      </c>
      <c r="E14" s="136">
        <f t="shared" si="0"/>
        <v>3744.2142857142858</v>
      </c>
      <c r="F14" s="135" t="s">
        <v>194</v>
      </c>
      <c r="G14" s="135">
        <v>14</v>
      </c>
      <c r="H14" s="135" t="s">
        <v>195</v>
      </c>
      <c r="I14" s="178">
        <f t="shared" si="1"/>
        <v>267.44387755102042</v>
      </c>
      <c r="J14" s="156">
        <v>34600</v>
      </c>
      <c r="K14" s="156">
        <v>50000</v>
      </c>
      <c r="L14" s="156">
        <f t="shared" si="2"/>
        <v>15400</v>
      </c>
    </row>
    <row r="15" spans="1:15" x14ac:dyDescent="0.2">
      <c r="D15" s="154" t="s">
        <v>346</v>
      </c>
      <c r="E15" s="155">
        <f>(SUM(E3:E14))/12</f>
        <v>8540.2760191469752</v>
      </c>
      <c r="G15" s="179" t="s">
        <v>347</v>
      </c>
      <c r="H15" s="179"/>
      <c r="I15" s="180">
        <f>SUM(I3:I14)</f>
        <v>5269.6948027220333</v>
      </c>
    </row>
    <row r="16" spans="1:15" x14ac:dyDescent="0.2">
      <c r="G16" s="181"/>
      <c r="H16" s="181"/>
    </row>
    <row r="17" spans="1:18" x14ac:dyDescent="0.2">
      <c r="G17" s="181" t="s">
        <v>348</v>
      </c>
      <c r="H17" s="181"/>
      <c r="I17" s="182">
        <f>I15*5</f>
        <v>26348.474013610168</v>
      </c>
    </row>
    <row r="18" spans="1:18" x14ac:dyDescent="0.2">
      <c r="G18" t="s">
        <v>349</v>
      </c>
      <c r="I18" s="182">
        <f>I17*5</f>
        <v>131742.37006805083</v>
      </c>
    </row>
    <row r="22" spans="1:18" ht="34.5" customHeight="1" x14ac:dyDescent="0.2">
      <c r="A22" s="275" t="s">
        <v>167</v>
      </c>
      <c r="B22" s="275"/>
      <c r="I22" t="s">
        <v>168</v>
      </c>
      <c r="J22" t="s">
        <v>169</v>
      </c>
      <c r="K22" t="s">
        <v>170</v>
      </c>
      <c r="L22" s="189" t="s">
        <v>171</v>
      </c>
      <c r="M22" t="s">
        <v>172</v>
      </c>
      <c r="N22" s="26" t="s">
        <v>173</v>
      </c>
      <c r="O22" s="26" t="s">
        <v>174</v>
      </c>
      <c r="P22" s="26" t="s">
        <v>175</v>
      </c>
      <c r="Q22" s="26" t="s">
        <v>176</v>
      </c>
      <c r="R22" s="189" t="s">
        <v>23</v>
      </c>
    </row>
    <row r="23" spans="1:18" x14ac:dyDescent="0.2">
      <c r="A23" s="183" t="s">
        <v>168</v>
      </c>
      <c r="B23" s="184" t="s">
        <v>177</v>
      </c>
      <c r="E23" t="s">
        <v>178</v>
      </c>
      <c r="F23" t="s">
        <v>179</v>
      </c>
      <c r="G23" s="41">
        <f t="shared" ref="G23:G34" si="3">E3/3</f>
        <v>5526.3888888888896</v>
      </c>
      <c r="I23">
        <v>1</v>
      </c>
      <c r="J23">
        <v>2</v>
      </c>
      <c r="K23" s="41">
        <f>SUM(I3:I4)</f>
        <v>1412.4232456140353</v>
      </c>
      <c r="L23" s="190">
        <f>K23*0.008887</f>
        <v>12.552205383771932</v>
      </c>
      <c r="M23" s="28">
        <f>SUM(G23:G24)</f>
        <v>8945.3472222222226</v>
      </c>
      <c r="N23" s="43">
        <f t="shared" ref="N23:N47" si="4">M23*B26</f>
        <v>2.9975411274305555</v>
      </c>
      <c r="O23" s="43">
        <f>L23-N23</f>
        <v>9.5546642563413773</v>
      </c>
      <c r="P23" s="43">
        <f>SUM(O23:O27)</f>
        <v>129.76559968777525</v>
      </c>
      <c r="Q23" s="43">
        <f>SUM(O23:O47)</f>
        <v>921.14670425977533</v>
      </c>
      <c r="R23" s="191" t="e">
        <f>O1/P23</f>
        <v>#REF!</v>
      </c>
    </row>
    <row r="24" spans="1:18" x14ac:dyDescent="0.2">
      <c r="A24" s="185">
        <v>2024</v>
      </c>
      <c r="B24" s="187">
        <v>3.6792299999999998E-4</v>
      </c>
      <c r="G24" s="41">
        <f t="shared" si="3"/>
        <v>3418.9583333333335</v>
      </c>
      <c r="I24">
        <v>2</v>
      </c>
      <c r="J24">
        <v>5</v>
      </c>
      <c r="K24" s="41">
        <f>SUM(I3:I7)</f>
        <v>2778.87447786132</v>
      </c>
      <c r="L24" s="190">
        <f>K24*0.008887</f>
        <v>24.695857484753553</v>
      </c>
      <c r="M24" s="28">
        <f>SUM(G23:G27)</f>
        <v>19157.405423280423</v>
      </c>
      <c r="N24" s="43">
        <f t="shared" si="4"/>
        <v>5.8729899935879617</v>
      </c>
      <c r="O24" s="43">
        <f t="shared" ref="O24:O47" si="5">L24-N24</f>
        <v>18.822867491165592</v>
      </c>
    </row>
    <row r="25" spans="1:18" x14ac:dyDescent="0.2">
      <c r="A25" s="185">
        <v>2025</v>
      </c>
      <c r="B25" s="187">
        <f>B24-(C25/2)</f>
        <v>3.5150899999999996E-4</v>
      </c>
      <c r="C25">
        <f>B24-B26</f>
        <v>3.2827999999999991E-5</v>
      </c>
      <c r="G25" s="41">
        <f t="shared" si="3"/>
        <v>2563.7142857142858</v>
      </c>
      <c r="I25">
        <v>3</v>
      </c>
      <c r="J25">
        <v>7</v>
      </c>
      <c r="K25" s="41">
        <f>SUM(I3:I9)</f>
        <v>3953.6799625551976</v>
      </c>
      <c r="L25" s="190">
        <f>K25*0.008887</f>
        <v>35.136353827228042</v>
      </c>
      <c r="M25" s="28">
        <f>SUM(G23:G29)</f>
        <v>26394.72685185185</v>
      </c>
      <c r="N25" s="43">
        <f t="shared" si="4"/>
        <v>7.3386578802546287</v>
      </c>
      <c r="O25" s="43">
        <f t="shared" si="5"/>
        <v>27.797695946973413</v>
      </c>
    </row>
    <row r="26" spans="1:18" x14ac:dyDescent="0.2">
      <c r="A26" s="185">
        <v>2026</v>
      </c>
      <c r="B26" s="187">
        <v>3.3509499999999999E-4</v>
      </c>
      <c r="G26" s="41">
        <f t="shared" si="3"/>
        <v>4914.0476190476193</v>
      </c>
      <c r="I26">
        <v>4</v>
      </c>
      <c r="J26">
        <v>10</v>
      </c>
      <c r="K26" s="41">
        <f>SUM(I3:I12)</f>
        <v>4852.3489643866988</v>
      </c>
      <c r="L26" s="190">
        <f>K26*0.008887</f>
        <v>43.122825246504597</v>
      </c>
      <c r="M26" s="28">
        <f>SUM(G23:G32)</f>
        <v>31713.816961741955</v>
      </c>
      <c r="N26" s="43">
        <f t="shared" si="4"/>
        <v>8.1989413853021844</v>
      </c>
      <c r="O26" s="43">
        <f t="shared" si="5"/>
        <v>34.923883861202413</v>
      </c>
    </row>
    <row r="27" spans="1:18" x14ac:dyDescent="0.2">
      <c r="A27" s="185">
        <v>2027</v>
      </c>
      <c r="B27" s="187">
        <f>B26-(C27/2)</f>
        <v>3.0656499999999996E-4</v>
      </c>
      <c r="C27">
        <f>B26-B28</f>
        <v>5.7059999999999999E-5</v>
      </c>
      <c r="G27" s="41">
        <f t="shared" si="3"/>
        <v>2734.2962962962961</v>
      </c>
      <c r="I27">
        <v>5</v>
      </c>
      <c r="J27">
        <v>12</v>
      </c>
      <c r="K27" s="41">
        <f>SUM(I3:I14)</f>
        <v>5269.6948027220333</v>
      </c>
      <c r="L27" s="190">
        <f>K27*0.008887</f>
        <v>46.831777711790714</v>
      </c>
      <c r="M27" s="28">
        <f>SUM(G23:G34)</f>
        <v>34161.104076587893</v>
      </c>
      <c r="N27" s="43">
        <f t="shared" si="4"/>
        <v>8.1652895796982676</v>
      </c>
      <c r="O27" s="43">
        <f t="shared" si="5"/>
        <v>38.666488132092447</v>
      </c>
    </row>
    <row r="28" spans="1:18" x14ac:dyDescent="0.2">
      <c r="A28" s="185">
        <v>2028</v>
      </c>
      <c r="B28" s="187">
        <v>2.7803499999999999E-4</v>
      </c>
      <c r="G28" s="41">
        <f t="shared" si="3"/>
        <v>4211.75</v>
      </c>
      <c r="I28">
        <v>6</v>
      </c>
      <c r="J28">
        <v>12</v>
      </c>
      <c r="K28" s="41">
        <v>5172</v>
      </c>
      <c r="L28" s="190">
        <f t="shared" ref="L28:L47" si="6">K28*0.008887</f>
        <v>45.963564000000005</v>
      </c>
      <c r="M28" s="41">
        <v>34161</v>
      </c>
      <c r="N28" s="43">
        <f t="shared" si="4"/>
        <v>8.2122189975000008</v>
      </c>
      <c r="O28" s="43">
        <f t="shared" si="5"/>
        <v>37.751345002500003</v>
      </c>
    </row>
    <row r="29" spans="1:18" x14ac:dyDescent="0.2">
      <c r="A29" s="185">
        <v>2029</v>
      </c>
      <c r="B29" s="187">
        <f>B28-(C29/2)</f>
        <v>2.5852899999999996E-4</v>
      </c>
      <c r="C29">
        <f>B28-B30</f>
        <v>3.9011999999999999E-5</v>
      </c>
      <c r="G29" s="41">
        <f t="shared" si="3"/>
        <v>3025.5714285714289</v>
      </c>
      <c r="I29">
        <v>7</v>
      </c>
      <c r="J29">
        <v>12</v>
      </c>
      <c r="K29" s="41">
        <v>5172</v>
      </c>
      <c r="L29" s="190">
        <f t="shared" si="6"/>
        <v>45.963564000000005</v>
      </c>
      <c r="M29" s="41">
        <v>34161</v>
      </c>
      <c r="N29" s="43">
        <f t="shared" si="4"/>
        <v>8.2591732919999998</v>
      </c>
      <c r="O29" s="43">
        <f t="shared" si="5"/>
        <v>37.704390708000005</v>
      </c>
    </row>
    <row r="30" spans="1:18" x14ac:dyDescent="0.2">
      <c r="A30" s="185">
        <v>2030</v>
      </c>
      <c r="B30" s="187">
        <v>2.3902299999999999E-4</v>
      </c>
      <c r="G30" s="41">
        <f t="shared" si="3"/>
        <v>2618.3666666666668</v>
      </c>
      <c r="I30">
        <v>8</v>
      </c>
      <c r="J30">
        <v>12</v>
      </c>
      <c r="K30" s="41">
        <v>5172</v>
      </c>
      <c r="L30" s="190">
        <f t="shared" si="6"/>
        <v>45.963564000000005</v>
      </c>
      <c r="M30" s="41">
        <v>34161</v>
      </c>
      <c r="N30" s="43">
        <f t="shared" si="4"/>
        <v>7.5738353099999998</v>
      </c>
      <c r="O30" s="43">
        <f t="shared" si="5"/>
        <v>38.389728690000005</v>
      </c>
    </row>
    <row r="31" spans="1:18" x14ac:dyDescent="0.2">
      <c r="A31" s="185">
        <v>2031</v>
      </c>
      <c r="B31" s="187">
        <f>B30-(C31/2)</f>
        <v>2.403975E-4</v>
      </c>
      <c r="C31">
        <f>B30-B32</f>
        <v>-2.7489999999999969E-6</v>
      </c>
      <c r="G31" s="41">
        <f t="shared" si="3"/>
        <v>1307.5952380952381</v>
      </c>
      <c r="I31">
        <v>9</v>
      </c>
      <c r="J31">
        <v>12</v>
      </c>
      <c r="K31" s="41">
        <v>5172</v>
      </c>
      <c r="L31" s="190">
        <f t="shared" si="6"/>
        <v>45.963564000000005</v>
      </c>
      <c r="M31" s="41">
        <v>34161</v>
      </c>
      <c r="N31" s="43">
        <f t="shared" si="4"/>
        <v>6.8884973279999997</v>
      </c>
      <c r="O31" s="43">
        <f t="shared" si="5"/>
        <v>39.075066672000005</v>
      </c>
    </row>
    <row r="32" spans="1:18" x14ac:dyDescent="0.2">
      <c r="A32" s="185">
        <v>2032</v>
      </c>
      <c r="B32" s="187">
        <v>2.4177199999999999E-4</v>
      </c>
      <c r="G32" s="41">
        <f t="shared" si="3"/>
        <v>1393.1282051282051</v>
      </c>
      <c r="I32">
        <v>10</v>
      </c>
      <c r="J32">
        <v>12</v>
      </c>
      <c r="K32" s="41">
        <v>5172</v>
      </c>
      <c r="L32" s="190">
        <f t="shared" si="6"/>
        <v>45.963564000000005</v>
      </c>
      <c r="M32" s="41">
        <v>34161</v>
      </c>
      <c r="N32" s="43">
        <f t="shared" si="4"/>
        <v>6.8024799299999996</v>
      </c>
      <c r="O32" s="43">
        <f t="shared" si="5"/>
        <v>39.161084070000008</v>
      </c>
    </row>
    <row r="33" spans="1:15" x14ac:dyDescent="0.2">
      <c r="A33" s="185">
        <v>2033</v>
      </c>
      <c r="B33" s="187">
        <f>B32-(C33/2)</f>
        <v>2.2170999999999999E-4</v>
      </c>
      <c r="C33">
        <f>B32-B34</f>
        <v>4.0123999999999997E-5</v>
      </c>
      <c r="G33" s="41">
        <f t="shared" si="3"/>
        <v>1199.2156862745098</v>
      </c>
      <c r="I33">
        <v>11</v>
      </c>
      <c r="J33">
        <v>12</v>
      </c>
      <c r="K33" s="41">
        <v>5172</v>
      </c>
      <c r="L33" s="190">
        <f t="shared" si="6"/>
        <v>45.963564000000005</v>
      </c>
      <c r="M33" s="41">
        <v>34161</v>
      </c>
      <c r="N33" s="43">
        <f t="shared" si="4"/>
        <v>6.7164625320000004</v>
      </c>
      <c r="O33" s="43">
        <f t="shared" si="5"/>
        <v>39.247101468000004</v>
      </c>
    </row>
    <row r="34" spans="1:15" x14ac:dyDescent="0.2">
      <c r="A34" s="185">
        <v>2034</v>
      </c>
      <c r="B34" s="187">
        <v>2.0164799999999999E-4</v>
      </c>
      <c r="G34" s="41">
        <f t="shared" si="3"/>
        <v>1248.0714285714287</v>
      </c>
      <c r="I34">
        <v>12</v>
      </c>
      <c r="J34">
        <v>12</v>
      </c>
      <c r="K34" s="41">
        <v>5172</v>
      </c>
      <c r="L34" s="190">
        <f t="shared" si="6"/>
        <v>45.963564000000005</v>
      </c>
      <c r="M34" s="41">
        <v>34161</v>
      </c>
      <c r="N34" s="43">
        <f t="shared" si="4"/>
        <v>6.5612861895000005</v>
      </c>
      <c r="O34" s="43">
        <f t="shared" si="5"/>
        <v>39.402277810500003</v>
      </c>
    </row>
    <row r="35" spans="1:15" x14ac:dyDescent="0.2">
      <c r="A35" s="185">
        <v>2035</v>
      </c>
      <c r="B35" s="187">
        <f>B34-(C35/2)</f>
        <v>1.9913E-4</v>
      </c>
      <c r="C35">
        <f>B34-B36</f>
        <v>5.0359999999999836E-6</v>
      </c>
      <c r="F35" t="s">
        <v>180</v>
      </c>
      <c r="G35" s="41">
        <f>SUM(G23:G34)</f>
        <v>34161.104076587893</v>
      </c>
      <c r="I35">
        <v>13</v>
      </c>
      <c r="J35">
        <v>12</v>
      </c>
      <c r="K35" s="41">
        <v>5172</v>
      </c>
      <c r="L35" s="190">
        <f t="shared" si="6"/>
        <v>45.963564000000005</v>
      </c>
      <c r="M35" s="41">
        <v>34161</v>
      </c>
      <c r="N35" s="43">
        <f t="shared" si="4"/>
        <v>6.4061098469999997</v>
      </c>
      <c r="O35" s="43">
        <f t="shared" si="5"/>
        <v>39.557454153000009</v>
      </c>
    </row>
    <row r="36" spans="1:15" x14ac:dyDescent="0.2">
      <c r="A36" s="185">
        <v>2036</v>
      </c>
      <c r="B36" s="187">
        <v>1.9661200000000001E-4</v>
      </c>
      <c r="I36">
        <v>14</v>
      </c>
      <c r="J36">
        <v>12</v>
      </c>
      <c r="K36" s="41">
        <v>5172</v>
      </c>
      <c r="L36" s="190">
        <f t="shared" si="6"/>
        <v>45.963564000000005</v>
      </c>
      <c r="M36" s="41">
        <v>34161</v>
      </c>
      <c r="N36" s="43">
        <f t="shared" si="4"/>
        <v>6.451339011</v>
      </c>
      <c r="O36" s="43">
        <f t="shared" si="5"/>
        <v>39.512224989000003</v>
      </c>
    </row>
    <row r="37" spans="1:15" x14ac:dyDescent="0.2">
      <c r="A37" s="185">
        <v>2037</v>
      </c>
      <c r="B37" s="187">
        <f>B36-(C37/2)</f>
        <v>1.9206950000000001E-4</v>
      </c>
      <c r="C37">
        <f>B36-B38</f>
        <v>9.0850000000000121E-6</v>
      </c>
      <c r="I37">
        <v>15</v>
      </c>
      <c r="J37">
        <v>12</v>
      </c>
      <c r="K37" s="41">
        <v>5172</v>
      </c>
      <c r="L37" s="190">
        <f t="shared" si="6"/>
        <v>45.963564000000005</v>
      </c>
      <c r="M37" s="41">
        <v>34161</v>
      </c>
      <c r="N37" s="43">
        <f t="shared" si="4"/>
        <v>6.4965681750000002</v>
      </c>
      <c r="O37" s="43">
        <f t="shared" si="5"/>
        <v>39.466995825000005</v>
      </c>
    </row>
    <row r="38" spans="1:15" x14ac:dyDescent="0.2">
      <c r="A38" s="185">
        <v>2038</v>
      </c>
      <c r="B38" s="187">
        <v>1.87527E-4</v>
      </c>
      <c r="I38">
        <v>16</v>
      </c>
      <c r="J38">
        <v>12</v>
      </c>
      <c r="K38" s="41">
        <v>5172</v>
      </c>
      <c r="L38" s="190">
        <f t="shared" si="6"/>
        <v>45.963564000000005</v>
      </c>
      <c r="M38" s="41">
        <v>34161</v>
      </c>
      <c r="N38" s="43">
        <f t="shared" si="4"/>
        <v>6.2429569109999994</v>
      </c>
      <c r="O38" s="43">
        <f t="shared" si="5"/>
        <v>39.720607089000005</v>
      </c>
    </row>
    <row r="39" spans="1:15" x14ac:dyDescent="0.2">
      <c r="A39" s="185">
        <v>2039</v>
      </c>
      <c r="B39" s="187">
        <f>B38-(C39/2)</f>
        <v>1.88851E-4</v>
      </c>
      <c r="C39">
        <f>B38-B40</f>
        <v>-2.6480000000000058E-6</v>
      </c>
      <c r="I39">
        <v>17</v>
      </c>
      <c r="J39">
        <v>12</v>
      </c>
      <c r="K39" s="41">
        <v>5172</v>
      </c>
      <c r="L39" s="190">
        <f t="shared" si="6"/>
        <v>45.963564000000005</v>
      </c>
      <c r="M39" s="41">
        <v>34161</v>
      </c>
      <c r="N39" s="43">
        <f t="shared" si="4"/>
        <v>5.9893456469999995</v>
      </c>
      <c r="O39" s="43">
        <f t="shared" si="5"/>
        <v>39.974218353000005</v>
      </c>
    </row>
    <row r="40" spans="1:15" x14ac:dyDescent="0.2">
      <c r="A40" s="185">
        <v>2040</v>
      </c>
      <c r="B40" s="187">
        <v>1.90175E-4</v>
      </c>
      <c r="I40">
        <v>18</v>
      </c>
      <c r="J40">
        <v>12</v>
      </c>
      <c r="K40" s="41">
        <v>5172</v>
      </c>
      <c r="L40" s="190">
        <f t="shared" si="6"/>
        <v>45.963564000000005</v>
      </c>
      <c r="M40" s="41">
        <v>34161</v>
      </c>
      <c r="N40" s="43">
        <f t="shared" si="4"/>
        <v>5.9614361100000002</v>
      </c>
      <c r="O40" s="43">
        <f t="shared" si="5"/>
        <v>40.002127890000004</v>
      </c>
    </row>
    <row r="41" spans="1:15" x14ac:dyDescent="0.2">
      <c r="A41" s="185">
        <v>2041</v>
      </c>
      <c r="B41" s="187">
        <f>B40-(C41/2)</f>
        <v>1.8275099999999999E-4</v>
      </c>
      <c r="C41">
        <f>B40-B42</f>
        <v>1.4848000000000004E-5</v>
      </c>
      <c r="I41">
        <v>19</v>
      </c>
      <c r="J41">
        <v>12</v>
      </c>
      <c r="K41" s="41">
        <v>5172</v>
      </c>
      <c r="L41" s="190">
        <f t="shared" si="6"/>
        <v>45.963564000000005</v>
      </c>
      <c r="M41" s="41">
        <v>34161</v>
      </c>
      <c r="N41" s="43">
        <f t="shared" si="4"/>
        <v>5.933526573</v>
      </c>
      <c r="O41" s="43">
        <f t="shared" si="5"/>
        <v>40.030037427000003</v>
      </c>
    </row>
    <row r="42" spans="1:15" x14ac:dyDescent="0.2">
      <c r="A42" s="185">
        <v>2042</v>
      </c>
      <c r="B42" s="187">
        <v>1.75327E-4</v>
      </c>
      <c r="I42">
        <v>20</v>
      </c>
      <c r="J42">
        <v>12</v>
      </c>
      <c r="K42" s="41">
        <v>5172</v>
      </c>
      <c r="L42" s="190">
        <f t="shared" si="6"/>
        <v>45.963564000000005</v>
      </c>
      <c r="M42" s="41">
        <v>34161</v>
      </c>
      <c r="N42" s="43">
        <f t="shared" si="4"/>
        <v>5.8600804229999994</v>
      </c>
      <c r="O42" s="43">
        <f t="shared" si="5"/>
        <v>40.103483577000006</v>
      </c>
    </row>
    <row r="43" spans="1:15" x14ac:dyDescent="0.2">
      <c r="A43" s="185">
        <v>2043</v>
      </c>
      <c r="B43" s="187">
        <f>B42-(C43/2)</f>
        <v>1.7451000000000001E-4</v>
      </c>
      <c r="C43">
        <f>B42-B44</f>
        <v>1.634000000000005E-6</v>
      </c>
      <c r="I43">
        <v>21</v>
      </c>
      <c r="J43">
        <v>12</v>
      </c>
      <c r="K43" s="41">
        <v>5172</v>
      </c>
      <c r="L43" s="190">
        <f t="shared" si="6"/>
        <v>45.963564000000005</v>
      </c>
      <c r="M43" s="41">
        <v>34161</v>
      </c>
      <c r="N43" s="43">
        <f t="shared" si="4"/>
        <v>5.7866342729999998</v>
      </c>
      <c r="O43" s="43">
        <f t="shared" si="5"/>
        <v>40.176929727000008</v>
      </c>
    </row>
    <row r="44" spans="1:15" x14ac:dyDescent="0.2">
      <c r="A44" s="185">
        <v>2044</v>
      </c>
      <c r="B44" s="187">
        <v>1.7369299999999999E-4</v>
      </c>
      <c r="I44">
        <v>22</v>
      </c>
      <c r="J44">
        <v>12</v>
      </c>
      <c r="K44" s="41">
        <v>5172</v>
      </c>
      <c r="L44" s="190">
        <f t="shared" si="6"/>
        <v>45.963564000000005</v>
      </c>
      <c r="M44" s="41">
        <v>34161</v>
      </c>
      <c r="N44" s="43">
        <f t="shared" si="4"/>
        <v>5.6124814950000008</v>
      </c>
      <c r="O44" s="43">
        <f t="shared" si="5"/>
        <v>40.351082505000008</v>
      </c>
    </row>
    <row r="45" spans="1:15" x14ac:dyDescent="0.2">
      <c r="A45" s="185">
        <v>2045</v>
      </c>
      <c r="B45" s="187">
        <f>B44-(C45/2)</f>
        <v>1.7154299999999999E-4</v>
      </c>
      <c r="C45">
        <f>B44-B46</f>
        <v>4.2999999999999961E-6</v>
      </c>
      <c r="I45">
        <v>23</v>
      </c>
      <c r="J45">
        <v>12</v>
      </c>
      <c r="K45" s="41">
        <v>5172</v>
      </c>
      <c r="L45" s="190">
        <f t="shared" si="6"/>
        <v>45.963564000000005</v>
      </c>
      <c r="M45" s="41">
        <v>34161</v>
      </c>
      <c r="N45" s="43">
        <f t="shared" si="4"/>
        <v>5.4383287170000001</v>
      </c>
      <c r="O45" s="43">
        <f t="shared" si="5"/>
        <v>40.525235283000008</v>
      </c>
    </row>
    <row r="46" spans="1:15" x14ac:dyDescent="0.2">
      <c r="A46" s="185">
        <v>2046</v>
      </c>
      <c r="B46" s="187">
        <v>1.69393E-4</v>
      </c>
      <c r="I46">
        <v>24</v>
      </c>
      <c r="J46">
        <v>12</v>
      </c>
      <c r="K46" s="41">
        <v>5172</v>
      </c>
      <c r="L46" s="190">
        <f t="shared" si="6"/>
        <v>45.963564000000005</v>
      </c>
      <c r="M46" s="41">
        <v>34161</v>
      </c>
      <c r="N46" s="43">
        <f t="shared" si="4"/>
        <v>5.3785811280000004</v>
      </c>
      <c r="O46" s="43">
        <f t="shared" si="5"/>
        <v>40.584982872000005</v>
      </c>
    </row>
    <row r="47" spans="1:15" x14ac:dyDescent="0.2">
      <c r="A47" s="185">
        <v>2047</v>
      </c>
      <c r="B47" s="187">
        <f>B46-(C47/2)</f>
        <v>1.6429500000000001E-4</v>
      </c>
      <c r="C47">
        <f>B46-B48</f>
        <v>1.0195999999999995E-5</v>
      </c>
      <c r="I47">
        <v>25</v>
      </c>
      <c r="J47">
        <v>12</v>
      </c>
      <c r="K47" s="41">
        <v>5172</v>
      </c>
      <c r="L47" s="190">
        <f t="shared" si="6"/>
        <v>45.963564000000005</v>
      </c>
      <c r="M47" s="41">
        <v>34161</v>
      </c>
      <c r="N47" s="43">
        <f t="shared" si="4"/>
        <v>5.3188335389999999</v>
      </c>
      <c r="O47" s="43">
        <f t="shared" si="5"/>
        <v>40.644730461000009</v>
      </c>
    </row>
    <row r="48" spans="1:15" x14ac:dyDescent="0.2">
      <c r="A48" s="185">
        <v>2048</v>
      </c>
      <c r="B48" s="187">
        <v>1.59197E-4</v>
      </c>
    </row>
    <row r="49" spans="1:14" x14ac:dyDescent="0.2">
      <c r="A49" s="185">
        <v>2049</v>
      </c>
      <c r="B49" s="187">
        <f>B48-(C49/2)</f>
        <v>1.57448E-4</v>
      </c>
      <c r="C49">
        <f>B48-B50</f>
        <v>3.4979999999999994E-6</v>
      </c>
      <c r="J49" s="214" t="s">
        <v>181</v>
      </c>
      <c r="K49" s="28">
        <f>SUM(K23:K27)</f>
        <v>18267.021453139285</v>
      </c>
      <c r="L49" t="s">
        <v>182</v>
      </c>
      <c r="M49" s="28">
        <f>SUM(M23:M27)</f>
        <v>120372.40053568434</v>
      </c>
      <c r="N49" s="43">
        <f>SUM(N23:N27)</f>
        <v>32.573419966273597</v>
      </c>
    </row>
    <row r="50" spans="1:14" x14ac:dyDescent="0.2">
      <c r="A50" s="185">
        <v>2050</v>
      </c>
      <c r="B50" s="187">
        <v>1.55699E-4</v>
      </c>
      <c r="J50" s="214" t="s">
        <v>183</v>
      </c>
      <c r="K50" s="28">
        <f>SUM(K23:K47)</f>
        <v>121707.02145313928</v>
      </c>
      <c r="L50" t="s">
        <v>184</v>
      </c>
      <c r="M50" s="28">
        <f>SUM(M23:M47)</f>
        <v>803592.40053568431</v>
      </c>
      <c r="N50" s="43">
        <f>SUM(N23:N47)</f>
        <v>160.46359539427357</v>
      </c>
    </row>
    <row r="51" spans="1:14" x14ac:dyDescent="0.2">
      <c r="A51" s="186" t="s">
        <v>185</v>
      </c>
      <c r="B51" s="188">
        <f>AVERAGE(B24:B30)</f>
        <v>3.0523985714285713E-4</v>
      </c>
    </row>
    <row r="52" spans="1:14" x14ac:dyDescent="0.2">
      <c r="A52" s="186" t="s">
        <v>186</v>
      </c>
      <c r="B52" s="188">
        <f>AVERAGE(B31:B50)</f>
        <v>1.8718740000000001E-4</v>
      </c>
    </row>
  </sheetData>
  <mergeCells count="1">
    <mergeCell ref="A22:B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EC8C7-BA66-4EA5-A746-EFF71726C8A8}">
  <dimension ref="A1:Q94"/>
  <sheetViews>
    <sheetView zoomScale="85" zoomScaleNormal="85" workbookViewId="0">
      <selection activeCell="H1" sqref="H1"/>
    </sheetView>
  </sheetViews>
  <sheetFormatPr baseColWidth="10" defaultColWidth="8.83203125" defaultRowHeight="16" x14ac:dyDescent="0.2"/>
  <cols>
    <col min="2" max="2" width="17.6640625" bestFit="1" customWidth="1"/>
    <col min="3" max="3" width="19.5" bestFit="1" customWidth="1"/>
    <col min="5" max="5" width="18.33203125" bestFit="1" customWidth="1"/>
    <col min="6" max="6" width="22.5" bestFit="1" customWidth="1"/>
    <col min="7" max="7" width="22.5" customWidth="1"/>
    <col min="8" max="8" width="29.83203125" bestFit="1" customWidth="1"/>
    <col min="9" max="9" width="20.1640625" bestFit="1" customWidth="1"/>
    <col min="10" max="10" width="12.1640625" bestFit="1" customWidth="1"/>
    <col min="11" max="11" width="20.1640625" bestFit="1" customWidth="1"/>
    <col min="12" max="12" width="16" bestFit="1" customWidth="1"/>
    <col min="13" max="13" width="11.83203125" bestFit="1" customWidth="1"/>
    <col min="14" max="14" width="10.6640625" bestFit="1" customWidth="1"/>
    <col min="15" max="15" width="11.6640625" bestFit="1" customWidth="1"/>
    <col min="16" max="16" width="13.1640625" bestFit="1" customWidth="1"/>
    <col min="17" max="17" width="8.6640625" bestFit="1" customWidth="1"/>
  </cols>
  <sheetData>
    <row r="1" spans="1:13" ht="17" thickBot="1" x14ac:dyDescent="0.25">
      <c r="H1" s="157">
        <f>SUM(H3:H54)</f>
        <v>1747540</v>
      </c>
      <c r="I1" s="157">
        <f t="shared" ref="I1:J1" si="0">SUM(I3:I54)</f>
        <v>2185000</v>
      </c>
      <c r="J1" s="157">
        <f t="shared" si="0"/>
        <v>437460</v>
      </c>
      <c r="K1" s="156">
        <v>240000</v>
      </c>
      <c r="L1" s="157">
        <f>SUM(J1,K1)</f>
        <v>677460</v>
      </c>
      <c r="M1" s="172" t="e">
        <f>SUM(#REF!)</f>
        <v>#REF!</v>
      </c>
    </row>
    <row r="2" spans="1:13" ht="35" thickBot="1" x14ac:dyDescent="0.25">
      <c r="A2" s="132" t="s">
        <v>154</v>
      </c>
      <c r="B2" s="133" t="s">
        <v>155</v>
      </c>
      <c r="C2" s="133" t="s">
        <v>188</v>
      </c>
      <c r="D2" s="133" t="s">
        <v>157</v>
      </c>
      <c r="E2" s="133" t="s">
        <v>158</v>
      </c>
      <c r="F2" s="133" t="s">
        <v>159</v>
      </c>
      <c r="G2" s="177" t="s">
        <v>160</v>
      </c>
      <c r="H2" s="177" t="s">
        <v>189</v>
      </c>
      <c r="I2" s="177" t="s">
        <v>161</v>
      </c>
      <c r="J2" s="177" t="s">
        <v>190</v>
      </c>
      <c r="K2" s="171" t="s">
        <v>162</v>
      </c>
      <c r="L2" s="171" t="s">
        <v>191</v>
      </c>
      <c r="M2" s="171" t="s">
        <v>192</v>
      </c>
    </row>
    <row r="3" spans="1:13" ht="17" thickBot="1" x14ac:dyDescent="0.25">
      <c r="A3" s="134">
        <v>1</v>
      </c>
      <c r="B3" s="135" t="s">
        <v>193</v>
      </c>
      <c r="C3" s="136">
        <v>12400</v>
      </c>
      <c r="D3" s="135" t="s">
        <v>194</v>
      </c>
      <c r="E3" s="135">
        <v>14</v>
      </c>
      <c r="F3" s="135" t="s">
        <v>195</v>
      </c>
      <c r="G3" s="197">
        <f>E3*C3</f>
        <v>173600</v>
      </c>
      <c r="H3" s="197">
        <v>25100</v>
      </c>
      <c r="I3" s="197">
        <v>40000</v>
      </c>
      <c r="J3" s="197">
        <f>I3-H3</f>
        <v>14900</v>
      </c>
    </row>
    <row r="4" spans="1:13" ht="17" thickBot="1" x14ac:dyDescent="0.25">
      <c r="A4" s="134">
        <v>2</v>
      </c>
      <c r="B4" s="135" t="s">
        <v>350</v>
      </c>
      <c r="C4" s="136">
        <v>12400</v>
      </c>
      <c r="D4" s="135" t="s">
        <v>194</v>
      </c>
      <c r="E4" s="135">
        <v>19</v>
      </c>
      <c r="F4" s="135" t="s">
        <v>341</v>
      </c>
      <c r="G4" s="197">
        <f t="shared" ref="G4:G34" si="1">E4*C4</f>
        <v>235600</v>
      </c>
      <c r="H4" s="197">
        <v>34600</v>
      </c>
      <c r="I4" s="197">
        <v>55000</v>
      </c>
      <c r="J4" s="197">
        <f t="shared" ref="J4:J34" si="2">I4-H4</f>
        <v>20400</v>
      </c>
    </row>
    <row r="5" spans="1:13" ht="17" thickBot="1" x14ac:dyDescent="0.25">
      <c r="A5" s="134">
        <v>3</v>
      </c>
      <c r="B5" s="135" t="s">
        <v>342</v>
      </c>
      <c r="C5" s="136">
        <v>12400</v>
      </c>
      <c r="D5" s="135" t="s">
        <v>194</v>
      </c>
      <c r="E5" s="135">
        <v>24</v>
      </c>
      <c r="F5" s="135" t="s">
        <v>341</v>
      </c>
      <c r="G5" s="197">
        <f t="shared" si="1"/>
        <v>297600</v>
      </c>
      <c r="H5" s="197">
        <v>38060</v>
      </c>
      <c r="I5" s="197">
        <v>40000</v>
      </c>
      <c r="J5" s="197">
        <f t="shared" si="2"/>
        <v>1940</v>
      </c>
    </row>
    <row r="6" spans="1:13" ht="17" thickBot="1" x14ac:dyDescent="0.25">
      <c r="A6" s="134">
        <v>4</v>
      </c>
      <c r="B6" s="135" t="s">
        <v>342</v>
      </c>
      <c r="C6" s="136">
        <v>12400</v>
      </c>
      <c r="D6" s="135" t="s">
        <v>194</v>
      </c>
      <c r="E6" s="135">
        <v>24</v>
      </c>
      <c r="F6" s="135" t="s">
        <v>341</v>
      </c>
      <c r="G6" s="197">
        <f t="shared" si="1"/>
        <v>297600</v>
      </c>
      <c r="H6" s="197">
        <v>38060</v>
      </c>
      <c r="I6" s="197">
        <v>40000</v>
      </c>
      <c r="J6" s="197">
        <f t="shared" si="2"/>
        <v>1940</v>
      </c>
    </row>
    <row r="7" spans="1:13" ht="17" thickBot="1" x14ac:dyDescent="0.25">
      <c r="A7" s="134">
        <v>5</v>
      </c>
      <c r="B7" s="135" t="s">
        <v>342</v>
      </c>
      <c r="C7" s="136">
        <v>12400</v>
      </c>
      <c r="D7" s="135" t="s">
        <v>194</v>
      </c>
      <c r="E7" s="135">
        <v>24</v>
      </c>
      <c r="F7" s="135" t="s">
        <v>341</v>
      </c>
      <c r="G7" s="197">
        <f t="shared" si="1"/>
        <v>297600</v>
      </c>
      <c r="H7" s="197">
        <v>38060</v>
      </c>
      <c r="I7" s="197">
        <v>40000</v>
      </c>
      <c r="J7" s="197">
        <f t="shared" si="2"/>
        <v>1940</v>
      </c>
    </row>
    <row r="8" spans="1:13" ht="17" thickBot="1" x14ac:dyDescent="0.25">
      <c r="A8" s="134">
        <v>6</v>
      </c>
      <c r="B8" s="135" t="s">
        <v>342</v>
      </c>
      <c r="C8" s="136">
        <v>12400</v>
      </c>
      <c r="D8" s="135" t="s">
        <v>194</v>
      </c>
      <c r="E8" s="135">
        <v>24</v>
      </c>
      <c r="F8" s="135" t="s">
        <v>341</v>
      </c>
      <c r="G8" s="197">
        <f t="shared" si="1"/>
        <v>297600</v>
      </c>
      <c r="H8" s="197">
        <v>38060</v>
      </c>
      <c r="I8" s="197">
        <v>40000</v>
      </c>
      <c r="J8" s="197">
        <f t="shared" si="2"/>
        <v>1940</v>
      </c>
    </row>
    <row r="9" spans="1:13" ht="17" thickBot="1" x14ac:dyDescent="0.25">
      <c r="A9" s="134">
        <v>7</v>
      </c>
      <c r="B9" s="135" t="s">
        <v>343</v>
      </c>
      <c r="C9" s="136">
        <v>12400</v>
      </c>
      <c r="D9" s="135" t="s">
        <v>194</v>
      </c>
      <c r="E9" s="135">
        <v>24</v>
      </c>
      <c r="F9" s="135" t="s">
        <v>341</v>
      </c>
      <c r="G9" s="197">
        <f t="shared" si="1"/>
        <v>297600</v>
      </c>
      <c r="H9" s="197">
        <v>38060</v>
      </c>
      <c r="I9" s="197">
        <v>40000</v>
      </c>
      <c r="J9" s="197">
        <f t="shared" si="2"/>
        <v>1940</v>
      </c>
    </row>
    <row r="10" spans="1:13" ht="17" thickBot="1" x14ac:dyDescent="0.25">
      <c r="A10" s="134">
        <v>8</v>
      </c>
      <c r="B10" s="135" t="s">
        <v>343</v>
      </c>
      <c r="C10" s="136">
        <v>12400</v>
      </c>
      <c r="D10" s="135" t="s">
        <v>194</v>
      </c>
      <c r="E10" s="135">
        <v>24</v>
      </c>
      <c r="F10" s="135" t="s">
        <v>341</v>
      </c>
      <c r="G10" s="197">
        <f t="shared" si="1"/>
        <v>297600</v>
      </c>
      <c r="H10" s="197">
        <v>38060</v>
      </c>
      <c r="I10" s="197">
        <v>40000</v>
      </c>
      <c r="J10" s="197">
        <f t="shared" si="2"/>
        <v>1940</v>
      </c>
    </row>
    <row r="11" spans="1:13" ht="17" thickBot="1" x14ac:dyDescent="0.25">
      <c r="A11" s="134">
        <v>9</v>
      </c>
      <c r="B11" s="135" t="s">
        <v>343</v>
      </c>
      <c r="C11" s="136">
        <v>12400</v>
      </c>
      <c r="D11" s="135" t="s">
        <v>194</v>
      </c>
      <c r="E11" s="135">
        <v>24</v>
      </c>
      <c r="F11" s="135" t="s">
        <v>341</v>
      </c>
      <c r="G11" s="197">
        <f t="shared" si="1"/>
        <v>297600</v>
      </c>
      <c r="H11" s="197">
        <v>38060</v>
      </c>
      <c r="I11" s="197">
        <v>40000</v>
      </c>
      <c r="J11" s="197">
        <f t="shared" si="2"/>
        <v>1940</v>
      </c>
    </row>
    <row r="12" spans="1:13" ht="17" thickBot="1" x14ac:dyDescent="0.25">
      <c r="A12" s="134">
        <v>10</v>
      </c>
      <c r="B12" s="135" t="s">
        <v>343</v>
      </c>
      <c r="C12" s="136">
        <v>12400</v>
      </c>
      <c r="D12" s="135" t="s">
        <v>194</v>
      </c>
      <c r="E12" s="135">
        <v>24</v>
      </c>
      <c r="F12" s="135" t="s">
        <v>341</v>
      </c>
      <c r="G12" s="197">
        <f t="shared" si="1"/>
        <v>297600</v>
      </c>
      <c r="H12" s="197">
        <v>38060</v>
      </c>
      <c r="I12" s="197">
        <v>40000</v>
      </c>
      <c r="J12" s="197">
        <f t="shared" si="2"/>
        <v>1940</v>
      </c>
    </row>
    <row r="13" spans="1:13" ht="17" thickBot="1" x14ac:dyDescent="0.25">
      <c r="A13" s="134">
        <v>11</v>
      </c>
      <c r="B13" s="135" t="s">
        <v>193</v>
      </c>
      <c r="C13" s="136">
        <v>12400</v>
      </c>
      <c r="D13" s="135" t="s">
        <v>194</v>
      </c>
      <c r="E13" s="135">
        <v>14</v>
      </c>
      <c r="F13" s="135" t="s">
        <v>195</v>
      </c>
      <c r="G13" s="197">
        <f t="shared" si="1"/>
        <v>173600</v>
      </c>
      <c r="H13" s="197">
        <v>25100</v>
      </c>
      <c r="I13" s="197">
        <v>40000</v>
      </c>
      <c r="J13" s="197">
        <f t="shared" si="2"/>
        <v>14900</v>
      </c>
    </row>
    <row r="14" spans="1:13" ht="17" thickBot="1" x14ac:dyDescent="0.25">
      <c r="A14" s="134">
        <v>12</v>
      </c>
      <c r="B14" s="135" t="s">
        <v>350</v>
      </c>
      <c r="C14" s="136">
        <v>12400</v>
      </c>
      <c r="D14" s="135" t="s">
        <v>194</v>
      </c>
      <c r="E14" s="135">
        <v>19</v>
      </c>
      <c r="F14" s="135" t="s">
        <v>341</v>
      </c>
      <c r="G14" s="197">
        <f t="shared" si="1"/>
        <v>235600</v>
      </c>
      <c r="H14" s="197">
        <v>34600</v>
      </c>
      <c r="I14" s="197">
        <v>55000</v>
      </c>
      <c r="J14" s="197">
        <f t="shared" si="2"/>
        <v>20400</v>
      </c>
    </row>
    <row r="15" spans="1:13" ht="17" thickBot="1" x14ac:dyDescent="0.25">
      <c r="A15" s="134">
        <v>13</v>
      </c>
      <c r="B15" s="135" t="s">
        <v>342</v>
      </c>
      <c r="C15" s="136">
        <v>12400</v>
      </c>
      <c r="D15" s="135" t="s">
        <v>194</v>
      </c>
      <c r="E15" s="135">
        <v>24</v>
      </c>
      <c r="F15" s="135" t="s">
        <v>341</v>
      </c>
      <c r="G15" s="197">
        <f t="shared" si="1"/>
        <v>297600</v>
      </c>
      <c r="H15" s="197">
        <v>38060</v>
      </c>
      <c r="I15" s="197">
        <v>40000</v>
      </c>
      <c r="J15" s="197">
        <f t="shared" si="2"/>
        <v>1940</v>
      </c>
    </row>
    <row r="16" spans="1:13" ht="17" thickBot="1" x14ac:dyDescent="0.25">
      <c r="A16" s="134">
        <v>14</v>
      </c>
      <c r="B16" s="135" t="s">
        <v>342</v>
      </c>
      <c r="C16" s="136">
        <v>12400</v>
      </c>
      <c r="D16" s="135" t="s">
        <v>194</v>
      </c>
      <c r="E16" s="135">
        <v>24</v>
      </c>
      <c r="F16" s="135" t="s">
        <v>341</v>
      </c>
      <c r="G16" s="197">
        <f t="shared" si="1"/>
        <v>297600</v>
      </c>
      <c r="H16" s="197">
        <v>38060</v>
      </c>
      <c r="I16" s="197">
        <v>40000</v>
      </c>
      <c r="J16" s="197">
        <f t="shared" si="2"/>
        <v>1940</v>
      </c>
    </row>
    <row r="17" spans="1:10" ht="17" thickBot="1" x14ac:dyDescent="0.25">
      <c r="A17" s="134">
        <v>15</v>
      </c>
      <c r="B17" s="135" t="s">
        <v>342</v>
      </c>
      <c r="C17" s="136">
        <v>12400</v>
      </c>
      <c r="D17" s="135" t="s">
        <v>194</v>
      </c>
      <c r="E17" s="135">
        <v>24</v>
      </c>
      <c r="F17" s="135" t="s">
        <v>341</v>
      </c>
      <c r="G17" s="197">
        <f t="shared" si="1"/>
        <v>297600</v>
      </c>
      <c r="H17" s="197">
        <v>38060</v>
      </c>
      <c r="I17" s="197">
        <v>40000</v>
      </c>
      <c r="J17" s="197">
        <f t="shared" si="2"/>
        <v>1940</v>
      </c>
    </row>
    <row r="18" spans="1:10" ht="17" thickBot="1" x14ac:dyDescent="0.25">
      <c r="A18" s="134">
        <v>16</v>
      </c>
      <c r="B18" s="135" t="s">
        <v>342</v>
      </c>
      <c r="C18" s="136">
        <v>12400</v>
      </c>
      <c r="D18" s="135" t="s">
        <v>194</v>
      </c>
      <c r="E18" s="135">
        <v>24</v>
      </c>
      <c r="F18" s="135" t="s">
        <v>341</v>
      </c>
      <c r="G18" s="197">
        <f t="shared" si="1"/>
        <v>297600</v>
      </c>
      <c r="H18" s="197">
        <v>38060</v>
      </c>
      <c r="I18" s="197">
        <v>40000</v>
      </c>
      <c r="J18" s="197">
        <f t="shared" si="2"/>
        <v>1940</v>
      </c>
    </row>
    <row r="19" spans="1:10" ht="17" thickBot="1" x14ac:dyDescent="0.25">
      <c r="A19" s="134">
        <v>17</v>
      </c>
      <c r="B19" s="135" t="s">
        <v>343</v>
      </c>
      <c r="C19" s="136">
        <v>12400</v>
      </c>
      <c r="D19" s="135" t="s">
        <v>194</v>
      </c>
      <c r="E19" s="135">
        <v>24</v>
      </c>
      <c r="F19" s="135" t="s">
        <v>341</v>
      </c>
      <c r="G19" s="197">
        <f t="shared" si="1"/>
        <v>297600</v>
      </c>
      <c r="H19" s="197">
        <v>38060</v>
      </c>
      <c r="I19" s="197">
        <v>40000</v>
      </c>
      <c r="J19" s="197">
        <f t="shared" si="2"/>
        <v>1940</v>
      </c>
    </row>
    <row r="20" spans="1:10" ht="17" thickBot="1" x14ac:dyDescent="0.25">
      <c r="A20" s="134">
        <v>18</v>
      </c>
      <c r="B20" s="135" t="s">
        <v>343</v>
      </c>
      <c r="C20" s="136">
        <v>12400</v>
      </c>
      <c r="D20" s="135" t="s">
        <v>194</v>
      </c>
      <c r="E20" s="135">
        <v>24</v>
      </c>
      <c r="F20" s="135" t="s">
        <v>341</v>
      </c>
      <c r="G20" s="197">
        <f t="shared" si="1"/>
        <v>297600</v>
      </c>
      <c r="H20" s="197">
        <v>38060</v>
      </c>
      <c r="I20" s="197">
        <v>40000</v>
      </c>
      <c r="J20" s="197">
        <f t="shared" si="2"/>
        <v>1940</v>
      </c>
    </row>
    <row r="21" spans="1:10" ht="17" thickBot="1" x14ac:dyDescent="0.25">
      <c r="A21" s="134">
        <v>19</v>
      </c>
      <c r="B21" s="135" t="s">
        <v>343</v>
      </c>
      <c r="C21" s="136">
        <v>12400</v>
      </c>
      <c r="D21" s="135" t="s">
        <v>194</v>
      </c>
      <c r="E21" s="135">
        <v>24</v>
      </c>
      <c r="F21" s="135" t="s">
        <v>341</v>
      </c>
      <c r="G21" s="197">
        <f t="shared" si="1"/>
        <v>297600</v>
      </c>
      <c r="H21" s="197">
        <v>38060</v>
      </c>
      <c r="I21" s="197">
        <v>40000</v>
      </c>
      <c r="J21" s="197">
        <f t="shared" si="2"/>
        <v>1940</v>
      </c>
    </row>
    <row r="22" spans="1:10" ht="17" thickBot="1" x14ac:dyDescent="0.25">
      <c r="A22" s="134">
        <v>20</v>
      </c>
      <c r="B22" s="135" t="s">
        <v>343</v>
      </c>
      <c r="C22" s="136">
        <v>12400</v>
      </c>
      <c r="D22" s="135" t="s">
        <v>194</v>
      </c>
      <c r="E22" s="135">
        <v>24</v>
      </c>
      <c r="F22" s="135" t="s">
        <v>341</v>
      </c>
      <c r="G22" s="197">
        <f t="shared" si="1"/>
        <v>297600</v>
      </c>
      <c r="H22" s="197">
        <v>38060</v>
      </c>
      <c r="I22" s="197">
        <v>40000</v>
      </c>
      <c r="J22" s="197">
        <f t="shared" si="2"/>
        <v>1940</v>
      </c>
    </row>
    <row r="23" spans="1:10" ht="17" thickBot="1" x14ac:dyDescent="0.25">
      <c r="A23" s="134">
        <v>21</v>
      </c>
      <c r="B23" s="135" t="s">
        <v>193</v>
      </c>
      <c r="C23" s="136">
        <v>12400</v>
      </c>
      <c r="D23" s="135" t="s">
        <v>194</v>
      </c>
      <c r="E23" s="135">
        <v>14</v>
      </c>
      <c r="F23" s="135" t="s">
        <v>195</v>
      </c>
      <c r="G23" s="197">
        <f t="shared" si="1"/>
        <v>173600</v>
      </c>
      <c r="H23" s="197">
        <v>25100</v>
      </c>
      <c r="I23" s="197">
        <v>40000</v>
      </c>
      <c r="J23" s="197">
        <f t="shared" si="2"/>
        <v>14900</v>
      </c>
    </row>
    <row r="24" spans="1:10" ht="17" thickBot="1" x14ac:dyDescent="0.25">
      <c r="A24" s="134">
        <v>22</v>
      </c>
      <c r="B24" s="135" t="s">
        <v>350</v>
      </c>
      <c r="C24" s="136">
        <v>12400</v>
      </c>
      <c r="D24" s="135" t="s">
        <v>194</v>
      </c>
      <c r="E24" s="135">
        <v>19</v>
      </c>
      <c r="F24" s="135" t="s">
        <v>341</v>
      </c>
      <c r="G24" s="197">
        <f t="shared" si="1"/>
        <v>235600</v>
      </c>
      <c r="H24" s="197">
        <v>34600</v>
      </c>
      <c r="I24" s="197">
        <v>55000</v>
      </c>
      <c r="J24" s="197">
        <f t="shared" si="2"/>
        <v>20400</v>
      </c>
    </row>
    <row r="25" spans="1:10" ht="17" thickBot="1" x14ac:dyDescent="0.25">
      <c r="A25" s="134">
        <v>23</v>
      </c>
      <c r="B25" s="135" t="s">
        <v>342</v>
      </c>
      <c r="C25" s="136">
        <v>12400</v>
      </c>
      <c r="D25" s="135" t="s">
        <v>194</v>
      </c>
      <c r="E25" s="135">
        <v>24</v>
      </c>
      <c r="F25" s="135" t="s">
        <v>341</v>
      </c>
      <c r="G25" s="197">
        <f t="shared" si="1"/>
        <v>297600</v>
      </c>
      <c r="H25" s="197">
        <v>38060</v>
      </c>
      <c r="I25" s="197">
        <v>40000</v>
      </c>
      <c r="J25" s="197">
        <f t="shared" si="2"/>
        <v>1940</v>
      </c>
    </row>
    <row r="26" spans="1:10" ht="17" thickBot="1" x14ac:dyDescent="0.25">
      <c r="A26" s="134">
        <v>24</v>
      </c>
      <c r="B26" s="135" t="s">
        <v>342</v>
      </c>
      <c r="C26" s="136">
        <v>12400</v>
      </c>
      <c r="D26" s="135" t="s">
        <v>194</v>
      </c>
      <c r="E26" s="135">
        <v>24</v>
      </c>
      <c r="F26" s="135" t="s">
        <v>341</v>
      </c>
      <c r="G26" s="197">
        <f t="shared" si="1"/>
        <v>297600</v>
      </c>
      <c r="H26" s="197">
        <v>38060</v>
      </c>
      <c r="I26" s="197">
        <v>40000</v>
      </c>
      <c r="J26" s="197">
        <f t="shared" si="2"/>
        <v>1940</v>
      </c>
    </row>
    <row r="27" spans="1:10" ht="17" thickBot="1" x14ac:dyDescent="0.25">
      <c r="A27" s="134">
        <v>25</v>
      </c>
      <c r="B27" s="135" t="s">
        <v>342</v>
      </c>
      <c r="C27" s="136">
        <v>12400</v>
      </c>
      <c r="D27" s="135" t="s">
        <v>194</v>
      </c>
      <c r="E27" s="135">
        <v>24</v>
      </c>
      <c r="F27" s="135" t="s">
        <v>341</v>
      </c>
      <c r="G27" s="197">
        <f t="shared" si="1"/>
        <v>297600</v>
      </c>
      <c r="H27" s="197">
        <v>38060</v>
      </c>
      <c r="I27" s="197">
        <v>40000</v>
      </c>
      <c r="J27" s="197">
        <f t="shared" si="2"/>
        <v>1940</v>
      </c>
    </row>
    <row r="28" spans="1:10" ht="17" thickBot="1" x14ac:dyDescent="0.25">
      <c r="A28" s="134">
        <v>26</v>
      </c>
      <c r="B28" s="135" t="s">
        <v>342</v>
      </c>
      <c r="C28" s="136">
        <v>12400</v>
      </c>
      <c r="D28" s="135" t="s">
        <v>194</v>
      </c>
      <c r="E28" s="135">
        <v>24</v>
      </c>
      <c r="F28" s="135" t="s">
        <v>341</v>
      </c>
      <c r="G28" s="197">
        <f t="shared" si="1"/>
        <v>297600</v>
      </c>
      <c r="H28" s="197">
        <v>38060</v>
      </c>
      <c r="I28" s="197">
        <v>40000</v>
      </c>
      <c r="J28" s="197">
        <f t="shared" si="2"/>
        <v>1940</v>
      </c>
    </row>
    <row r="29" spans="1:10" ht="17" thickBot="1" x14ac:dyDescent="0.25">
      <c r="A29" s="134">
        <v>27</v>
      </c>
      <c r="B29" s="135" t="s">
        <v>343</v>
      </c>
      <c r="C29" s="136">
        <v>12400</v>
      </c>
      <c r="D29" s="135" t="s">
        <v>194</v>
      </c>
      <c r="E29" s="135">
        <v>24</v>
      </c>
      <c r="F29" s="135" t="s">
        <v>341</v>
      </c>
      <c r="G29" s="197">
        <f t="shared" si="1"/>
        <v>297600</v>
      </c>
      <c r="H29" s="197">
        <v>38060</v>
      </c>
      <c r="I29" s="197">
        <v>40000</v>
      </c>
      <c r="J29" s="197">
        <f t="shared" si="2"/>
        <v>1940</v>
      </c>
    </row>
    <row r="30" spans="1:10" ht="17" thickBot="1" x14ac:dyDescent="0.25">
      <c r="A30" s="134">
        <v>28</v>
      </c>
      <c r="B30" s="135" t="s">
        <v>343</v>
      </c>
      <c r="C30" s="136">
        <v>12400</v>
      </c>
      <c r="D30" s="135" t="s">
        <v>194</v>
      </c>
      <c r="E30" s="135">
        <v>24</v>
      </c>
      <c r="F30" s="135" t="s">
        <v>341</v>
      </c>
      <c r="G30" s="197">
        <f t="shared" si="1"/>
        <v>297600</v>
      </c>
      <c r="H30" s="197">
        <v>38060</v>
      </c>
      <c r="I30" s="197">
        <v>40000</v>
      </c>
      <c r="J30" s="197">
        <f t="shared" si="2"/>
        <v>1940</v>
      </c>
    </row>
    <row r="31" spans="1:10" ht="17" thickBot="1" x14ac:dyDescent="0.25">
      <c r="A31" s="134">
        <v>29</v>
      </c>
      <c r="B31" s="135" t="s">
        <v>343</v>
      </c>
      <c r="C31" s="136">
        <v>12400</v>
      </c>
      <c r="D31" s="135" t="s">
        <v>194</v>
      </c>
      <c r="E31" s="135">
        <v>24</v>
      </c>
      <c r="F31" s="135" t="s">
        <v>341</v>
      </c>
      <c r="G31" s="197">
        <f t="shared" si="1"/>
        <v>297600</v>
      </c>
      <c r="H31" s="197">
        <v>38060</v>
      </c>
      <c r="I31" s="197">
        <v>40000</v>
      </c>
      <c r="J31" s="197">
        <f t="shared" si="2"/>
        <v>1940</v>
      </c>
    </row>
    <row r="32" spans="1:10" ht="17" thickBot="1" x14ac:dyDescent="0.25">
      <c r="A32" s="134">
        <v>30</v>
      </c>
      <c r="B32" s="135" t="s">
        <v>343</v>
      </c>
      <c r="C32" s="136">
        <v>12400</v>
      </c>
      <c r="D32" s="135" t="s">
        <v>194</v>
      </c>
      <c r="E32" s="135">
        <v>24</v>
      </c>
      <c r="F32" s="135" t="s">
        <v>341</v>
      </c>
      <c r="G32" s="197">
        <f t="shared" si="1"/>
        <v>297600</v>
      </c>
      <c r="H32" s="197">
        <v>38060</v>
      </c>
      <c r="I32" s="197">
        <v>40000</v>
      </c>
      <c r="J32" s="197">
        <f t="shared" si="2"/>
        <v>1940</v>
      </c>
    </row>
    <row r="33" spans="1:10" ht="17" thickBot="1" x14ac:dyDescent="0.25">
      <c r="A33" s="134">
        <v>31</v>
      </c>
      <c r="B33" s="135" t="s">
        <v>193</v>
      </c>
      <c r="C33" s="136">
        <v>12400</v>
      </c>
      <c r="D33" s="135" t="s">
        <v>194</v>
      </c>
      <c r="E33" s="135">
        <v>14</v>
      </c>
      <c r="F33" s="135" t="s">
        <v>195</v>
      </c>
      <c r="G33" s="197">
        <f t="shared" si="1"/>
        <v>173600</v>
      </c>
      <c r="H33" s="197">
        <v>25100</v>
      </c>
      <c r="I33" s="197">
        <v>40000</v>
      </c>
      <c r="J33" s="197">
        <f t="shared" si="2"/>
        <v>14900</v>
      </c>
    </row>
    <row r="34" spans="1:10" ht="17" thickBot="1" x14ac:dyDescent="0.25">
      <c r="A34" s="134">
        <v>32</v>
      </c>
      <c r="B34" s="135" t="s">
        <v>350</v>
      </c>
      <c r="C34" s="136">
        <v>12400</v>
      </c>
      <c r="D34" s="135" t="s">
        <v>194</v>
      </c>
      <c r="E34" s="135">
        <v>19</v>
      </c>
      <c r="F34" s="135" t="s">
        <v>341</v>
      </c>
      <c r="G34" s="197">
        <f t="shared" si="1"/>
        <v>235600</v>
      </c>
      <c r="H34" s="197">
        <v>34600</v>
      </c>
      <c r="I34" s="197">
        <v>55000</v>
      </c>
      <c r="J34" s="197">
        <f t="shared" si="2"/>
        <v>20400</v>
      </c>
    </row>
    <row r="35" spans="1:10" ht="17" thickBot="1" x14ac:dyDescent="0.25">
      <c r="A35" s="134">
        <v>33</v>
      </c>
      <c r="B35" s="135" t="s">
        <v>343</v>
      </c>
      <c r="C35" s="136">
        <v>12400</v>
      </c>
      <c r="D35" s="135" t="s">
        <v>194</v>
      </c>
      <c r="E35" s="135">
        <v>24</v>
      </c>
      <c r="F35" s="135" t="s">
        <v>341</v>
      </c>
      <c r="G35" s="197">
        <f t="shared" ref="G35:G43" si="3">E35*C35</f>
        <v>297600</v>
      </c>
      <c r="H35" s="197">
        <v>38060</v>
      </c>
      <c r="I35" s="197">
        <v>40000</v>
      </c>
      <c r="J35" s="197">
        <f t="shared" ref="J35:J43" si="4">I35-H35</f>
        <v>1940</v>
      </c>
    </row>
    <row r="36" spans="1:10" ht="17" thickBot="1" x14ac:dyDescent="0.25">
      <c r="A36" s="134">
        <v>34</v>
      </c>
      <c r="B36" s="135" t="s">
        <v>193</v>
      </c>
      <c r="C36" s="136">
        <v>12400</v>
      </c>
      <c r="D36" s="135" t="s">
        <v>194</v>
      </c>
      <c r="E36" s="135">
        <v>14</v>
      </c>
      <c r="F36" s="135" t="s">
        <v>195</v>
      </c>
      <c r="G36" s="197">
        <f t="shared" si="3"/>
        <v>173600</v>
      </c>
      <c r="H36" s="197">
        <v>25100</v>
      </c>
      <c r="I36" s="197">
        <v>40000</v>
      </c>
      <c r="J36" s="197">
        <f t="shared" si="4"/>
        <v>14900</v>
      </c>
    </row>
    <row r="37" spans="1:10" ht="17" thickBot="1" x14ac:dyDescent="0.25">
      <c r="A37" s="134">
        <v>35</v>
      </c>
      <c r="B37" s="135" t="s">
        <v>350</v>
      </c>
      <c r="C37" s="136">
        <v>12400</v>
      </c>
      <c r="D37" s="135" t="s">
        <v>194</v>
      </c>
      <c r="E37" s="135">
        <v>19</v>
      </c>
      <c r="F37" s="135" t="s">
        <v>341</v>
      </c>
      <c r="G37" s="197">
        <f t="shared" si="3"/>
        <v>235600</v>
      </c>
      <c r="H37" s="197">
        <v>34600</v>
      </c>
      <c r="I37" s="197">
        <v>55000</v>
      </c>
      <c r="J37" s="197">
        <f t="shared" si="4"/>
        <v>20400</v>
      </c>
    </row>
    <row r="38" spans="1:10" ht="17" thickBot="1" x14ac:dyDescent="0.25">
      <c r="A38" s="134">
        <v>36</v>
      </c>
      <c r="B38" s="135" t="s">
        <v>193</v>
      </c>
      <c r="C38" s="136">
        <v>12400</v>
      </c>
      <c r="D38" s="135" t="s">
        <v>194</v>
      </c>
      <c r="E38" s="135">
        <v>14</v>
      </c>
      <c r="F38" s="135" t="s">
        <v>195</v>
      </c>
      <c r="G38" s="197">
        <f t="shared" si="3"/>
        <v>173600</v>
      </c>
      <c r="H38" s="197">
        <v>25100</v>
      </c>
      <c r="I38" s="197">
        <v>40000</v>
      </c>
      <c r="J38" s="197">
        <f t="shared" si="4"/>
        <v>14900</v>
      </c>
    </row>
    <row r="39" spans="1:10" ht="17" thickBot="1" x14ac:dyDescent="0.25">
      <c r="A39" s="134">
        <v>37</v>
      </c>
      <c r="B39" s="135" t="s">
        <v>343</v>
      </c>
      <c r="C39" s="136">
        <v>12400</v>
      </c>
      <c r="D39" s="135" t="s">
        <v>194</v>
      </c>
      <c r="E39" s="135">
        <v>24</v>
      </c>
      <c r="F39" s="135" t="s">
        <v>341</v>
      </c>
      <c r="G39" s="197">
        <f t="shared" si="3"/>
        <v>297600</v>
      </c>
      <c r="H39" s="197">
        <v>38060</v>
      </c>
      <c r="I39" s="197">
        <v>40000</v>
      </c>
      <c r="J39" s="197">
        <f t="shared" si="4"/>
        <v>1940</v>
      </c>
    </row>
    <row r="40" spans="1:10" ht="17" thickBot="1" x14ac:dyDescent="0.25">
      <c r="A40" s="134">
        <v>38</v>
      </c>
      <c r="B40" s="135" t="s">
        <v>343</v>
      </c>
      <c r="C40" s="136">
        <v>12400</v>
      </c>
      <c r="D40" s="135" t="s">
        <v>194</v>
      </c>
      <c r="E40" s="135">
        <v>24</v>
      </c>
      <c r="F40" s="135" t="s">
        <v>341</v>
      </c>
      <c r="G40" s="197">
        <f t="shared" si="3"/>
        <v>297600</v>
      </c>
      <c r="H40" s="197">
        <v>38060</v>
      </c>
      <c r="I40" s="197">
        <v>40000</v>
      </c>
      <c r="J40" s="197">
        <f t="shared" si="4"/>
        <v>1940</v>
      </c>
    </row>
    <row r="41" spans="1:10" ht="17" thickBot="1" x14ac:dyDescent="0.25">
      <c r="A41" s="134">
        <v>39</v>
      </c>
      <c r="B41" s="135" t="s">
        <v>343</v>
      </c>
      <c r="C41" s="136">
        <v>12400</v>
      </c>
      <c r="D41" s="135" t="s">
        <v>194</v>
      </c>
      <c r="E41" s="135">
        <v>24</v>
      </c>
      <c r="F41" s="135" t="s">
        <v>341</v>
      </c>
      <c r="G41" s="197">
        <f t="shared" si="3"/>
        <v>297600</v>
      </c>
      <c r="H41" s="197">
        <v>38060</v>
      </c>
      <c r="I41" s="197">
        <v>40000</v>
      </c>
      <c r="J41" s="197">
        <f t="shared" si="4"/>
        <v>1940</v>
      </c>
    </row>
    <row r="42" spans="1:10" ht="17" thickBot="1" x14ac:dyDescent="0.25">
      <c r="A42" s="134">
        <v>40</v>
      </c>
      <c r="B42" s="135" t="s">
        <v>193</v>
      </c>
      <c r="C42" s="136">
        <v>12400</v>
      </c>
      <c r="D42" s="135" t="s">
        <v>194</v>
      </c>
      <c r="E42" s="135">
        <v>14</v>
      </c>
      <c r="F42" s="135" t="s">
        <v>195</v>
      </c>
      <c r="G42" s="197">
        <f t="shared" si="3"/>
        <v>173600</v>
      </c>
      <c r="H42" s="197">
        <v>25100</v>
      </c>
      <c r="I42" s="197">
        <v>40000</v>
      </c>
      <c r="J42" s="197">
        <f t="shared" si="4"/>
        <v>14900</v>
      </c>
    </row>
    <row r="43" spans="1:10" ht="17" thickBot="1" x14ac:dyDescent="0.25">
      <c r="A43" s="134">
        <v>41</v>
      </c>
      <c r="B43" s="135" t="s">
        <v>350</v>
      </c>
      <c r="C43" s="136">
        <v>12400</v>
      </c>
      <c r="D43" s="135" t="s">
        <v>194</v>
      </c>
      <c r="E43" s="135">
        <v>19</v>
      </c>
      <c r="F43" s="135" t="s">
        <v>341</v>
      </c>
      <c r="G43" s="197">
        <f t="shared" si="3"/>
        <v>235600</v>
      </c>
      <c r="H43" s="197">
        <v>34600</v>
      </c>
      <c r="I43" s="197">
        <v>55000</v>
      </c>
      <c r="J43" s="197">
        <f t="shared" si="4"/>
        <v>20400</v>
      </c>
    </row>
    <row r="44" spans="1:10" ht="17" thickBot="1" x14ac:dyDescent="0.25">
      <c r="A44" s="134">
        <v>42</v>
      </c>
      <c r="B44" s="135" t="s">
        <v>343</v>
      </c>
      <c r="C44" s="136">
        <v>12400</v>
      </c>
      <c r="D44" s="135" t="s">
        <v>194</v>
      </c>
      <c r="E44" s="135">
        <v>24</v>
      </c>
      <c r="F44" s="135" t="s">
        <v>341</v>
      </c>
      <c r="G44" s="197">
        <f t="shared" ref="G44:G47" si="5">E44*C44</f>
        <v>297600</v>
      </c>
      <c r="H44" s="197">
        <v>38060</v>
      </c>
      <c r="I44" s="197">
        <v>40000</v>
      </c>
      <c r="J44" s="197">
        <f t="shared" ref="J44:J47" si="6">I44-H44</f>
        <v>1940</v>
      </c>
    </row>
    <row r="45" spans="1:10" ht="17" thickBot="1" x14ac:dyDescent="0.25">
      <c r="A45" s="134">
        <v>43</v>
      </c>
      <c r="B45" s="135" t="s">
        <v>193</v>
      </c>
      <c r="C45" s="136">
        <v>12400</v>
      </c>
      <c r="D45" s="135" t="s">
        <v>194</v>
      </c>
      <c r="E45" s="135">
        <v>14</v>
      </c>
      <c r="F45" s="135" t="s">
        <v>195</v>
      </c>
      <c r="G45" s="197">
        <f t="shared" si="5"/>
        <v>173600</v>
      </c>
      <c r="H45" s="197">
        <v>25100</v>
      </c>
      <c r="I45" s="197">
        <v>40000</v>
      </c>
      <c r="J45" s="197">
        <f t="shared" si="6"/>
        <v>14900</v>
      </c>
    </row>
    <row r="46" spans="1:10" ht="17" thickBot="1" x14ac:dyDescent="0.25">
      <c r="A46" s="134">
        <v>44</v>
      </c>
      <c r="B46" s="135" t="s">
        <v>350</v>
      </c>
      <c r="C46" s="136">
        <v>12400</v>
      </c>
      <c r="D46" s="135" t="s">
        <v>194</v>
      </c>
      <c r="E46" s="135">
        <v>19</v>
      </c>
      <c r="F46" s="135" t="s">
        <v>341</v>
      </c>
      <c r="G46" s="197">
        <f t="shared" si="5"/>
        <v>235600</v>
      </c>
      <c r="H46" s="197">
        <v>34600</v>
      </c>
      <c r="I46" s="197">
        <v>55000</v>
      </c>
      <c r="J46" s="197">
        <f t="shared" si="6"/>
        <v>20400</v>
      </c>
    </row>
    <row r="47" spans="1:10" ht="17" thickBot="1" x14ac:dyDescent="0.25">
      <c r="A47" s="134">
        <v>45</v>
      </c>
      <c r="B47" s="135" t="s">
        <v>193</v>
      </c>
      <c r="C47" s="136">
        <v>12400</v>
      </c>
      <c r="D47" s="135" t="s">
        <v>194</v>
      </c>
      <c r="E47" s="135">
        <v>14</v>
      </c>
      <c r="F47" s="135" t="s">
        <v>195</v>
      </c>
      <c r="G47" s="197">
        <f t="shared" si="5"/>
        <v>173600</v>
      </c>
      <c r="H47" s="197">
        <v>25100</v>
      </c>
      <c r="I47" s="197">
        <v>40000</v>
      </c>
      <c r="J47" s="197">
        <f t="shared" si="6"/>
        <v>14900</v>
      </c>
    </row>
    <row r="48" spans="1:10" ht="17" thickBot="1" x14ac:dyDescent="0.25">
      <c r="A48" s="134">
        <v>46</v>
      </c>
      <c r="B48" s="135" t="s">
        <v>193</v>
      </c>
      <c r="C48" s="136">
        <v>12400</v>
      </c>
      <c r="D48" s="135" t="s">
        <v>194</v>
      </c>
      <c r="E48" s="135">
        <v>14</v>
      </c>
      <c r="F48" s="135" t="s">
        <v>195</v>
      </c>
      <c r="G48" s="197">
        <f t="shared" ref="G48:G49" si="7">E48*C48</f>
        <v>173600</v>
      </c>
      <c r="H48" s="197">
        <v>25100</v>
      </c>
      <c r="I48" s="197">
        <v>40000</v>
      </c>
      <c r="J48" s="197">
        <f t="shared" ref="J48:J49" si="8">I48-H48</f>
        <v>14900</v>
      </c>
    </row>
    <row r="49" spans="1:17" ht="17" thickBot="1" x14ac:dyDescent="0.25">
      <c r="A49" s="134">
        <v>47</v>
      </c>
      <c r="B49" s="135" t="s">
        <v>193</v>
      </c>
      <c r="C49" s="136">
        <v>12400</v>
      </c>
      <c r="D49" s="135" t="s">
        <v>194</v>
      </c>
      <c r="E49" s="135">
        <v>14</v>
      </c>
      <c r="F49" s="135" t="s">
        <v>195</v>
      </c>
      <c r="G49" s="197">
        <f t="shared" si="7"/>
        <v>173600</v>
      </c>
      <c r="H49" s="197">
        <v>25100</v>
      </c>
      <c r="I49" s="197">
        <v>40000</v>
      </c>
      <c r="J49" s="197">
        <f t="shared" si="8"/>
        <v>14900</v>
      </c>
    </row>
    <row r="50" spans="1:17" ht="17" thickBot="1" x14ac:dyDescent="0.25">
      <c r="A50" s="134">
        <v>48</v>
      </c>
      <c r="B50" s="135" t="s">
        <v>193</v>
      </c>
      <c r="C50" s="136">
        <v>12400</v>
      </c>
      <c r="D50" s="135" t="s">
        <v>194</v>
      </c>
      <c r="E50" s="135">
        <v>14</v>
      </c>
      <c r="F50" s="135" t="s">
        <v>195</v>
      </c>
      <c r="G50" s="197">
        <f t="shared" ref="G50:G52" si="9">E50*C50</f>
        <v>173600</v>
      </c>
      <c r="H50" s="197">
        <v>25100</v>
      </c>
      <c r="I50" s="197">
        <v>40000</v>
      </c>
      <c r="J50" s="197">
        <f t="shared" ref="J50:J52" si="10">I50-H50</f>
        <v>14900</v>
      </c>
    </row>
    <row r="51" spans="1:17" ht="17" thickBot="1" x14ac:dyDescent="0.25">
      <c r="A51" s="134">
        <v>49</v>
      </c>
      <c r="B51" s="135" t="s">
        <v>193</v>
      </c>
      <c r="C51" s="136">
        <v>12400</v>
      </c>
      <c r="D51" s="135" t="s">
        <v>194</v>
      </c>
      <c r="E51" s="135">
        <v>14</v>
      </c>
      <c r="F51" s="135" t="s">
        <v>195</v>
      </c>
      <c r="G51" s="197">
        <f t="shared" si="9"/>
        <v>173600</v>
      </c>
      <c r="H51" s="197">
        <v>25100</v>
      </c>
      <c r="I51" s="197">
        <v>40000</v>
      </c>
      <c r="J51" s="197">
        <f t="shared" si="10"/>
        <v>14900</v>
      </c>
    </row>
    <row r="52" spans="1:17" ht="17" thickBot="1" x14ac:dyDescent="0.25">
      <c r="A52" s="134">
        <v>50</v>
      </c>
      <c r="B52" s="135" t="s">
        <v>193</v>
      </c>
      <c r="C52" s="136">
        <v>12400</v>
      </c>
      <c r="D52" s="135" t="s">
        <v>194</v>
      </c>
      <c r="E52" s="135">
        <v>14</v>
      </c>
      <c r="F52" s="135" t="s">
        <v>195</v>
      </c>
      <c r="G52" s="197">
        <f t="shared" si="9"/>
        <v>173600</v>
      </c>
      <c r="H52" s="197">
        <v>25100</v>
      </c>
      <c r="I52" s="197">
        <v>40000</v>
      </c>
      <c r="J52" s="197">
        <f t="shared" si="10"/>
        <v>14900</v>
      </c>
    </row>
    <row r="53" spans="1:17" ht="17" thickBot="1" x14ac:dyDescent="0.25">
      <c r="A53" s="134">
        <v>51</v>
      </c>
      <c r="B53" s="135" t="s">
        <v>193</v>
      </c>
      <c r="C53" s="136">
        <v>12400</v>
      </c>
      <c r="D53" s="135" t="s">
        <v>194</v>
      </c>
      <c r="E53" s="135">
        <v>14</v>
      </c>
      <c r="F53" s="135" t="s">
        <v>195</v>
      </c>
      <c r="G53" s="197">
        <f t="shared" ref="G53:G54" si="11">E53*C53</f>
        <v>173600</v>
      </c>
      <c r="H53" s="197">
        <v>25100</v>
      </c>
      <c r="I53" s="197">
        <v>40000</v>
      </c>
      <c r="J53" s="197">
        <f t="shared" ref="J53:J54" si="12">I53-H53</f>
        <v>14900</v>
      </c>
    </row>
    <row r="54" spans="1:17" ht="17" thickBot="1" x14ac:dyDescent="0.25">
      <c r="A54" s="134">
        <v>52</v>
      </c>
      <c r="B54" s="135" t="s">
        <v>193</v>
      </c>
      <c r="C54" s="136">
        <v>12400</v>
      </c>
      <c r="D54" s="135" t="s">
        <v>194</v>
      </c>
      <c r="E54" s="135">
        <v>14</v>
      </c>
      <c r="F54" s="135" t="s">
        <v>195</v>
      </c>
      <c r="G54" s="197">
        <f t="shared" si="11"/>
        <v>173600</v>
      </c>
      <c r="H54" s="197">
        <v>25100</v>
      </c>
      <c r="I54" s="197">
        <v>40000</v>
      </c>
      <c r="J54" s="197">
        <f t="shared" si="12"/>
        <v>14900</v>
      </c>
    </row>
    <row r="55" spans="1:17" x14ac:dyDescent="0.2">
      <c r="A55" s="261"/>
      <c r="B55" s="261"/>
      <c r="C55" s="262"/>
      <c r="D55" s="261"/>
      <c r="E55" s="261"/>
      <c r="F55" s="261"/>
      <c r="G55" s="261"/>
      <c r="H55" s="261"/>
      <c r="I55" s="261"/>
      <c r="J55" s="261"/>
    </row>
    <row r="56" spans="1:17" x14ac:dyDescent="0.2">
      <c r="A56" s="261"/>
      <c r="B56" s="261"/>
      <c r="C56" s="262"/>
      <c r="D56" s="261"/>
      <c r="E56" s="261"/>
      <c r="F56" s="261"/>
      <c r="G56" s="261"/>
      <c r="H56" s="261"/>
      <c r="I56" s="261"/>
      <c r="J56" s="261"/>
    </row>
    <row r="57" spans="1:17" x14ac:dyDescent="0.2">
      <c r="A57" s="261"/>
      <c r="B57" s="261"/>
      <c r="C57" s="262"/>
      <c r="D57" s="261"/>
      <c r="E57" s="261"/>
      <c r="F57" s="261"/>
      <c r="G57" s="261"/>
      <c r="H57" s="261"/>
      <c r="I57" s="261"/>
      <c r="J57" s="261"/>
    </row>
    <row r="58" spans="1:17" x14ac:dyDescent="0.2">
      <c r="A58" s="261"/>
      <c r="B58" s="261"/>
      <c r="C58" s="262"/>
      <c r="D58" s="261"/>
      <c r="E58" s="261"/>
      <c r="F58" s="261"/>
      <c r="G58" s="261"/>
      <c r="H58" s="261"/>
      <c r="I58" s="261"/>
      <c r="J58" s="261"/>
    </row>
    <row r="59" spans="1:17" x14ac:dyDescent="0.2">
      <c r="A59" s="261"/>
      <c r="B59" s="261"/>
      <c r="C59" s="262"/>
      <c r="D59" s="261"/>
      <c r="E59" s="261"/>
      <c r="F59" s="261"/>
      <c r="G59" s="261"/>
      <c r="H59" s="261"/>
      <c r="I59" s="261"/>
      <c r="J59" s="261"/>
    </row>
    <row r="60" spans="1:17" x14ac:dyDescent="0.2">
      <c r="A60" s="261"/>
      <c r="B60" s="261"/>
      <c r="C60" s="262"/>
      <c r="D60" s="261"/>
      <c r="E60" s="261"/>
      <c r="F60" s="261"/>
      <c r="G60" s="261"/>
      <c r="H60" s="261"/>
      <c r="I60" s="261"/>
      <c r="J60" s="261"/>
    </row>
    <row r="61" spans="1:17" x14ac:dyDescent="0.2">
      <c r="A61" s="261"/>
      <c r="B61" s="261"/>
      <c r="C61" s="262"/>
      <c r="D61" s="261"/>
      <c r="E61" s="261"/>
      <c r="F61" s="261"/>
      <c r="G61" s="261"/>
      <c r="H61" s="261"/>
      <c r="I61" s="261"/>
      <c r="J61" s="261"/>
    </row>
    <row r="62" spans="1:17" x14ac:dyDescent="0.2">
      <c r="A62" s="261"/>
      <c r="B62" s="261"/>
      <c r="C62" s="262"/>
      <c r="D62" s="261"/>
      <c r="E62" s="261"/>
      <c r="F62" s="261"/>
      <c r="G62" s="261"/>
      <c r="H62" s="261"/>
      <c r="I62" s="261"/>
      <c r="J62" s="261"/>
    </row>
    <row r="63" spans="1:17" x14ac:dyDescent="0.2">
      <c r="A63" s="261"/>
      <c r="B63" s="261"/>
      <c r="C63" s="262"/>
      <c r="D63" s="261"/>
      <c r="E63" s="261"/>
      <c r="F63" s="261"/>
      <c r="G63" s="261"/>
      <c r="H63" s="261"/>
      <c r="I63" s="261"/>
      <c r="J63" s="261"/>
    </row>
    <row r="64" spans="1:17" ht="102" x14ac:dyDescent="0.2">
      <c r="A64" s="275" t="s">
        <v>167</v>
      </c>
      <c r="B64" s="275"/>
      <c r="H64" t="s">
        <v>168</v>
      </c>
      <c r="I64" t="s">
        <v>169</v>
      </c>
      <c r="J64" t="s">
        <v>170</v>
      </c>
      <c r="K64" s="189" t="s">
        <v>171</v>
      </c>
      <c r="L64" t="s">
        <v>172</v>
      </c>
      <c r="M64" s="26" t="s">
        <v>173</v>
      </c>
      <c r="N64" s="26" t="s">
        <v>174</v>
      </c>
      <c r="O64" s="26" t="s">
        <v>175</v>
      </c>
      <c r="P64" s="26" t="s">
        <v>176</v>
      </c>
      <c r="Q64" s="189" t="s">
        <v>23</v>
      </c>
    </row>
    <row r="65" spans="1:17" x14ac:dyDescent="0.2">
      <c r="A65" s="183" t="s">
        <v>168</v>
      </c>
      <c r="B65" s="184" t="s">
        <v>177</v>
      </c>
      <c r="D65" t="s">
        <v>178</v>
      </c>
      <c r="E65" t="s">
        <v>179</v>
      </c>
      <c r="F65" s="41">
        <f>SUM(C3:C8)/3</f>
        <v>24800</v>
      </c>
      <c r="H65">
        <v>1</v>
      </c>
      <c r="I65">
        <v>10</v>
      </c>
      <c r="J65" s="41">
        <f>SUM(G3:G12)</f>
        <v>2790000</v>
      </c>
      <c r="K65" s="190">
        <f>J65*0.008887</f>
        <v>24794.730000000003</v>
      </c>
      <c r="L65" s="28">
        <f>SUM(F65)</f>
        <v>24800</v>
      </c>
      <c r="M65" s="43">
        <f>L65*B68</f>
        <v>8.3103560000000005</v>
      </c>
      <c r="N65" s="43">
        <f t="shared" ref="N65:N70" si="13">K65-M65</f>
        <v>24786.419644000001</v>
      </c>
      <c r="O65" s="43">
        <f>SUM(N65:N69)</f>
        <v>342612.25184400007</v>
      </c>
      <c r="P65" s="43">
        <f>SUM(N65:N89)</f>
        <v>2155710.7906760843</v>
      </c>
      <c r="Q65" s="191" t="e">
        <f>M1/O65</f>
        <v>#REF!</v>
      </c>
    </row>
    <row r="66" spans="1:17" x14ac:dyDescent="0.2">
      <c r="A66" s="185">
        <v>2024</v>
      </c>
      <c r="B66" s="187">
        <v>3.6792299999999998E-4</v>
      </c>
      <c r="F66" s="41">
        <f>SUM(C9:C15)/3</f>
        <v>28933.333333333332</v>
      </c>
      <c r="H66">
        <v>2</v>
      </c>
      <c r="I66">
        <v>18</v>
      </c>
      <c r="J66" s="41">
        <f>SUM(G3:G20)</f>
        <v>4984800</v>
      </c>
      <c r="K66" s="190">
        <f>J66*0.008887</f>
        <v>44299.917600000001</v>
      </c>
      <c r="L66" s="28">
        <f>SUM(F65:F66)</f>
        <v>53733.333333333328</v>
      </c>
      <c r="M66" s="43">
        <f t="shared" ref="M66:M89" si="14">L66*B69</f>
        <v>16.472759333333329</v>
      </c>
      <c r="N66" s="43">
        <f t="shared" si="13"/>
        <v>44283.444840666671</v>
      </c>
    </row>
    <row r="67" spans="1:17" x14ac:dyDescent="0.2">
      <c r="A67" s="185">
        <v>2025</v>
      </c>
      <c r="B67" s="187">
        <v>3.5150899999999996E-4</v>
      </c>
      <c r="F67" s="41">
        <f>SUM(C16:C21)/3</f>
        <v>24800</v>
      </c>
      <c r="H67">
        <v>3</v>
      </c>
      <c r="I67">
        <v>28</v>
      </c>
      <c r="J67" s="41">
        <f>SUM(G3:G30)</f>
        <v>7774800</v>
      </c>
      <c r="K67" s="190">
        <f>J67*0.008887</f>
        <v>69094.647600000011</v>
      </c>
      <c r="L67" s="28">
        <f>SUM(F65:F67)</f>
        <v>78533.333333333328</v>
      </c>
      <c r="M67" s="43">
        <f t="shared" si="14"/>
        <v>21.835015333333331</v>
      </c>
      <c r="N67" s="43">
        <f t="shared" si="13"/>
        <v>69072.812584666681</v>
      </c>
    </row>
    <row r="68" spans="1:17" x14ac:dyDescent="0.2">
      <c r="A68" s="185">
        <v>2026</v>
      </c>
      <c r="B68" s="187">
        <v>3.3509499999999999E-4</v>
      </c>
      <c r="F68" s="41">
        <f>SUM(C22:C28)/3</f>
        <v>28933.333333333332</v>
      </c>
      <c r="H68">
        <v>4</v>
      </c>
      <c r="I68">
        <v>37</v>
      </c>
      <c r="J68" s="41">
        <f>SUM(G3:G39)</f>
        <v>9957200</v>
      </c>
      <c r="K68" s="190">
        <f>J68*0.008887</f>
        <v>88489.636400000003</v>
      </c>
      <c r="L68" s="28">
        <f>SUM(F65:F68)</f>
        <v>107466.66666666666</v>
      </c>
      <c r="M68" s="43">
        <f t="shared" si="14"/>
        <v>27.783249866666662</v>
      </c>
      <c r="N68" s="43">
        <f t="shared" si="13"/>
        <v>88461.853150133335</v>
      </c>
    </row>
    <row r="69" spans="1:17" x14ac:dyDescent="0.2">
      <c r="A69" s="185">
        <v>2027</v>
      </c>
      <c r="B69" s="187">
        <v>3.0656499999999996E-4</v>
      </c>
      <c r="F69" s="41">
        <f>SUM(C29:C34)/3</f>
        <v>24800</v>
      </c>
      <c r="H69">
        <v>5</v>
      </c>
      <c r="I69">
        <v>52</v>
      </c>
      <c r="J69" s="41">
        <f>SUM(G3:G54)</f>
        <v>13057200</v>
      </c>
      <c r="K69" s="190">
        <f>J69*0.008887</f>
        <v>116039.33640000001</v>
      </c>
      <c r="L69" s="28">
        <f>SUM(F65:F69)</f>
        <v>132266.66666666666</v>
      </c>
      <c r="M69" s="43">
        <f>L69*B72</f>
        <v>31.614775466666664</v>
      </c>
      <c r="N69" s="43">
        <f t="shared" si="13"/>
        <v>116007.72162453335</v>
      </c>
    </row>
    <row r="70" spans="1:17" x14ac:dyDescent="0.2">
      <c r="A70" s="185">
        <v>2028</v>
      </c>
      <c r="B70" s="187">
        <v>2.7803499999999999E-4</v>
      </c>
      <c r="F70" s="41"/>
      <c r="H70">
        <v>6</v>
      </c>
      <c r="I70">
        <v>52</v>
      </c>
      <c r="J70" s="41">
        <f t="shared" ref="J70:J89" si="15">SUM(G4:G55)</f>
        <v>12883600</v>
      </c>
      <c r="K70" s="190">
        <f t="shared" ref="K70:K89" si="16">J70*0.008887</f>
        <v>114496.55320000001</v>
      </c>
      <c r="L70" s="41">
        <v>206667</v>
      </c>
      <c r="M70" s="43">
        <f t="shared" si="14"/>
        <v>49.682230132500003</v>
      </c>
      <c r="N70" s="43">
        <f t="shared" si="13"/>
        <v>114446.87096986751</v>
      </c>
    </row>
    <row r="71" spans="1:17" x14ac:dyDescent="0.2">
      <c r="A71" s="185">
        <v>2029</v>
      </c>
      <c r="B71" s="187">
        <v>2.5852899999999996E-4</v>
      </c>
      <c r="E71" t="s">
        <v>180</v>
      </c>
      <c r="F71" s="41">
        <f>SUM(F65:F69)</f>
        <v>132266.66666666666</v>
      </c>
      <c r="H71">
        <v>7</v>
      </c>
      <c r="I71">
        <v>52</v>
      </c>
      <c r="J71" s="41">
        <f t="shared" si="15"/>
        <v>12648000</v>
      </c>
      <c r="K71" s="190">
        <f t="shared" si="16"/>
        <v>112402.77600000001</v>
      </c>
      <c r="L71" s="41">
        <v>206667</v>
      </c>
      <c r="M71" s="43">
        <f t="shared" si="14"/>
        <v>49.966293923999999</v>
      </c>
      <c r="N71" s="43">
        <f t="shared" ref="N71:N89" si="17">K71-M71</f>
        <v>112352.80970607602</v>
      </c>
    </row>
    <row r="72" spans="1:17" x14ac:dyDescent="0.2">
      <c r="A72" s="185">
        <v>2030</v>
      </c>
      <c r="B72" s="187">
        <v>2.3902299999999999E-4</v>
      </c>
      <c r="F72" s="41"/>
      <c r="H72">
        <v>8</v>
      </c>
      <c r="I72">
        <v>52</v>
      </c>
      <c r="J72" s="41">
        <f t="shared" si="15"/>
        <v>12350400</v>
      </c>
      <c r="K72" s="190">
        <f t="shared" si="16"/>
        <v>109758.00480000001</v>
      </c>
      <c r="L72" s="41">
        <v>206667</v>
      </c>
      <c r="M72" s="43">
        <f t="shared" si="14"/>
        <v>45.82014057</v>
      </c>
      <c r="N72" s="43">
        <f t="shared" si="17"/>
        <v>109712.18465943002</v>
      </c>
    </row>
    <row r="73" spans="1:17" x14ac:dyDescent="0.2">
      <c r="A73" s="185">
        <v>2031</v>
      </c>
      <c r="B73" s="187">
        <v>2.403975E-4</v>
      </c>
      <c r="F73" s="41"/>
      <c r="H73">
        <v>9</v>
      </c>
      <c r="I73">
        <v>52</v>
      </c>
      <c r="J73" s="41">
        <f t="shared" si="15"/>
        <v>12052800</v>
      </c>
      <c r="K73" s="190">
        <f t="shared" si="16"/>
        <v>107113.23360000001</v>
      </c>
      <c r="L73" s="41">
        <v>206667</v>
      </c>
      <c r="M73" s="43">
        <f t="shared" si="14"/>
        <v>41.673987216</v>
      </c>
      <c r="N73" s="43">
        <f t="shared" si="17"/>
        <v>107071.55961278401</v>
      </c>
    </row>
    <row r="74" spans="1:17" x14ac:dyDescent="0.2">
      <c r="A74" s="185">
        <v>2032</v>
      </c>
      <c r="B74" s="187">
        <v>2.4177199999999999E-4</v>
      </c>
      <c r="F74" s="41"/>
      <c r="H74">
        <v>10</v>
      </c>
      <c r="I74">
        <v>52</v>
      </c>
      <c r="J74" s="41">
        <f t="shared" si="15"/>
        <v>11755200</v>
      </c>
      <c r="K74" s="190">
        <f t="shared" si="16"/>
        <v>104468.4624</v>
      </c>
      <c r="L74" s="41">
        <v>206667</v>
      </c>
      <c r="M74" s="43">
        <f t="shared" si="14"/>
        <v>41.153599710000002</v>
      </c>
      <c r="N74" s="43">
        <f t="shared" si="17"/>
        <v>104427.30880029</v>
      </c>
    </row>
    <row r="75" spans="1:17" x14ac:dyDescent="0.2">
      <c r="A75" s="185">
        <v>2033</v>
      </c>
      <c r="B75" s="187">
        <v>2.2170999999999999E-4</v>
      </c>
      <c r="F75" s="41"/>
      <c r="H75">
        <v>11</v>
      </c>
      <c r="I75">
        <v>52</v>
      </c>
      <c r="J75" s="41">
        <f t="shared" si="15"/>
        <v>11457600</v>
      </c>
      <c r="K75" s="190">
        <f t="shared" si="16"/>
        <v>101823.69120000002</v>
      </c>
      <c r="L75" s="41">
        <v>206667</v>
      </c>
      <c r="M75" s="43">
        <f t="shared" si="14"/>
        <v>40.633212204000003</v>
      </c>
      <c r="N75" s="43">
        <f t="shared" si="17"/>
        <v>101783.05798779601</v>
      </c>
    </row>
    <row r="76" spans="1:17" x14ac:dyDescent="0.2">
      <c r="A76" s="185">
        <v>2034</v>
      </c>
      <c r="B76" s="187">
        <v>2.0164799999999999E-4</v>
      </c>
      <c r="F76" s="41"/>
      <c r="H76">
        <v>12</v>
      </c>
      <c r="I76">
        <v>52</v>
      </c>
      <c r="J76" s="41">
        <f t="shared" si="15"/>
        <v>11160000</v>
      </c>
      <c r="K76" s="190">
        <f t="shared" si="16"/>
        <v>99178.920000000013</v>
      </c>
      <c r="L76" s="41">
        <v>206667</v>
      </c>
      <c r="M76" s="43">
        <f t="shared" si="14"/>
        <v>39.6944273565</v>
      </c>
      <c r="N76" s="43">
        <f t="shared" si="17"/>
        <v>99139.225572643511</v>
      </c>
    </row>
    <row r="77" spans="1:17" x14ac:dyDescent="0.2">
      <c r="A77" s="185">
        <v>2035</v>
      </c>
      <c r="B77" s="187">
        <v>1.9913E-4</v>
      </c>
      <c r="H77">
        <v>13</v>
      </c>
      <c r="I77">
        <v>52</v>
      </c>
      <c r="J77" s="41">
        <f t="shared" si="15"/>
        <v>10862400</v>
      </c>
      <c r="K77" s="190">
        <f t="shared" si="16"/>
        <v>96534.14880000001</v>
      </c>
      <c r="L77" s="41">
        <v>206667</v>
      </c>
      <c r="M77" s="43">
        <f t="shared" si="14"/>
        <v>38.755642508999998</v>
      </c>
      <c r="N77" s="43">
        <f t="shared" si="17"/>
        <v>96495.393157491009</v>
      </c>
    </row>
    <row r="78" spans="1:17" x14ac:dyDescent="0.2">
      <c r="A78" s="185">
        <v>2036</v>
      </c>
      <c r="B78" s="187">
        <v>1.9661200000000001E-4</v>
      </c>
      <c r="H78">
        <v>14</v>
      </c>
      <c r="I78">
        <v>52</v>
      </c>
      <c r="J78" s="41">
        <f t="shared" si="15"/>
        <v>10564800</v>
      </c>
      <c r="K78" s="190">
        <f t="shared" si="16"/>
        <v>93889.377600000007</v>
      </c>
      <c r="L78" s="41">
        <v>206667</v>
      </c>
      <c r="M78" s="43">
        <f t="shared" si="14"/>
        <v>39.029269616999997</v>
      </c>
      <c r="N78" s="43">
        <f t="shared" si="17"/>
        <v>93850.348330383</v>
      </c>
    </row>
    <row r="79" spans="1:17" x14ac:dyDescent="0.2">
      <c r="A79" s="185">
        <v>2037</v>
      </c>
      <c r="B79" s="187">
        <v>1.9206950000000001E-4</v>
      </c>
      <c r="H79">
        <v>15</v>
      </c>
      <c r="I79">
        <v>52</v>
      </c>
      <c r="J79" s="41">
        <f t="shared" si="15"/>
        <v>10267200</v>
      </c>
      <c r="K79" s="190">
        <f t="shared" si="16"/>
        <v>91244.606400000004</v>
      </c>
      <c r="L79" s="41">
        <v>206667</v>
      </c>
      <c r="M79" s="43">
        <f t="shared" si="14"/>
        <v>39.302896725000004</v>
      </c>
      <c r="N79" s="43">
        <f t="shared" si="17"/>
        <v>91205.303503275005</v>
      </c>
    </row>
    <row r="80" spans="1:17" x14ac:dyDescent="0.2">
      <c r="A80" s="185">
        <v>2038</v>
      </c>
      <c r="B80" s="187">
        <v>1.87527E-4</v>
      </c>
      <c r="H80">
        <v>16</v>
      </c>
      <c r="I80">
        <v>52</v>
      </c>
      <c r="J80" s="41">
        <f t="shared" si="15"/>
        <v>10093600</v>
      </c>
      <c r="K80" s="190">
        <f t="shared" si="16"/>
        <v>89701.823200000013</v>
      </c>
      <c r="L80" s="41">
        <v>206667</v>
      </c>
      <c r="M80" s="43">
        <f t="shared" si="14"/>
        <v>37.768600917000001</v>
      </c>
      <c r="N80" s="43">
        <f t="shared" si="17"/>
        <v>89664.054599083014</v>
      </c>
    </row>
    <row r="81" spans="1:14" x14ac:dyDescent="0.2">
      <c r="A81" s="185">
        <v>2039</v>
      </c>
      <c r="B81" s="187">
        <v>1.88851E-4</v>
      </c>
      <c r="H81">
        <v>17</v>
      </c>
      <c r="I81">
        <v>52</v>
      </c>
      <c r="J81" s="41">
        <f t="shared" si="15"/>
        <v>9858000</v>
      </c>
      <c r="K81" s="190">
        <f t="shared" si="16"/>
        <v>87608.046000000002</v>
      </c>
      <c r="L81" s="41">
        <v>206667</v>
      </c>
      <c r="M81" s="43">
        <f t="shared" si="14"/>
        <v>36.234305108999997</v>
      </c>
      <c r="N81" s="43">
        <f t="shared" si="17"/>
        <v>87571.811694891003</v>
      </c>
    </row>
    <row r="82" spans="1:14" x14ac:dyDescent="0.2">
      <c r="A82" s="185">
        <v>2040</v>
      </c>
      <c r="B82" s="187">
        <v>1.90175E-4</v>
      </c>
      <c r="H82">
        <v>18</v>
      </c>
      <c r="I82">
        <v>52</v>
      </c>
      <c r="J82" s="41">
        <f t="shared" si="15"/>
        <v>9560400</v>
      </c>
      <c r="K82" s="190">
        <f t="shared" si="16"/>
        <v>84963.274800000014</v>
      </c>
      <c r="L82" s="41">
        <v>206667</v>
      </c>
      <c r="M82" s="43">
        <f t="shared" si="14"/>
        <v>36.065458169999999</v>
      </c>
      <c r="N82" s="43">
        <f t="shared" si="17"/>
        <v>84927.209341830021</v>
      </c>
    </row>
    <row r="83" spans="1:14" x14ac:dyDescent="0.2">
      <c r="A83" s="185">
        <v>2041</v>
      </c>
      <c r="B83" s="187">
        <v>1.8275099999999999E-4</v>
      </c>
      <c r="H83">
        <v>19</v>
      </c>
      <c r="I83">
        <v>52</v>
      </c>
      <c r="J83" s="41">
        <f t="shared" si="15"/>
        <v>9262800</v>
      </c>
      <c r="K83" s="190">
        <f t="shared" si="16"/>
        <v>82318.503600000011</v>
      </c>
      <c r="L83" s="41">
        <v>206667</v>
      </c>
      <c r="M83" s="43">
        <f t="shared" si="14"/>
        <v>35.896611231000001</v>
      </c>
      <c r="N83" s="43">
        <f t="shared" si="17"/>
        <v>82282.60698876901</v>
      </c>
    </row>
    <row r="84" spans="1:14" x14ac:dyDescent="0.2">
      <c r="A84" s="185">
        <v>2042</v>
      </c>
      <c r="B84" s="187">
        <v>1.75327E-4</v>
      </c>
      <c r="H84">
        <v>20</v>
      </c>
      <c r="I84">
        <v>52</v>
      </c>
      <c r="J84" s="41">
        <f t="shared" si="15"/>
        <v>8965200</v>
      </c>
      <c r="K84" s="190">
        <f t="shared" si="16"/>
        <v>79673.732400000008</v>
      </c>
      <c r="L84" s="41">
        <v>206667</v>
      </c>
      <c r="M84" s="43">
        <f t="shared" si="14"/>
        <v>35.452277180999999</v>
      </c>
      <c r="N84" s="43">
        <f t="shared" si="17"/>
        <v>79638.280122819007</v>
      </c>
    </row>
    <row r="85" spans="1:14" x14ac:dyDescent="0.2">
      <c r="A85" s="185">
        <v>2043</v>
      </c>
      <c r="B85" s="187">
        <v>1.7451000000000001E-4</v>
      </c>
      <c r="H85">
        <v>21</v>
      </c>
      <c r="I85">
        <v>52</v>
      </c>
      <c r="J85" s="41">
        <f t="shared" si="15"/>
        <v>8667600</v>
      </c>
      <c r="K85" s="190">
        <f t="shared" si="16"/>
        <v>77028.961200000005</v>
      </c>
      <c r="L85" s="41">
        <v>206667</v>
      </c>
      <c r="M85" s="43">
        <f t="shared" si="14"/>
        <v>35.007943130999998</v>
      </c>
      <c r="N85" s="43">
        <f t="shared" si="17"/>
        <v>76993.953256869005</v>
      </c>
    </row>
    <row r="86" spans="1:14" x14ac:dyDescent="0.2">
      <c r="A86" s="185">
        <v>2044</v>
      </c>
      <c r="B86" s="187">
        <v>1.7369299999999999E-4</v>
      </c>
      <c r="H86">
        <v>22</v>
      </c>
      <c r="I86">
        <v>52</v>
      </c>
      <c r="J86" s="41">
        <f t="shared" si="15"/>
        <v>8370000</v>
      </c>
      <c r="K86" s="190">
        <f t="shared" si="16"/>
        <v>74384.19</v>
      </c>
      <c r="L86" s="41">
        <v>206667</v>
      </c>
      <c r="M86" s="43">
        <f t="shared" si="14"/>
        <v>33.954354765000005</v>
      </c>
      <c r="N86" s="43">
        <f t="shared" si="17"/>
        <v>74350.235645235007</v>
      </c>
    </row>
    <row r="87" spans="1:14" x14ac:dyDescent="0.2">
      <c r="A87" s="185">
        <v>2045</v>
      </c>
      <c r="B87" s="187">
        <v>1.7154299999999999E-4</v>
      </c>
      <c r="H87">
        <v>23</v>
      </c>
      <c r="I87">
        <v>52</v>
      </c>
      <c r="J87" s="41">
        <f t="shared" si="15"/>
        <v>8072400</v>
      </c>
      <c r="K87" s="190">
        <f t="shared" si="16"/>
        <v>71739.418799999999</v>
      </c>
      <c r="L87" s="41">
        <v>206667</v>
      </c>
      <c r="M87" s="43">
        <f t="shared" si="14"/>
        <v>32.900766398999998</v>
      </c>
      <c r="N87" s="43">
        <f t="shared" si="17"/>
        <v>71706.518033600994</v>
      </c>
    </row>
    <row r="88" spans="1:14" x14ac:dyDescent="0.2">
      <c r="A88" s="185">
        <v>2046</v>
      </c>
      <c r="B88" s="187">
        <v>1.69393E-4</v>
      </c>
      <c r="H88">
        <v>24</v>
      </c>
      <c r="I88">
        <v>52</v>
      </c>
      <c r="J88" s="41">
        <f t="shared" si="15"/>
        <v>7774800</v>
      </c>
      <c r="K88" s="190">
        <f t="shared" si="16"/>
        <v>69094.647600000011</v>
      </c>
      <c r="L88" s="41">
        <v>206667</v>
      </c>
      <c r="M88" s="43">
        <f t="shared" si="14"/>
        <v>32.539305816000002</v>
      </c>
      <c r="N88" s="43">
        <f t="shared" si="17"/>
        <v>69062.108294184014</v>
      </c>
    </row>
    <row r="89" spans="1:14" x14ac:dyDescent="0.2">
      <c r="A89" s="185">
        <v>2047</v>
      </c>
      <c r="B89" s="187">
        <v>1.6429500000000001E-4</v>
      </c>
      <c r="H89">
        <v>25</v>
      </c>
      <c r="I89">
        <v>52</v>
      </c>
      <c r="J89" s="41">
        <f t="shared" si="15"/>
        <v>7477200</v>
      </c>
      <c r="K89" s="190">
        <f t="shared" si="16"/>
        <v>66449.876400000008</v>
      </c>
      <c r="L89" s="41">
        <v>206667</v>
      </c>
      <c r="M89" s="43">
        <f t="shared" si="14"/>
        <v>32.177845232999999</v>
      </c>
      <c r="N89" s="43">
        <f t="shared" si="17"/>
        <v>66417.698554767005</v>
      </c>
    </row>
    <row r="90" spans="1:14" x14ac:dyDescent="0.2">
      <c r="A90" s="185">
        <v>2048</v>
      </c>
      <c r="B90" s="187">
        <v>1.59197E-4</v>
      </c>
      <c r="E90" s="194"/>
      <c r="F90" s="43"/>
    </row>
    <row r="91" spans="1:14" x14ac:dyDescent="0.2">
      <c r="A91" s="185">
        <v>2049</v>
      </c>
      <c r="B91" s="187">
        <v>1.57448E-4</v>
      </c>
      <c r="E91" s="195"/>
      <c r="F91" s="43"/>
      <c r="I91" s="214" t="s">
        <v>181</v>
      </c>
      <c r="J91" s="28">
        <f>SUM(J65:J69)</f>
        <v>38564000</v>
      </c>
      <c r="K91" t="s">
        <v>182</v>
      </c>
      <c r="L91" s="28">
        <f>SUM(L65:L69)</f>
        <v>396800</v>
      </c>
      <c r="M91" s="43">
        <f>SUM(M65:M69)</f>
        <v>106.016156</v>
      </c>
    </row>
    <row r="92" spans="1:14" x14ac:dyDescent="0.2">
      <c r="A92" s="185">
        <v>2050</v>
      </c>
      <c r="B92" s="187">
        <v>1.55699E-4</v>
      </c>
      <c r="E92" s="194"/>
      <c r="F92" s="43"/>
      <c r="I92" s="214" t="s">
        <v>183</v>
      </c>
      <c r="J92" s="28">
        <f>SUM(J65:J89)</f>
        <v>242668000</v>
      </c>
      <c r="K92" t="s">
        <v>184</v>
      </c>
      <c r="L92" s="28">
        <f>SUM(L65:L89)</f>
        <v>4530140</v>
      </c>
      <c r="M92" s="43">
        <f>SUM(M65:M89)</f>
        <v>879.72532391600009</v>
      </c>
    </row>
    <row r="93" spans="1:14" x14ac:dyDescent="0.2">
      <c r="A93" s="186" t="s">
        <v>185</v>
      </c>
      <c r="B93" s="188">
        <v>3.0523985714285713E-4</v>
      </c>
    </row>
    <row r="94" spans="1:14" x14ac:dyDescent="0.2">
      <c r="A94" s="186" t="s">
        <v>186</v>
      </c>
      <c r="B94" s="188">
        <v>1.8718740000000001E-4</v>
      </c>
    </row>
  </sheetData>
  <mergeCells count="1">
    <mergeCell ref="A64:B64"/>
  </mergeCells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2D06D3115AA44AA45659BC8CAF738A" ma:contentTypeVersion="15" ma:contentTypeDescription="Create a new document." ma:contentTypeScope="" ma:versionID="ba432a5f3c0c8a3302c254e1f2b3adad">
  <xsd:schema xmlns:xsd="http://www.w3.org/2001/XMLSchema" xmlns:xs="http://www.w3.org/2001/XMLSchema" xmlns:p="http://schemas.microsoft.com/office/2006/metadata/properties" xmlns:ns2="4e6dab62-7e6c-434f-8f7d-a035f21f8adc" xmlns:ns3="58a0ea98-960e-411b-9518-b625b63c0783" targetNamespace="http://schemas.microsoft.com/office/2006/metadata/properties" ma:root="true" ma:fieldsID="cd3eeba2e3d6c27a7428e4f37b6046bb" ns2:_="" ns3:_="">
    <xsd:import namespace="4e6dab62-7e6c-434f-8f7d-a035f21f8adc"/>
    <xsd:import namespace="58a0ea98-960e-411b-9518-b625b63c07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6dab62-7e6c-434f-8f7d-a035f21f8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5d18868-1a74-465c-8b00-c8c65f5429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0ea98-960e-411b-9518-b625b63c078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5db8ba60-c135-48a7-abe8-4a5a5a2ad7b4}" ma:internalName="TaxCatchAll" ma:showField="CatchAllData" ma:web="58a0ea98-960e-411b-9518-b625b63c07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a0ea98-960e-411b-9518-b625b63c0783" xsi:nil="true"/>
    <lcf76f155ced4ddcb4097134ff3c332f xmlns="4e6dab62-7e6c-434f-8f7d-a035f21f8adc">
      <Terms xmlns="http://schemas.microsoft.com/office/infopath/2007/PartnerControls"/>
    </lcf76f155ced4ddcb4097134ff3c332f>
    <SharedWithUsers xmlns="58a0ea98-960e-411b-9518-b625b63c0783">
      <UserInfo>
        <DisplayName>Mandi Tucker</DisplayName>
        <AccountId>35</AccountId>
        <AccountType/>
      </UserInfo>
      <UserInfo>
        <DisplayName>Amanda Josefa Polematidis</DisplayName>
        <AccountId>12</AccountId>
        <AccountType/>
      </UserInfo>
      <UserInfo>
        <DisplayName>Tad Gass</DisplayName>
        <AccountId>56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F0197CB-A65A-4501-A0FE-44428FFE0C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6dab62-7e6c-434f-8f7d-a035f21f8adc"/>
    <ds:schemaRef ds:uri="58a0ea98-960e-411b-9518-b625b63c07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DFF9CE-ECB1-45D4-8AE0-CB1AF87B58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000FC1-B2F0-4860-976D-F790BF388722}">
  <ds:schemaRefs>
    <ds:schemaRef ds:uri="http://schemas.microsoft.com/office/2006/metadata/properties"/>
    <ds:schemaRef ds:uri="http://schemas.microsoft.com/office/infopath/2007/PartnerControls"/>
    <ds:schemaRef ds:uri="58a0ea98-960e-411b-9518-b625b63c0783"/>
    <ds:schemaRef ds:uri="4e6dab62-7e6c-434f-8f7d-a035f21f8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NEFL Transportation Estimates</vt:lpstr>
      <vt:lpstr>DATA</vt:lpstr>
      <vt:lpstr>DCPS Buses</vt:lpstr>
      <vt:lpstr>DCPS Non Bus Fleet</vt:lpstr>
      <vt:lpstr>COJ Fleet</vt:lpstr>
      <vt:lpstr>COAB Fleet</vt:lpstr>
      <vt:lpstr>NEFL Counties Fleet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Pradeep Haldar</dc:creator>
  <cp:keywords/>
  <dc:description/>
  <cp:lastModifiedBy>clane</cp:lastModifiedBy>
  <cp:revision/>
  <dcterms:created xsi:type="dcterms:W3CDTF">2024-01-17T23:10:49Z</dcterms:created>
  <dcterms:modified xsi:type="dcterms:W3CDTF">2024-04-01T23:18:49Z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0x010100482D06D3115AA44AA45659BC8CAF738A</vt:lpwstr>
  </property>
  <property fmtid="{D5CDD505-2E9C-101B-9397-08002B2CF9AE}" pid="3" name="MediaServiceImageTags">
    <vt:lpwstr/>
  </property>
</Properties>
</file>