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c1.sharepoint.com/teams/EXECClimateStaff/Shared Documents/General/Grants and Funding Opportunities/Federal/CPRG/0 CPRG Phase II/Application Draft/Budget/"/>
    </mc:Choice>
  </mc:AlternateContent>
  <xr:revisionPtr revIDLastSave="2620" documentId="8_{3C16F377-E22F-424F-A7E4-B778E4ACB323}" xr6:coauthVersionLast="47" xr6:coauthVersionMax="47" xr10:uidLastSave="{BF61C406-EE6D-4266-A1EB-7F77B940C94B}"/>
  <bookViews>
    <workbookView xWindow="10" yWindow="10" windowWidth="19180" windowHeight="10060" xr2:uid="{4C06A5BF-6767-48AF-AA77-490F9AB9A14E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4" i="1" l="1"/>
  <c r="N165" i="1" l="1"/>
  <c r="G175" i="1" l="1"/>
  <c r="H15" i="1"/>
  <c r="H17" i="1" s="1"/>
  <c r="G15" i="1"/>
  <c r="G17" i="1" s="1"/>
  <c r="F15" i="1"/>
  <c r="F17" i="1" s="1"/>
  <c r="E15" i="1"/>
  <c r="D17" i="1"/>
  <c r="E17" i="1"/>
  <c r="I16" i="1"/>
  <c r="E39" i="1"/>
  <c r="F39" i="1"/>
  <c r="G39" i="1"/>
  <c r="H39" i="1"/>
  <c r="D39" i="1"/>
  <c r="E65" i="1"/>
  <c r="F65" i="1"/>
  <c r="G65" i="1"/>
  <c r="H65" i="1"/>
  <c r="D65" i="1"/>
  <c r="D101" i="1"/>
  <c r="E118" i="1"/>
  <c r="F118" i="1"/>
  <c r="G118" i="1"/>
  <c r="H118" i="1"/>
  <c r="D118" i="1"/>
  <c r="H144" i="1"/>
  <c r="E144" i="1"/>
  <c r="F144" i="1"/>
  <c r="G144" i="1"/>
  <c r="D144" i="1"/>
  <c r="E95" i="1"/>
  <c r="F95" i="1"/>
  <c r="G95" i="1"/>
  <c r="H95" i="1"/>
  <c r="D95" i="1"/>
  <c r="D98" i="1"/>
  <c r="I117" i="1"/>
  <c r="I116" i="1"/>
  <c r="I115" i="1"/>
  <c r="E162" i="1" l="1"/>
  <c r="F162" i="1"/>
  <c r="G162" i="1"/>
  <c r="D162" i="1"/>
  <c r="C175" i="1" s="1"/>
  <c r="D175" i="1" s="1"/>
  <c r="H162" i="1"/>
  <c r="I15" i="1"/>
  <c r="I17" i="1" s="1"/>
  <c r="I118" i="1"/>
  <c r="G173" i="1" l="1"/>
  <c r="F173" i="1"/>
  <c r="F174" i="1"/>
  <c r="G174" i="1"/>
  <c r="D174" i="1"/>
  <c r="F43" i="1"/>
  <c r="D43" i="1"/>
  <c r="E49" i="1"/>
  <c r="F49" i="1"/>
  <c r="G49" i="1"/>
  <c r="H49" i="1"/>
  <c r="D49" i="1"/>
  <c r="D71" i="1"/>
  <c r="E71" i="1"/>
  <c r="F71" i="1"/>
  <c r="G71" i="1"/>
  <c r="H79" i="1"/>
  <c r="F79" i="1"/>
  <c r="D79" i="1"/>
  <c r="E98" i="1"/>
  <c r="F124" i="1"/>
  <c r="E124" i="1"/>
  <c r="E131" i="1"/>
  <c r="D150" i="1"/>
  <c r="D131" i="1"/>
  <c r="G124" i="1"/>
  <c r="H124" i="1"/>
  <c r="D124" i="1"/>
  <c r="I42" i="1"/>
  <c r="I64" i="1" l="1"/>
  <c r="I63" i="1"/>
  <c r="I78" i="1"/>
  <c r="I77" i="1"/>
  <c r="E79" i="1"/>
  <c r="G79" i="1"/>
  <c r="I46" i="1"/>
  <c r="I65" i="1" l="1"/>
  <c r="I45" i="1"/>
  <c r="I76" i="1" l="1"/>
  <c r="I47" i="1"/>
  <c r="H8" i="1"/>
  <c r="I69" i="1" l="1"/>
  <c r="I73" i="1"/>
  <c r="I70" i="1"/>
  <c r="I126" i="1"/>
  <c r="I74" i="1"/>
  <c r="H31" i="1"/>
  <c r="H32" i="1" s="1"/>
  <c r="H139" i="1"/>
  <c r="I20" i="1" l="1"/>
  <c r="I121" i="1"/>
  <c r="I120" i="1"/>
  <c r="I127" i="1"/>
  <c r="F131" i="1"/>
  <c r="I123" i="1"/>
  <c r="I128" i="1"/>
  <c r="I122" i="1"/>
  <c r="E110" i="1"/>
  <c r="F110" i="1"/>
  <c r="G110" i="1"/>
  <c r="D110" i="1"/>
  <c r="F10" i="1"/>
  <c r="G10" i="1"/>
  <c r="D10" i="1"/>
  <c r="E10" i="1"/>
  <c r="H109" i="1"/>
  <c r="H110" i="1" s="1"/>
  <c r="I124" i="1" l="1"/>
  <c r="I129" i="1"/>
  <c r="E43" i="1"/>
  <c r="E160" i="1" s="1"/>
  <c r="G43" i="1"/>
  <c r="H43" i="1"/>
  <c r="I75" i="1"/>
  <c r="I79" i="1" s="1"/>
  <c r="H71" i="1"/>
  <c r="H98" i="1"/>
  <c r="G98" i="1"/>
  <c r="F98" i="1"/>
  <c r="F160" i="1" s="1"/>
  <c r="G32" i="1"/>
  <c r="F32" i="1"/>
  <c r="E32" i="1"/>
  <c r="D32" i="1"/>
  <c r="H131" i="1"/>
  <c r="G131" i="1"/>
  <c r="H101" i="1"/>
  <c r="G101" i="1"/>
  <c r="F101" i="1"/>
  <c r="E101" i="1"/>
  <c r="E150" i="1"/>
  <c r="F150" i="1"/>
  <c r="G150" i="1"/>
  <c r="H150" i="1"/>
  <c r="E140" i="1"/>
  <c r="F140" i="1"/>
  <c r="G140" i="1"/>
  <c r="D140" i="1"/>
  <c r="D146" i="1" s="1"/>
  <c r="D22" i="1"/>
  <c r="D161" i="1" s="1"/>
  <c r="C174" i="1" s="1"/>
  <c r="I68" i="1"/>
  <c r="E57" i="1"/>
  <c r="E58" i="1" s="1"/>
  <c r="F57" i="1"/>
  <c r="F58" i="1" s="1"/>
  <c r="G57" i="1"/>
  <c r="G58" i="1" s="1"/>
  <c r="D57" i="1"/>
  <c r="D58" i="1" s="1"/>
  <c r="H160" i="1" l="1"/>
  <c r="G160" i="1"/>
  <c r="I19" i="1"/>
  <c r="H140" i="1" l="1"/>
  <c r="E87" i="1"/>
  <c r="E88" i="1" s="1"/>
  <c r="E158" i="1" s="1"/>
  <c r="F87" i="1"/>
  <c r="F88" i="1" s="1"/>
  <c r="F158" i="1" s="1"/>
  <c r="G87" i="1"/>
  <c r="G88" i="1" s="1"/>
  <c r="G158" i="1" s="1"/>
  <c r="D87" i="1"/>
  <c r="F21" i="1"/>
  <c r="G21" i="1"/>
  <c r="H21" i="1"/>
  <c r="E21" i="1"/>
  <c r="H9" i="1"/>
  <c r="H10" i="1" l="1"/>
  <c r="I9" i="1"/>
  <c r="E22" i="1"/>
  <c r="E161" i="1" s="1"/>
  <c r="H22" i="1"/>
  <c r="H161" i="1" s="1"/>
  <c r="G22" i="1"/>
  <c r="G161" i="1" s="1"/>
  <c r="G34" i="1"/>
  <c r="G35" i="1" s="1"/>
  <c r="D88" i="1"/>
  <c r="D158" i="1" s="1"/>
  <c r="F22" i="1"/>
  <c r="F161" i="1" s="1"/>
  <c r="H87" i="1"/>
  <c r="H88" i="1" s="1"/>
  <c r="H57" i="1"/>
  <c r="H58" i="1" s="1"/>
  <c r="C171" i="1" l="1"/>
  <c r="H158" i="1"/>
  <c r="H34" i="1"/>
  <c r="H35" i="1" s="1"/>
  <c r="E34" i="1"/>
  <c r="E35" i="1" s="1"/>
  <c r="G112" i="1"/>
  <c r="G113" i="1" s="1"/>
  <c r="H112" i="1"/>
  <c r="H113" i="1" s="1"/>
  <c r="D112" i="1"/>
  <c r="D113" i="1" s="1"/>
  <c r="E146" i="1"/>
  <c r="E147" i="1" s="1"/>
  <c r="F146" i="1"/>
  <c r="F147" i="1" s="1"/>
  <c r="G146" i="1"/>
  <c r="G147" i="1" s="1"/>
  <c r="H146" i="1"/>
  <c r="H147" i="1" s="1"/>
  <c r="D147" i="1"/>
  <c r="E112" i="1"/>
  <c r="E113" i="1" s="1"/>
  <c r="F112" i="1"/>
  <c r="F113" i="1" s="1"/>
  <c r="H12" i="1"/>
  <c r="H13" i="1" s="1"/>
  <c r="D12" i="1"/>
  <c r="D13" i="1" s="1"/>
  <c r="E12" i="1"/>
  <c r="E13" i="1" s="1"/>
  <c r="D34" i="1"/>
  <c r="D35" i="1" s="1"/>
  <c r="G12" i="1"/>
  <c r="G13" i="1" s="1"/>
  <c r="F12" i="1"/>
  <c r="F13" i="1" s="1"/>
  <c r="F34" i="1"/>
  <c r="F35" i="1" s="1"/>
  <c r="G90" i="1"/>
  <c r="G91" i="1" s="1"/>
  <c r="G60" i="1"/>
  <c r="G61" i="1" s="1"/>
  <c r="G159" i="1" l="1"/>
  <c r="G163" i="1" s="1"/>
  <c r="E171" i="1"/>
  <c r="F171" i="1"/>
  <c r="G171" i="1"/>
  <c r="D171" i="1"/>
  <c r="H90" i="1"/>
  <c r="H91" i="1" s="1"/>
  <c r="H60" i="1"/>
  <c r="H61" i="1" s="1"/>
  <c r="E90" i="1"/>
  <c r="E91" i="1" s="1"/>
  <c r="E60" i="1"/>
  <c r="E61" i="1" s="1"/>
  <c r="E159" i="1" s="1"/>
  <c r="E163" i="1" s="1"/>
  <c r="D60" i="1"/>
  <c r="D61" i="1" s="1"/>
  <c r="D90" i="1"/>
  <c r="D91" i="1" s="1"/>
  <c r="F90" i="1"/>
  <c r="F91" i="1" s="1"/>
  <c r="F60" i="1"/>
  <c r="F61" i="1" s="1"/>
  <c r="H159" i="1" l="1"/>
  <c r="H163" i="1" s="1"/>
  <c r="F159" i="1"/>
  <c r="F163" i="1" s="1"/>
  <c r="D159" i="1"/>
  <c r="I146" i="1"/>
  <c r="I147" i="1" s="1"/>
  <c r="I139" i="1"/>
  <c r="I140" i="1" s="1"/>
  <c r="I8" i="1"/>
  <c r="I12" i="1"/>
  <c r="I13" i="1" s="1"/>
  <c r="I41" i="1"/>
  <c r="I43" i="1" s="1"/>
  <c r="I34" i="1"/>
  <c r="I35" i="1" s="1"/>
  <c r="I31" i="1"/>
  <c r="I67" i="1"/>
  <c r="I71" i="1" s="1"/>
  <c r="I60" i="1"/>
  <c r="I61" i="1" s="1"/>
  <c r="I57" i="1"/>
  <c r="I58" i="1" s="1"/>
  <c r="I112" i="1"/>
  <c r="I113" i="1" s="1"/>
  <c r="I109" i="1"/>
  <c r="I110" i="1" s="1"/>
  <c r="I97" i="1"/>
  <c r="I98" i="1" s="1"/>
  <c r="I90" i="1"/>
  <c r="I91" i="1" s="1"/>
  <c r="I87" i="1"/>
  <c r="I143" i="1"/>
  <c r="I142" i="1"/>
  <c r="I144" i="1" s="1"/>
  <c r="I149" i="1"/>
  <c r="I150" i="1" s="1"/>
  <c r="I130" i="1"/>
  <c r="I131" i="1" s="1"/>
  <c r="I94" i="1"/>
  <c r="I93" i="1"/>
  <c r="I100" i="1"/>
  <c r="I101" i="1" s="1"/>
  <c r="I21" i="1"/>
  <c r="I37" i="1"/>
  <c r="I38" i="1"/>
  <c r="I48" i="1"/>
  <c r="I39" i="1" l="1"/>
  <c r="I82" i="1"/>
  <c r="O82" i="1" s="1"/>
  <c r="I95" i="1"/>
  <c r="I154" i="1"/>
  <c r="O154" i="1" s="1"/>
  <c r="C172" i="1"/>
  <c r="G172" i="1" s="1"/>
  <c r="G176" i="1" s="1"/>
  <c r="I49" i="1"/>
  <c r="I160" i="1"/>
  <c r="I159" i="1"/>
  <c r="I22" i="1"/>
  <c r="I161" i="1" s="1"/>
  <c r="I88" i="1"/>
  <c r="I104" i="1" s="1"/>
  <c r="O104" i="1" s="1"/>
  <c r="I10" i="1"/>
  <c r="I32" i="1"/>
  <c r="I162" i="1" l="1"/>
  <c r="I26" i="1"/>
  <c r="I52" i="1"/>
  <c r="O52" i="1" s="1"/>
  <c r="D172" i="1"/>
  <c r="D176" i="1" s="1"/>
  <c r="F172" i="1"/>
  <c r="F176" i="1" s="1"/>
  <c r="E172" i="1"/>
  <c r="E176" i="1" s="1"/>
  <c r="I158" i="1"/>
  <c r="I165" i="1" s="1"/>
  <c r="O165" i="1" s="1"/>
  <c r="I134" i="1"/>
  <c r="O134" i="1" s="1"/>
  <c r="K1" i="1" l="1"/>
  <c r="K52" i="1" s="1"/>
  <c r="D160" i="1"/>
  <c r="D163" i="1" s="1"/>
  <c r="K134" i="1" l="1"/>
  <c r="L134" i="1" s="1"/>
  <c r="M134" i="1" s="1"/>
  <c r="K154" i="1"/>
  <c r="L154" i="1" s="1"/>
  <c r="M154" i="1" s="1"/>
  <c r="K82" i="1"/>
  <c r="L82" i="1" s="1"/>
  <c r="M82" i="1" s="1"/>
  <c r="K104" i="1"/>
  <c r="L104" i="1" s="1"/>
  <c r="M104" i="1" s="1"/>
  <c r="L52" i="1"/>
  <c r="M52" i="1" s="1"/>
  <c r="C173" i="1"/>
  <c r="C176" i="1" l="1"/>
</calcChain>
</file>

<file path=xl/sharedStrings.xml><?xml version="1.0" encoding="utf-8"?>
<sst xmlns="http://schemas.openxmlformats.org/spreadsheetml/2006/main" count="245" uniqueCount="92">
  <si>
    <t>Accelerating Equitable Building Decarbonization Throughout the Building Lifecycle</t>
  </si>
  <si>
    <t>Budget Spreadsheet, Attachment</t>
  </si>
  <si>
    <t>Fringe Rate</t>
  </si>
  <si>
    <t>75% of year</t>
  </si>
  <si>
    <t>2029 (Jan-Oct)</t>
  </si>
  <si>
    <t>CPRG PROGRAM ADMINISTRATION</t>
  </si>
  <si>
    <t>Budget Categories</t>
  </si>
  <si>
    <t xml:space="preserve">Line Item &amp; Itemized Costs </t>
  </si>
  <si>
    <t xml:space="preserve">Year 1 </t>
  </si>
  <si>
    <t>Year 2</t>
  </si>
  <si>
    <t>Year 3</t>
  </si>
  <si>
    <t>Year 4</t>
  </si>
  <si>
    <t>Year 5</t>
  </si>
  <si>
    <t>Total EPA Funding</t>
  </si>
  <si>
    <t>Personnel</t>
  </si>
  <si>
    <t>CPRG Compliance Manager (Executive Analyst II)</t>
  </si>
  <si>
    <t>Building Decarbonization Program Manager (Project-Program Manager IV)</t>
  </si>
  <si>
    <t>TOTAL PERSONNEL</t>
  </si>
  <si>
    <t>Fringe Benefits</t>
  </si>
  <si>
    <t>TOTAL FRINGE</t>
  </si>
  <si>
    <t>Other</t>
  </si>
  <si>
    <t>Stipends for Community Workshop Attendees</t>
  </si>
  <si>
    <t>Interpretation &amp; Translation services</t>
  </si>
  <si>
    <t>Laptop, annual lease</t>
  </si>
  <si>
    <t>Monitor, one-time charge</t>
  </si>
  <si>
    <t>TOTAL OTHER</t>
  </si>
  <si>
    <t>Contractual</t>
  </si>
  <si>
    <t>n/a</t>
  </si>
  <si>
    <t>Travel</t>
  </si>
  <si>
    <t>Equipment</t>
  </si>
  <si>
    <t>Supplies</t>
  </si>
  <si>
    <r>
      <t>TOTAL FUNDING FOR</t>
    </r>
    <r>
      <rPr>
        <b/>
        <sz val="11"/>
        <rFont val="Calibri"/>
        <family val="2"/>
        <scheme val="minor"/>
      </rPr>
      <t xml:space="preserve"> CPRG P</t>
    </r>
    <r>
      <rPr>
        <b/>
        <sz val="11"/>
        <color theme="1"/>
        <rFont val="Calibri"/>
        <family val="2"/>
        <scheme val="minor"/>
      </rPr>
      <t>ROGRAM ADMINISTRATION</t>
    </r>
  </si>
  <si>
    <t>Measure #1. MULTIFAMILY PROGRAM</t>
  </si>
  <si>
    <t>Year 1</t>
  </si>
  <si>
    <t>Multifamily Program Manager (Project-Program Manager (PPM) IV)</t>
  </si>
  <si>
    <t>Multifamily Program Contract</t>
  </si>
  <si>
    <t>Benchmarking and Technical Support Contract(s)</t>
  </si>
  <si>
    <t>TOTAL CONTRACTUAL</t>
  </si>
  <si>
    <t>HPWH Rebate, Participant Support Costs</t>
  </si>
  <si>
    <t>C3 Workforce Development (Part), Subaward</t>
  </si>
  <si>
    <t>Workforce Development Stipends (King County only), Participant Support Costs (Part)</t>
  </si>
  <si>
    <r>
      <t>TOTAL FUNDING FOR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MULTIFAMILY</t>
    </r>
    <r>
      <rPr>
        <b/>
        <sz val="11"/>
        <color theme="1"/>
        <rFont val="Calibri"/>
        <family val="2"/>
        <scheme val="minor"/>
      </rPr>
      <t xml:space="preserve"> PROGRAM</t>
    </r>
  </si>
  <si>
    <t>Measure #2. COMMUNITY PROGRAM</t>
  </si>
  <si>
    <t>Community Electrification Program Manager (PPM IV)</t>
  </si>
  <si>
    <t>Family Care Program Administration Contract</t>
  </si>
  <si>
    <t xml:space="preserve">Electrification Contract(s) </t>
  </si>
  <si>
    <t>Weatherization Contract(s)</t>
  </si>
  <si>
    <t>Community Buildings, Technical Support Contract</t>
  </si>
  <si>
    <t>Family Care, Minor Home Repair Rebates, Participant Support Costs</t>
  </si>
  <si>
    <t xml:space="preserve">Community Grants, Non-Public Buildings, Participant Support Costs </t>
  </si>
  <si>
    <t>Community Grants, Public Building, Competitive Subawards</t>
  </si>
  <si>
    <r>
      <t>TOTAL FUNDING FOR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COMMUNITY</t>
    </r>
    <r>
      <rPr>
        <b/>
        <sz val="11"/>
        <color theme="1"/>
        <rFont val="Calibri"/>
        <family val="2"/>
        <scheme val="minor"/>
      </rPr>
      <t xml:space="preserve"> PROGRAM</t>
    </r>
  </si>
  <si>
    <t>Measure #3. EMBODIED CARBON PROGRAM</t>
  </si>
  <si>
    <t>Embodied Carbon Program Manager (PPM IV)</t>
  </si>
  <si>
    <t>Embodied Carbon Contracted Assistance</t>
  </si>
  <si>
    <r>
      <t>TOTAL FUNDING FOR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EMBODIED CARBON</t>
    </r>
    <r>
      <rPr>
        <b/>
        <sz val="11"/>
        <color theme="1"/>
        <rFont val="Calibri"/>
        <family val="2"/>
        <scheme val="minor"/>
      </rPr>
      <t xml:space="preserve"> PROGRAM</t>
    </r>
  </si>
  <si>
    <t>Measure #4. CIRCULAR LUMBER PROGRAM</t>
  </si>
  <si>
    <t>Circular Lumber Program Manager (PPM III)</t>
  </si>
  <si>
    <t>Distribution Sites, Miscellaneous Supplies</t>
  </si>
  <si>
    <t xml:space="preserve">Product Testing, Assembly Contract </t>
  </si>
  <si>
    <t>EPD Technical Assistance Contract</t>
  </si>
  <si>
    <t>CBO Workforce Development Partnership Contract(s)</t>
  </si>
  <si>
    <t>Deconstruction Workforce, Training Administration Contract</t>
  </si>
  <si>
    <t>Product Testing, Subaward</t>
  </si>
  <si>
    <t>Processor Grants, Participant Support Costs</t>
  </si>
  <si>
    <t xml:space="preserve">Manufacturer Grants, Participant Support Costs </t>
  </si>
  <si>
    <t>Deconstruction Training Stipends, Participant Support Costs</t>
  </si>
  <si>
    <r>
      <t>TOTAL FUNDING FOR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CIRCULAR LUMBER</t>
    </r>
    <r>
      <rPr>
        <b/>
        <sz val="11"/>
        <color theme="1"/>
        <rFont val="Calibri"/>
        <family val="2"/>
        <scheme val="minor"/>
      </rPr>
      <t xml:space="preserve"> PROGRAM</t>
    </r>
  </si>
  <si>
    <t>Measure #5. FINANCING PROGRAM</t>
  </si>
  <si>
    <t>Equitable Financing Program Manager (PPM III)</t>
  </si>
  <si>
    <r>
      <t>TOTAL FUNDING FOR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 xml:space="preserve">FINANCING </t>
    </r>
    <r>
      <rPr>
        <b/>
        <sz val="11"/>
        <color theme="1"/>
        <rFont val="Calibri"/>
        <family val="2"/>
        <scheme val="minor"/>
      </rPr>
      <t>PROGRAM</t>
    </r>
  </si>
  <si>
    <t>Proposal Budget Category Subtotals</t>
  </si>
  <si>
    <t>Proposal cost sans admin</t>
  </si>
  <si>
    <t>Total Grant Proposal</t>
  </si>
  <si>
    <t>Total EPA Funding by Category</t>
  </si>
  <si>
    <t>Total by Year</t>
  </si>
  <si>
    <t>First Year, Quarterly Breakdown</t>
  </si>
  <si>
    <t>Year 1, Total Costs</t>
  </si>
  <si>
    <t>Quarter 1</t>
  </si>
  <si>
    <t>Quarter 2</t>
  </si>
  <si>
    <t>Quarter 3</t>
  </si>
  <si>
    <t>Quarter 4</t>
  </si>
  <si>
    <t>Totals</t>
  </si>
  <si>
    <t>TOTAL SUPPLIES</t>
  </si>
  <si>
    <t xml:space="preserve">GHG Cost Effectiveness Per Measure Budget </t>
  </si>
  <si>
    <t>Portion of Admin. Budget to Add to Measure Budget</t>
  </si>
  <si>
    <r>
      <t xml:space="preserve">Revised Measure Budget for GHG Cost Effectiveness </t>
    </r>
    <r>
      <rPr>
        <i/>
        <sz val="11"/>
        <color theme="3" tint="-0.249977111117893"/>
        <rFont val="Calibri"/>
        <family val="2"/>
        <scheme val="minor"/>
      </rPr>
      <t>(adding portion of admin. budget )</t>
    </r>
  </si>
  <si>
    <r>
      <t xml:space="preserve">Percentage of Proposal Budget                        </t>
    </r>
    <r>
      <rPr>
        <i/>
        <sz val="11"/>
        <color theme="3" tint="-0.249977111117893"/>
        <rFont val="Calibri"/>
        <family val="2"/>
        <scheme val="minor"/>
      </rPr>
      <t>(after subtracting admin)</t>
    </r>
  </si>
  <si>
    <t xml:space="preserve">Cost Effectiveness of Measure       2025-2030 </t>
  </si>
  <si>
    <r>
      <t xml:space="preserve">2025-2030 Measure GHG Reductions     </t>
    </r>
    <r>
      <rPr>
        <i/>
        <sz val="11"/>
        <color theme="3" tint="-0.249977111117893"/>
        <rFont val="Calibri"/>
        <family val="2"/>
        <scheme val="minor"/>
      </rPr>
      <t xml:space="preserve"> in MTCO2e</t>
    </r>
    <r>
      <rPr>
        <b/>
        <i/>
        <sz val="11"/>
        <color theme="3" tint="-0.249977111117893"/>
        <rFont val="Calibri"/>
        <family val="2"/>
        <scheme val="minor"/>
      </rPr>
      <t xml:space="preserve"> </t>
    </r>
  </si>
  <si>
    <t>Office 365, annual subscription</t>
  </si>
  <si>
    <r>
      <t xml:space="preserve">Total Cost Effectiveness of Proposal </t>
    </r>
    <r>
      <rPr>
        <b/>
        <i/>
        <sz val="11"/>
        <color theme="3" tint="-0.249977111117893"/>
        <rFont val="Calibri"/>
        <family val="2"/>
        <scheme val="minor"/>
      </rPr>
      <t>(all MTCO2e/total budget)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</si>
</sst>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&quot;$&quot;* #,##0.0_);_(&quot;$&quot;* \(#,##0.0\);_(&quot;$&quot;* &quot;-&quot;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0"/>
      <color rgb="FF003399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i/>
      <sz val="10"/>
      <color theme="1" tint="0.499984740745262"/>
      <name val="Calibri"/>
      <family val="2"/>
      <scheme val="minor"/>
    </font>
    <font>
      <b/>
      <sz val="11"/>
      <color rgb="FF003399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i/>
      <sz val="11"/>
      <color theme="3" tint="-0.249977111117893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b/>
      <i/>
      <sz val="11"/>
      <color theme="3" tint="-0.249977111117893"/>
      <name val="Calibri"/>
      <family val="2"/>
      <scheme val="minor"/>
    </font>
    <font>
      <i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3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0" fillId="0" borderId="1" xfId="0" applyBorder="1"/>
    <xf numFmtId="164" fontId="0" fillId="0" borderId="1" xfId="1" applyNumberFormat="1" applyFont="1" applyBorder="1"/>
    <xf numFmtId="0" fontId="2" fillId="2" borderId="1" xfId="0" applyFont="1" applyFill="1" applyBorder="1" applyAlignment="1">
      <alignment horizontal="right"/>
    </xf>
    <xf numFmtId="0" fontId="0" fillId="0" borderId="1" xfId="0" applyFill="1" applyBorder="1"/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164" fontId="2" fillId="2" borderId="1" xfId="1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64" fontId="2" fillId="0" borderId="0" xfId="0" applyNumberFormat="1" applyFont="1"/>
    <xf numFmtId="164" fontId="3" fillId="0" borderId="5" xfId="0" applyNumberFormat="1" applyFont="1" applyBorder="1"/>
    <xf numFmtId="0" fontId="2" fillId="0" borderId="0" xfId="0" applyFont="1" applyAlignment="1">
      <alignment horizontal="center"/>
    </xf>
    <xf numFmtId="164" fontId="0" fillId="0" borderId="1" xfId="1" applyNumberFormat="1" applyFont="1" applyFill="1" applyBorder="1"/>
    <xf numFmtId="164" fontId="8" fillId="0" borderId="1" xfId="1" applyNumberFormat="1" applyFont="1" applyBorder="1" applyAlignment="1">
      <alignment wrapText="1"/>
    </xf>
    <xf numFmtId="0" fontId="2" fillId="2" borderId="4" xfId="0" applyFont="1" applyFill="1" applyBorder="1" applyAlignment="1"/>
    <xf numFmtId="0" fontId="0" fillId="0" borderId="0" xfId="0" applyAlignment="1">
      <alignment vertical="top"/>
    </xf>
    <xf numFmtId="0" fontId="2" fillId="0" borderId="1" xfId="0" applyFont="1" applyBorder="1" applyAlignment="1">
      <alignment vertical="top"/>
    </xf>
    <xf numFmtId="164" fontId="0" fillId="0" borderId="1" xfId="1" applyNumberFormat="1" applyFont="1" applyBorder="1" applyAlignment="1"/>
    <xf numFmtId="0" fontId="7" fillId="0" borderId="1" xfId="0" applyFont="1" applyBorder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wrapText="1"/>
    </xf>
    <xf numFmtId="0" fontId="9" fillId="0" borderId="0" xfId="0" applyFont="1" applyAlignment="1">
      <alignment horizontal="right"/>
    </xf>
    <xf numFmtId="164" fontId="0" fillId="0" borderId="0" xfId="0" applyNumberFormat="1" applyFill="1"/>
    <xf numFmtId="0" fontId="3" fillId="0" borderId="0" xfId="0" applyFont="1" applyFill="1"/>
    <xf numFmtId="0" fontId="10" fillId="0" borderId="0" xfId="0" applyFont="1" applyAlignment="1">
      <alignment horizontal="center"/>
    </xf>
    <xf numFmtId="164" fontId="0" fillId="0" borderId="1" xfId="1" applyNumberFormat="1" applyFont="1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164" fontId="0" fillId="0" borderId="1" xfId="0" applyNumberFormat="1" applyFont="1" applyBorder="1"/>
    <xf numFmtId="0" fontId="2" fillId="0" borderId="6" xfId="0" applyFont="1" applyBorder="1" applyAlignment="1">
      <alignment horizontal="center" vertical="top" wrapText="1"/>
    </xf>
    <xf numFmtId="0" fontId="2" fillId="4" borderId="1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164" fontId="2" fillId="0" borderId="1" xfId="0" applyNumberFormat="1" applyFont="1" applyBorder="1"/>
    <xf numFmtId="0" fontId="2" fillId="0" borderId="7" xfId="0" applyFont="1" applyBorder="1"/>
    <xf numFmtId="0" fontId="0" fillId="0" borderId="7" xfId="0" applyBorder="1"/>
    <xf numFmtId="164" fontId="0" fillId="0" borderId="1" xfId="0" applyNumberFormat="1" applyBorder="1"/>
    <xf numFmtId="0" fontId="2" fillId="0" borderId="6" xfId="0" applyFont="1" applyBorder="1" applyAlignment="1">
      <alignment horizontal="right"/>
    </xf>
    <xf numFmtId="0" fontId="0" fillId="0" borderId="6" xfId="0" applyBorder="1"/>
    <xf numFmtId="164" fontId="2" fillId="0" borderId="6" xfId="0" applyNumberFormat="1" applyFont="1" applyBorder="1"/>
    <xf numFmtId="164" fontId="0" fillId="0" borderId="1" xfId="0" applyNumberFormat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44" fontId="0" fillId="0" borderId="1" xfId="0" applyNumberFormat="1" applyBorder="1"/>
    <xf numFmtId="164" fontId="0" fillId="0" borderId="7" xfId="0" applyNumberFormat="1" applyBorder="1" applyAlignment="1">
      <alignment horizontal="left"/>
    </xf>
    <xf numFmtId="164" fontId="0" fillId="0" borderId="7" xfId="0" applyNumberFormat="1" applyBorder="1"/>
    <xf numFmtId="164" fontId="2" fillId="0" borderId="6" xfId="0" applyNumberFormat="1" applyFont="1" applyBorder="1" applyAlignment="1">
      <alignment horizontal="right"/>
    </xf>
    <xf numFmtId="165" fontId="0" fillId="0" borderId="1" xfId="0" applyNumberFormat="1" applyBorder="1"/>
    <xf numFmtId="44" fontId="11" fillId="0" borderId="6" xfId="0" applyNumberFormat="1" applyFont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horizontal="right"/>
    </xf>
    <xf numFmtId="164" fontId="2" fillId="0" borderId="1" xfId="1" applyNumberFormat="1" applyFont="1" applyFill="1" applyBorder="1"/>
    <xf numFmtId="0" fontId="2" fillId="0" borderId="1" xfId="0" applyFont="1" applyFill="1" applyBorder="1" applyAlignment="1">
      <alignment horizontal="left"/>
    </xf>
    <xf numFmtId="0" fontId="2" fillId="3" borderId="10" xfId="0" applyFont="1" applyFill="1" applyBorder="1" applyAlignment="1">
      <alignment horizontal="left"/>
    </xf>
    <xf numFmtId="0" fontId="2" fillId="3" borderId="9" xfId="0" applyFont="1" applyFill="1" applyBorder="1" applyAlignment="1">
      <alignment horizontal="left"/>
    </xf>
    <xf numFmtId="0" fontId="2" fillId="3" borderId="11" xfId="0" applyFont="1" applyFill="1" applyBorder="1" applyAlignment="1">
      <alignment horizontal="left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4" fillId="0" borderId="0" xfId="0" applyFont="1"/>
    <xf numFmtId="0" fontId="12" fillId="0" borderId="0" xfId="0" applyFont="1" applyAlignment="1">
      <alignment vertical="top" wrapText="1"/>
    </xf>
    <xf numFmtId="0" fontId="14" fillId="0" borderId="0" xfId="0" applyFont="1" applyAlignment="1">
      <alignment vertical="top"/>
    </xf>
    <xf numFmtId="44" fontId="14" fillId="0" borderId="0" xfId="0" applyNumberFormat="1" applyFont="1"/>
    <xf numFmtId="164" fontId="12" fillId="0" borderId="0" xfId="0" applyNumberFormat="1" applyFont="1"/>
    <xf numFmtId="0" fontId="14" fillId="0" borderId="0" xfId="0" applyFont="1" applyFill="1"/>
    <xf numFmtId="164" fontId="14" fillId="0" borderId="0" xfId="0" applyNumberFormat="1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9" fontId="14" fillId="0" borderId="2" xfId="2" applyFont="1" applyBorder="1"/>
    <xf numFmtId="44" fontId="14" fillId="0" borderId="4" xfId="0" applyNumberFormat="1" applyFont="1" applyBorder="1"/>
    <xf numFmtId="164" fontId="12" fillId="0" borderId="4" xfId="0" applyNumberFormat="1" applyFont="1" applyBorder="1"/>
    <xf numFmtId="164" fontId="14" fillId="0" borderId="4" xfId="0" applyNumberFormat="1" applyFont="1" applyBorder="1"/>
    <xf numFmtId="164" fontId="0" fillId="0" borderId="1" xfId="0" applyNumberFormat="1" applyFont="1" applyFill="1" applyBorder="1"/>
    <xf numFmtId="164" fontId="2" fillId="0" borderId="1" xfId="0" applyNumberFormat="1" applyFont="1" applyFill="1" applyBorder="1"/>
    <xf numFmtId="0" fontId="2" fillId="0" borderId="7" xfId="0" applyFont="1" applyFill="1" applyBorder="1"/>
    <xf numFmtId="0" fontId="0" fillId="0" borderId="7" xfId="0" applyFill="1" applyBorder="1"/>
    <xf numFmtId="164" fontId="0" fillId="0" borderId="7" xfId="0" applyNumberFormat="1" applyFont="1" applyFill="1" applyBorder="1"/>
    <xf numFmtId="164" fontId="2" fillId="0" borderId="7" xfId="0" applyNumberFormat="1" applyFont="1" applyFill="1" applyBorder="1"/>
    <xf numFmtId="3" fontId="14" fillId="0" borderId="0" xfId="0" applyNumberFormat="1" applyFont="1" applyFill="1"/>
    <xf numFmtId="0" fontId="16" fillId="0" borderId="0" xfId="0" applyFont="1"/>
    <xf numFmtId="164" fontId="16" fillId="0" borderId="0" xfId="0" applyNumberFormat="1" applyFont="1"/>
    <xf numFmtId="0" fontId="9" fillId="0" borderId="8" xfId="0" applyFont="1" applyFill="1" applyBorder="1"/>
    <xf numFmtId="9" fontId="9" fillId="0" borderId="6" xfId="2" applyFont="1" applyFill="1" applyBorder="1" applyAlignment="1">
      <alignment horizontal="left"/>
    </xf>
    <xf numFmtId="0" fontId="12" fillId="0" borderId="0" xfId="0" applyFont="1" applyFill="1" applyAlignment="1">
      <alignment horizontal="center" vertical="top" wrapText="1"/>
    </xf>
    <xf numFmtId="3" fontId="12" fillId="0" borderId="0" xfId="0" applyNumberFormat="1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3" fontId="14" fillId="0" borderId="0" xfId="0" applyNumberFormat="1" applyFont="1" applyFill="1" applyAlignment="1">
      <alignment vertical="top"/>
    </xf>
    <xf numFmtId="0" fontId="14" fillId="0" borderId="0" xfId="0" applyFont="1" applyFill="1" applyAlignment="1">
      <alignment vertical="top"/>
    </xf>
    <xf numFmtId="3" fontId="14" fillId="0" borderId="0" xfId="2" applyNumberFormat="1" applyFont="1" applyFill="1"/>
    <xf numFmtId="3" fontId="12" fillId="0" borderId="4" xfId="0" applyNumberFormat="1" applyFont="1" applyFill="1" applyBorder="1"/>
    <xf numFmtId="44" fontId="14" fillId="0" borderId="3" xfId="0" applyNumberFormat="1" applyFont="1" applyFill="1" applyBorder="1"/>
    <xf numFmtId="3" fontId="12" fillId="0" borderId="0" xfId="0" applyNumberFormat="1" applyFont="1" applyFill="1"/>
    <xf numFmtId="3" fontId="14" fillId="0" borderId="4" xfId="0" applyNumberFormat="1" applyFont="1" applyFill="1" applyBorder="1"/>
    <xf numFmtId="164" fontId="14" fillId="0" borderId="0" xfId="0" applyNumberFormat="1" applyFont="1" applyFill="1"/>
    <xf numFmtId="37" fontId="12" fillId="0" borderId="12" xfId="0" applyNumberFormat="1" applyFont="1" applyFill="1" applyBorder="1"/>
    <xf numFmtId="44" fontId="12" fillId="0" borderId="13" xfId="0" applyNumberFormat="1" applyFont="1" applyFill="1" applyBorder="1"/>
    <xf numFmtId="0" fontId="12" fillId="0" borderId="14" xfId="0" applyFont="1" applyFill="1" applyBorder="1" applyAlignment="1">
      <alignment horizont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10" xfId="0" applyFont="1" applyFill="1" applyBorder="1" applyAlignment="1">
      <alignment horizontal="center" wrapText="1"/>
    </xf>
    <xf numFmtId="0" fontId="12" fillId="0" borderId="1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0FFFF"/>
      <color rgb="FF003399"/>
      <color rgb="FFFFFF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A2AD3-9AAA-404E-8441-3413E81E0BB2}">
  <dimension ref="A1:P176"/>
  <sheetViews>
    <sheetView tabSelected="1" zoomScale="70" zoomScaleNormal="70" workbookViewId="0">
      <pane ySplit="4" topLeftCell="A159" activePane="bottomLeft" state="frozen"/>
      <selection pane="bottomLeft" activeCell="D177" sqref="D177"/>
    </sheetView>
  </sheetViews>
  <sheetFormatPr defaultRowHeight="15" x14ac:dyDescent="0.25"/>
  <cols>
    <col min="1" max="1" width="3.5703125" customWidth="1"/>
    <col min="2" max="2" width="16.85546875" customWidth="1"/>
    <col min="3" max="3" width="44.85546875" customWidth="1"/>
    <col min="4" max="4" width="12.5703125" bestFit="1" customWidth="1"/>
    <col min="5" max="5" width="13.85546875" customWidth="1"/>
    <col min="6" max="6" width="14.140625" customWidth="1"/>
    <col min="7" max="7" width="13.85546875" customWidth="1"/>
    <col min="8" max="8" width="12.85546875" customWidth="1"/>
    <col min="9" max="9" width="15.42578125" customWidth="1"/>
    <col min="10" max="10" width="13.42578125" customWidth="1"/>
    <col min="11" max="11" width="22.140625" style="71" customWidth="1"/>
    <col min="12" max="12" width="17.5703125" style="71" customWidth="1"/>
    <col min="13" max="13" width="28.42578125" style="71" customWidth="1"/>
    <col min="14" max="14" width="17.5703125" style="76" customWidth="1"/>
    <col min="15" max="15" width="17.28515625" style="76" customWidth="1"/>
    <col min="16" max="16" width="19.28515625" style="71" customWidth="1"/>
    <col min="17" max="21" width="11.42578125" customWidth="1"/>
    <col min="22" max="22" width="13.140625" customWidth="1"/>
    <col min="23" max="23" width="10" bestFit="1" customWidth="1"/>
  </cols>
  <sheetData>
    <row r="1" spans="1:16" ht="15.75" x14ac:dyDescent="0.25">
      <c r="A1" s="30" t="s">
        <v>0</v>
      </c>
      <c r="B1" s="26"/>
      <c r="C1" s="26"/>
      <c r="D1" s="26"/>
      <c r="E1" s="26"/>
      <c r="F1" s="26"/>
      <c r="G1" s="26"/>
      <c r="H1" s="26"/>
      <c r="I1" s="26"/>
      <c r="K1" s="93">
        <f>I165-I26</f>
        <v>48100187.867479995</v>
      </c>
      <c r="L1" s="92" t="s">
        <v>72</v>
      </c>
    </row>
    <row r="2" spans="1:16" ht="15.75" x14ac:dyDescent="0.25">
      <c r="A2" s="1" t="s">
        <v>1</v>
      </c>
      <c r="H2" s="31" t="s">
        <v>3</v>
      </c>
      <c r="K2" s="68" t="s">
        <v>84</v>
      </c>
      <c r="L2" s="69"/>
      <c r="M2" s="69"/>
      <c r="N2" s="69"/>
      <c r="O2" s="70"/>
    </row>
    <row r="3" spans="1:16" ht="18" customHeight="1" x14ac:dyDescent="0.25">
      <c r="B3" s="28"/>
      <c r="D3" s="18">
        <v>2025</v>
      </c>
      <c r="E3" s="18">
        <v>2026</v>
      </c>
      <c r="F3" s="18">
        <v>2027</v>
      </c>
      <c r="G3" s="18">
        <v>2028</v>
      </c>
      <c r="H3" s="18" t="s">
        <v>4</v>
      </c>
      <c r="K3" s="80" t="s">
        <v>87</v>
      </c>
      <c r="L3" s="80" t="s">
        <v>85</v>
      </c>
      <c r="M3" s="80" t="s">
        <v>86</v>
      </c>
      <c r="N3" s="96" t="s">
        <v>89</v>
      </c>
      <c r="O3" s="96" t="s">
        <v>88</v>
      </c>
    </row>
    <row r="4" spans="1:16" ht="39" customHeight="1" thickBot="1" x14ac:dyDescent="0.3">
      <c r="B4" s="65" t="s">
        <v>6</v>
      </c>
      <c r="C4" s="66" t="s">
        <v>7</v>
      </c>
      <c r="D4" s="67" t="s">
        <v>8</v>
      </c>
      <c r="E4" s="67" t="s">
        <v>9</v>
      </c>
      <c r="F4" s="67" t="s">
        <v>10</v>
      </c>
      <c r="G4" s="67" t="s">
        <v>11</v>
      </c>
      <c r="H4" s="67" t="s">
        <v>12</v>
      </c>
      <c r="I4" s="67" t="s">
        <v>13</v>
      </c>
      <c r="K4" s="80"/>
      <c r="L4" s="80"/>
      <c r="M4" s="80"/>
      <c r="N4" s="96"/>
      <c r="O4" s="96"/>
      <c r="P4" s="79"/>
    </row>
    <row r="5" spans="1:16" x14ac:dyDescent="0.25">
      <c r="B5" s="62" t="s">
        <v>5</v>
      </c>
      <c r="C5" s="63"/>
      <c r="D5" s="63"/>
      <c r="E5" s="63"/>
      <c r="F5" s="63"/>
      <c r="G5" s="63"/>
      <c r="H5" s="63"/>
      <c r="I5" s="64"/>
    </row>
    <row r="6" spans="1:16" ht="30" x14ac:dyDescent="0.25">
      <c r="B6" s="14" t="s">
        <v>6</v>
      </c>
      <c r="C6" s="4" t="s">
        <v>7</v>
      </c>
      <c r="D6" s="5" t="s">
        <v>8</v>
      </c>
      <c r="E6" s="5" t="s">
        <v>9</v>
      </c>
      <c r="F6" s="5" t="s">
        <v>10</v>
      </c>
      <c r="G6" s="5" t="s">
        <v>11</v>
      </c>
      <c r="H6" s="5" t="s">
        <v>12</v>
      </c>
      <c r="I6" s="5" t="s">
        <v>13</v>
      </c>
      <c r="N6" s="91"/>
    </row>
    <row r="7" spans="1:16" x14ac:dyDescent="0.25">
      <c r="B7" s="6" t="s">
        <v>14</v>
      </c>
      <c r="C7" s="7"/>
      <c r="D7" s="8"/>
      <c r="E7" s="8"/>
      <c r="F7" s="8"/>
      <c r="G7" s="8"/>
      <c r="H7" s="8"/>
      <c r="I7" s="8"/>
      <c r="N7" s="91"/>
    </row>
    <row r="8" spans="1:16" x14ac:dyDescent="0.25">
      <c r="B8" s="6"/>
      <c r="C8" s="27" t="s">
        <v>15</v>
      </c>
      <c r="D8" s="19">
        <v>151488</v>
      </c>
      <c r="E8" s="19">
        <v>155456</v>
      </c>
      <c r="F8" s="19">
        <v>160435</v>
      </c>
      <c r="G8" s="19">
        <v>165532</v>
      </c>
      <c r="H8" s="19">
        <f>(G8+(G8*0.032))*0.75</f>
        <v>128121.76800000001</v>
      </c>
      <c r="I8" s="19">
        <f>SUM(D8:H8)</f>
        <v>761032.76800000004</v>
      </c>
      <c r="N8" s="91"/>
    </row>
    <row r="9" spans="1:16" ht="30" x14ac:dyDescent="0.25">
      <c r="B9" s="6"/>
      <c r="C9" s="15" t="s">
        <v>16</v>
      </c>
      <c r="D9" s="20"/>
      <c r="E9" s="19">
        <v>155347</v>
      </c>
      <c r="F9" s="19">
        <v>159305</v>
      </c>
      <c r="G9" s="19">
        <v>163364</v>
      </c>
      <c r="H9" s="29">
        <f>(G9+G9*0.025)*0.75</f>
        <v>125586.07500000001</v>
      </c>
      <c r="I9" s="8">
        <f>SUM(D9:H9)</f>
        <v>603602.07499999995</v>
      </c>
      <c r="N9" s="91"/>
    </row>
    <row r="10" spans="1:16" x14ac:dyDescent="0.25">
      <c r="B10" s="9"/>
      <c r="C10" s="9" t="s">
        <v>17</v>
      </c>
      <c r="D10" s="13">
        <f>D8</f>
        <v>151488</v>
      </c>
      <c r="E10" s="13">
        <f>SUM(E8:E9)</f>
        <v>310803</v>
      </c>
      <c r="F10" s="13">
        <f t="shared" ref="F10:H10" si="0">SUM(F8:F9)</f>
        <v>319740</v>
      </c>
      <c r="G10" s="13">
        <f t="shared" si="0"/>
        <v>328896</v>
      </c>
      <c r="H10" s="13">
        <f t="shared" si="0"/>
        <v>253707.84300000002</v>
      </c>
      <c r="I10" s="13">
        <f>SUM(I7:I9)</f>
        <v>1364634.8429999999</v>
      </c>
      <c r="N10" s="91"/>
    </row>
    <row r="11" spans="1:16" x14ac:dyDescent="0.25">
      <c r="B11" s="6" t="s">
        <v>18</v>
      </c>
      <c r="C11" s="7"/>
      <c r="D11" s="8"/>
      <c r="E11" s="8"/>
      <c r="F11" s="8"/>
      <c r="G11" s="8"/>
      <c r="H11" s="8"/>
      <c r="I11" s="8"/>
      <c r="N11" s="91"/>
    </row>
    <row r="12" spans="1:16" x14ac:dyDescent="0.25">
      <c r="B12" s="6"/>
      <c r="C12" s="7"/>
      <c r="D12" s="19">
        <f>$B$166*D10</f>
        <v>51505.920000000006</v>
      </c>
      <c r="E12" s="19">
        <f>$B$166*E10</f>
        <v>105673.02</v>
      </c>
      <c r="F12" s="19">
        <f>$B$166*F10</f>
        <v>108711.6</v>
      </c>
      <c r="G12" s="19">
        <f>$B$166*G10</f>
        <v>111824.64000000001</v>
      </c>
      <c r="H12" s="19">
        <f>$B$166*H10</f>
        <v>86260.666620000018</v>
      </c>
      <c r="I12" s="8">
        <f>SUM(D12:H12)</f>
        <v>463975.84662000008</v>
      </c>
      <c r="N12" s="91"/>
    </row>
    <row r="13" spans="1:16" x14ac:dyDescent="0.25">
      <c r="B13" s="9"/>
      <c r="C13" s="9" t="s">
        <v>19</v>
      </c>
      <c r="D13" s="13">
        <f>D12</f>
        <v>51505.920000000006</v>
      </c>
      <c r="E13" s="13">
        <f t="shared" ref="E13" si="1">E12</f>
        <v>105673.02</v>
      </c>
      <c r="F13" s="13">
        <f t="shared" ref="F13" si="2">F12</f>
        <v>108711.6</v>
      </c>
      <c r="G13" s="13">
        <f t="shared" ref="G13" si="3">G12</f>
        <v>111824.64000000001</v>
      </c>
      <c r="H13" s="13">
        <f t="shared" ref="H13" si="4">H12</f>
        <v>86260.666620000018</v>
      </c>
      <c r="I13" s="13">
        <f>SUM(I11:I12)</f>
        <v>463975.84662000008</v>
      </c>
      <c r="N13" s="91"/>
    </row>
    <row r="14" spans="1:16" x14ac:dyDescent="0.25">
      <c r="B14" s="61" t="s">
        <v>30</v>
      </c>
      <c r="C14" s="59"/>
      <c r="D14" s="60"/>
      <c r="E14" s="60"/>
      <c r="F14" s="60"/>
      <c r="G14" s="60"/>
      <c r="H14" s="60"/>
      <c r="I14" s="60"/>
      <c r="N14" s="91"/>
    </row>
    <row r="15" spans="1:16" x14ac:dyDescent="0.25">
      <c r="B15" s="59"/>
      <c r="C15" s="7" t="s">
        <v>90</v>
      </c>
      <c r="D15" s="8">
        <v>684</v>
      </c>
      <c r="E15" s="8">
        <f>684*2</f>
        <v>1368</v>
      </c>
      <c r="F15" s="8">
        <f t="shared" ref="F15:H15" si="5">684*2</f>
        <v>1368</v>
      </c>
      <c r="G15" s="8">
        <f t="shared" si="5"/>
        <v>1368</v>
      </c>
      <c r="H15" s="8">
        <f t="shared" si="5"/>
        <v>1368</v>
      </c>
      <c r="I15" s="8">
        <f t="shared" ref="I15:I16" si="6">SUM(D15:H15)</f>
        <v>6156</v>
      </c>
      <c r="N15" s="91"/>
    </row>
    <row r="16" spans="1:16" x14ac:dyDescent="0.25">
      <c r="B16" s="59"/>
      <c r="C16" s="7" t="s">
        <v>24</v>
      </c>
      <c r="D16" s="8">
        <v>400</v>
      </c>
      <c r="E16" s="8"/>
      <c r="F16" s="8"/>
      <c r="G16" s="8"/>
      <c r="H16" s="8"/>
      <c r="I16" s="8">
        <f t="shared" si="6"/>
        <v>400</v>
      </c>
      <c r="N16" s="91"/>
    </row>
    <row r="17" spans="2:16" x14ac:dyDescent="0.25">
      <c r="B17" s="9"/>
      <c r="C17" s="9" t="s">
        <v>83</v>
      </c>
      <c r="D17" s="13">
        <f>SUM(D15:D16)</f>
        <v>1084</v>
      </c>
      <c r="E17" s="13">
        <f t="shared" ref="E17" si="7">SUM(E15:E16)</f>
        <v>1368</v>
      </c>
      <c r="F17" s="13">
        <f t="shared" ref="F17" si="8">SUM(F15:F16)</f>
        <v>1368</v>
      </c>
      <c r="G17" s="13">
        <f t="shared" ref="G17" si="9">SUM(G15:G16)</f>
        <v>1368</v>
      </c>
      <c r="H17" s="13">
        <f t="shared" ref="H17" si="10">SUM(H15:H16)</f>
        <v>1368</v>
      </c>
      <c r="I17" s="13">
        <f>SUM(I15:I16)</f>
        <v>6556</v>
      </c>
      <c r="N17" s="91"/>
    </row>
    <row r="18" spans="2:16" x14ac:dyDescent="0.25">
      <c r="B18" s="6" t="s">
        <v>20</v>
      </c>
      <c r="C18" s="7"/>
      <c r="D18" s="8"/>
      <c r="E18" s="8"/>
      <c r="F18" s="8"/>
      <c r="G18" s="8"/>
      <c r="H18" s="8"/>
      <c r="I18" s="8"/>
      <c r="N18" s="91"/>
    </row>
    <row r="19" spans="2:16" x14ac:dyDescent="0.25">
      <c r="B19" s="6"/>
      <c r="C19" s="27" t="s">
        <v>21</v>
      </c>
      <c r="D19" s="19">
        <v>12000</v>
      </c>
      <c r="E19" s="19"/>
      <c r="F19" s="19">
        <v>12000</v>
      </c>
      <c r="G19" s="19">
        <v>12000</v>
      </c>
      <c r="H19" s="19"/>
      <c r="I19" s="19">
        <f>SUM(D19:H19)</f>
        <v>36000</v>
      </c>
      <c r="N19" s="91"/>
    </row>
    <row r="20" spans="2:16" x14ac:dyDescent="0.25">
      <c r="B20" s="6"/>
      <c r="C20" s="27" t="s">
        <v>22</v>
      </c>
      <c r="D20" s="19">
        <v>7200</v>
      </c>
      <c r="E20" s="19"/>
      <c r="F20" s="19">
        <v>7200</v>
      </c>
      <c r="G20" s="19">
        <v>7200</v>
      </c>
      <c r="H20" s="19"/>
      <c r="I20" s="19">
        <f>SUM(D20:H20)</f>
        <v>21600</v>
      </c>
      <c r="N20" s="91"/>
    </row>
    <row r="21" spans="2:16" x14ac:dyDescent="0.25">
      <c r="B21" s="7"/>
      <c r="C21" s="7" t="s">
        <v>23</v>
      </c>
      <c r="D21" s="8">
        <v>780</v>
      </c>
      <c r="E21" s="8">
        <f>780*2</f>
        <v>1560</v>
      </c>
      <c r="F21" s="8">
        <f t="shared" ref="F21:H21" si="11">780*2</f>
        <v>1560</v>
      </c>
      <c r="G21" s="8">
        <f t="shared" si="11"/>
        <v>1560</v>
      </c>
      <c r="H21" s="8">
        <f t="shared" si="11"/>
        <v>1560</v>
      </c>
      <c r="I21" s="8">
        <f>SUM(D21:H21)</f>
        <v>7020</v>
      </c>
      <c r="N21" s="91"/>
    </row>
    <row r="22" spans="2:16" x14ac:dyDescent="0.25">
      <c r="B22" s="9"/>
      <c r="C22" s="9" t="s">
        <v>25</v>
      </c>
      <c r="D22" s="13">
        <f>SUM(D19:D21)</f>
        <v>19980</v>
      </c>
      <c r="E22" s="13">
        <f>SUM(E19:E21)</f>
        <v>1560</v>
      </c>
      <c r="F22" s="13">
        <f>SUM(F19:F21)</f>
        <v>20760</v>
      </c>
      <c r="G22" s="13">
        <f>SUM(G19:G21)</f>
        <v>20760</v>
      </c>
      <c r="H22" s="13">
        <f>SUM(H19:H21)</f>
        <v>1560</v>
      </c>
      <c r="I22" s="13">
        <f>SUM(I19:I21)</f>
        <v>64620</v>
      </c>
      <c r="N22" s="91"/>
    </row>
    <row r="23" spans="2:16" x14ac:dyDescent="0.25">
      <c r="B23" s="6" t="s">
        <v>26</v>
      </c>
      <c r="C23" s="10" t="s">
        <v>27</v>
      </c>
      <c r="D23" s="7"/>
      <c r="E23" s="7"/>
      <c r="F23" s="7"/>
      <c r="G23" s="7"/>
      <c r="H23" s="7"/>
      <c r="I23" s="7"/>
      <c r="N23" s="91"/>
    </row>
    <row r="24" spans="2:16" x14ac:dyDescent="0.25">
      <c r="B24" s="6" t="s">
        <v>28</v>
      </c>
      <c r="C24" s="10" t="s">
        <v>27</v>
      </c>
      <c r="D24" s="7"/>
      <c r="E24" s="7"/>
      <c r="F24" s="7"/>
      <c r="G24" s="7"/>
      <c r="H24" s="7"/>
      <c r="I24" s="7"/>
      <c r="N24" s="91"/>
    </row>
    <row r="25" spans="2:16" x14ac:dyDescent="0.25">
      <c r="B25" s="6" t="s">
        <v>29</v>
      </c>
      <c r="C25" s="10" t="s">
        <v>27</v>
      </c>
      <c r="D25" s="7"/>
      <c r="E25" s="7"/>
      <c r="F25" s="7"/>
      <c r="G25" s="7"/>
      <c r="H25" s="7"/>
      <c r="I25" s="7"/>
      <c r="N25" s="91"/>
    </row>
    <row r="26" spans="2:16" x14ac:dyDescent="0.25">
      <c r="B26" s="11" t="s">
        <v>31</v>
      </c>
      <c r="C26" s="21"/>
      <c r="D26" s="21"/>
      <c r="E26" s="21"/>
      <c r="F26" s="21"/>
      <c r="G26" s="21"/>
      <c r="H26" s="12"/>
      <c r="I26" s="13">
        <f>SUM(I10,I13,I22,I17)</f>
        <v>1899786.6896199998</v>
      </c>
      <c r="N26" s="91"/>
    </row>
    <row r="27" spans="2:16" x14ac:dyDescent="0.25">
      <c r="N27" s="91"/>
    </row>
    <row r="28" spans="2:16" x14ac:dyDescent="0.25">
      <c r="B28" s="37" t="s">
        <v>32</v>
      </c>
      <c r="C28" s="38"/>
      <c r="D28" s="38"/>
      <c r="E28" s="38"/>
      <c r="F28" s="38"/>
      <c r="G28" s="38"/>
      <c r="H28" s="38"/>
      <c r="I28" s="39"/>
      <c r="N28" s="91"/>
    </row>
    <row r="29" spans="2:16" s="2" customFormat="1" ht="30" x14ac:dyDescent="0.25">
      <c r="B29" s="5" t="s">
        <v>6</v>
      </c>
      <c r="C29" s="4" t="s">
        <v>7</v>
      </c>
      <c r="D29" s="5" t="s">
        <v>33</v>
      </c>
      <c r="E29" s="5" t="s">
        <v>9</v>
      </c>
      <c r="F29" s="5" t="s">
        <v>10</v>
      </c>
      <c r="G29" s="5" t="s">
        <v>11</v>
      </c>
      <c r="H29" s="5" t="s">
        <v>12</v>
      </c>
      <c r="I29" s="5" t="s">
        <v>13</v>
      </c>
      <c r="K29" s="72"/>
      <c r="L29" s="72"/>
      <c r="M29" s="72"/>
      <c r="N29" s="97"/>
      <c r="O29" s="98"/>
      <c r="P29" s="72"/>
    </row>
    <row r="30" spans="2:16" x14ac:dyDescent="0.25">
      <c r="B30" s="6" t="s">
        <v>14</v>
      </c>
      <c r="C30" s="7"/>
      <c r="D30" s="8"/>
      <c r="E30" s="8"/>
      <c r="F30" s="8"/>
      <c r="G30" s="8"/>
      <c r="H30" s="8"/>
      <c r="I30" s="8"/>
      <c r="N30" s="91"/>
    </row>
    <row r="31" spans="2:16" ht="30" x14ac:dyDescent="0.25">
      <c r="B31" s="6"/>
      <c r="C31" s="15" t="s">
        <v>34</v>
      </c>
      <c r="D31" s="8">
        <v>144852</v>
      </c>
      <c r="E31" s="8">
        <v>148645</v>
      </c>
      <c r="F31" s="8">
        <v>153406</v>
      </c>
      <c r="G31" s="8">
        <v>158281</v>
      </c>
      <c r="H31" s="19">
        <f>(G31+(G31*0.032))*0.75</f>
        <v>122509.49400000001</v>
      </c>
      <c r="I31" s="8">
        <f>SUM(D31:H31)</f>
        <v>727693.49399999995</v>
      </c>
      <c r="N31" s="91"/>
    </row>
    <row r="32" spans="2:16" x14ac:dyDescent="0.25">
      <c r="B32" s="9"/>
      <c r="C32" s="9" t="s">
        <v>17</v>
      </c>
      <c r="D32" s="13">
        <f>D31</f>
        <v>144852</v>
      </c>
      <c r="E32" s="13">
        <f t="shared" ref="E32" si="12">E31</f>
        <v>148645</v>
      </c>
      <c r="F32" s="13">
        <f t="shared" ref="F32" si="13">F31</f>
        <v>153406</v>
      </c>
      <c r="G32" s="13">
        <f t="shared" ref="G32" si="14">G31</f>
        <v>158281</v>
      </c>
      <c r="H32" s="13">
        <f>H31</f>
        <v>122509.49400000001</v>
      </c>
      <c r="I32" s="13">
        <f>SUM(I30:I31)</f>
        <v>727693.49399999995</v>
      </c>
      <c r="N32" s="91"/>
    </row>
    <row r="33" spans="2:16" x14ac:dyDescent="0.25">
      <c r="B33" s="6" t="s">
        <v>18</v>
      </c>
      <c r="C33" s="7"/>
      <c r="D33" s="8"/>
      <c r="E33" s="8"/>
      <c r="F33" s="8"/>
      <c r="G33" s="8"/>
      <c r="H33" s="8"/>
      <c r="I33" s="8"/>
      <c r="N33" s="91"/>
    </row>
    <row r="34" spans="2:16" x14ac:dyDescent="0.25">
      <c r="B34" s="6"/>
      <c r="C34" s="7"/>
      <c r="D34" s="19">
        <f>$B$166*D31</f>
        <v>49249.68</v>
      </c>
      <c r="E34" s="19">
        <f>$B$166*E31</f>
        <v>50539.3</v>
      </c>
      <c r="F34" s="19">
        <f>$B$166*F31</f>
        <v>52158.04</v>
      </c>
      <c r="G34" s="19">
        <f>$B$166*G31</f>
        <v>53815.54</v>
      </c>
      <c r="H34" s="19">
        <f>$B$166*H31</f>
        <v>41653.227960000004</v>
      </c>
      <c r="I34" s="8">
        <f>SUM(D34:H34)</f>
        <v>247415.78796000005</v>
      </c>
      <c r="N34" s="91"/>
    </row>
    <row r="35" spans="2:16" x14ac:dyDescent="0.25">
      <c r="B35" s="9"/>
      <c r="C35" s="9" t="s">
        <v>19</v>
      </c>
      <c r="D35" s="13">
        <f>D34</f>
        <v>49249.68</v>
      </c>
      <c r="E35" s="13">
        <f t="shared" ref="E35" si="15">E34</f>
        <v>50539.3</v>
      </c>
      <c r="F35" s="13">
        <f t="shared" ref="F35" si="16">F34</f>
        <v>52158.04</v>
      </c>
      <c r="G35" s="13">
        <f t="shared" ref="G35" si="17">G34</f>
        <v>53815.54</v>
      </c>
      <c r="H35" s="13">
        <f t="shared" ref="H35" si="18">H34</f>
        <v>41653.227960000004</v>
      </c>
      <c r="I35" s="13">
        <f>SUM(I33:I34)</f>
        <v>247415.78796000005</v>
      </c>
      <c r="N35" s="91"/>
    </row>
    <row r="36" spans="2:16" x14ac:dyDescent="0.25">
      <c r="B36" s="61" t="s">
        <v>30</v>
      </c>
      <c r="C36" s="59"/>
      <c r="D36" s="60"/>
      <c r="E36" s="60"/>
      <c r="F36" s="60"/>
      <c r="G36" s="60"/>
      <c r="H36" s="60"/>
      <c r="I36" s="60"/>
      <c r="N36" s="91"/>
    </row>
    <row r="37" spans="2:16" x14ac:dyDescent="0.25">
      <c r="B37" s="59"/>
      <c r="C37" s="7" t="s">
        <v>90</v>
      </c>
      <c r="D37" s="8">
        <v>684</v>
      </c>
      <c r="E37" s="8">
        <v>684</v>
      </c>
      <c r="F37" s="8">
        <v>684</v>
      </c>
      <c r="G37" s="8">
        <v>684</v>
      </c>
      <c r="H37" s="8">
        <v>684</v>
      </c>
      <c r="I37" s="8">
        <f t="shared" ref="I37:I38" si="19">SUM(D37:H37)</f>
        <v>3420</v>
      </c>
      <c r="N37" s="91"/>
    </row>
    <row r="38" spans="2:16" x14ac:dyDescent="0.25">
      <c r="B38" s="59"/>
      <c r="C38" s="7" t="s">
        <v>24</v>
      </c>
      <c r="D38" s="8">
        <v>400</v>
      </c>
      <c r="E38" s="8"/>
      <c r="F38" s="8"/>
      <c r="G38" s="8"/>
      <c r="H38" s="8"/>
      <c r="I38" s="8">
        <f t="shared" si="19"/>
        <v>400</v>
      </c>
      <c r="N38" s="91"/>
    </row>
    <row r="39" spans="2:16" x14ac:dyDescent="0.25">
      <c r="B39" s="9"/>
      <c r="C39" s="9" t="s">
        <v>83</v>
      </c>
      <c r="D39" s="13">
        <f>SUM(D37:D38)</f>
        <v>1084</v>
      </c>
      <c r="E39" s="13">
        <f t="shared" ref="E39:H39" si="20">SUM(E37:E38)</f>
        <v>684</v>
      </c>
      <c r="F39" s="13">
        <f t="shared" si="20"/>
        <v>684</v>
      </c>
      <c r="G39" s="13">
        <f t="shared" si="20"/>
        <v>684</v>
      </c>
      <c r="H39" s="13">
        <f t="shared" si="20"/>
        <v>684</v>
      </c>
      <c r="I39" s="13">
        <f>SUM(I37:I38)</f>
        <v>3820</v>
      </c>
      <c r="N39" s="91"/>
    </row>
    <row r="40" spans="2:16" x14ac:dyDescent="0.25">
      <c r="B40" s="6" t="s">
        <v>26</v>
      </c>
      <c r="C40" s="7"/>
      <c r="D40" s="8"/>
      <c r="E40" s="8"/>
      <c r="F40" s="8"/>
      <c r="G40" s="8"/>
      <c r="H40" s="8"/>
      <c r="I40" s="8"/>
      <c r="N40" s="91"/>
    </row>
    <row r="41" spans="2:16" s="22" customFormat="1" x14ac:dyDescent="0.25">
      <c r="B41" s="23"/>
      <c r="C41" s="33" t="s">
        <v>35</v>
      </c>
      <c r="D41" s="32">
        <v>48410</v>
      </c>
      <c r="E41" s="32">
        <v>1844765</v>
      </c>
      <c r="F41" s="32">
        <v>7053285</v>
      </c>
      <c r="G41" s="32">
        <v>5588934</v>
      </c>
      <c r="H41" s="32"/>
      <c r="I41" s="24">
        <f>SUM(D41:H41)</f>
        <v>14535394</v>
      </c>
      <c r="K41" s="73"/>
      <c r="L41" s="73"/>
      <c r="M41" s="73"/>
      <c r="N41" s="99"/>
      <c r="O41" s="100"/>
      <c r="P41" s="73"/>
    </row>
    <row r="42" spans="2:16" s="22" customFormat="1" x14ac:dyDescent="0.25">
      <c r="B42" s="23"/>
      <c r="C42" s="33" t="s">
        <v>36</v>
      </c>
      <c r="D42" s="32">
        <v>51500</v>
      </c>
      <c r="E42" s="32">
        <v>768500</v>
      </c>
      <c r="F42" s="32">
        <v>872000</v>
      </c>
      <c r="G42" s="32"/>
      <c r="H42" s="32"/>
      <c r="I42" s="24">
        <f>SUM(D42:H42)</f>
        <v>1692000</v>
      </c>
      <c r="K42" s="73"/>
      <c r="L42" s="73"/>
      <c r="M42" s="73"/>
      <c r="N42" s="99"/>
      <c r="O42" s="100"/>
      <c r="P42" s="73"/>
    </row>
    <row r="43" spans="2:16" x14ac:dyDescent="0.25">
      <c r="B43" s="9"/>
      <c r="C43" s="9" t="s">
        <v>37</v>
      </c>
      <c r="D43" s="13">
        <f>SUM(D41:D42)</f>
        <v>99910</v>
      </c>
      <c r="E43" s="13">
        <f t="shared" ref="E43:H43" si="21">SUM(E41:E42)</f>
        <v>2613265</v>
      </c>
      <c r="F43" s="13">
        <f>SUM(F41:F42)</f>
        <v>7925285</v>
      </c>
      <c r="G43" s="13">
        <f t="shared" si="21"/>
        <v>5588934</v>
      </c>
      <c r="H43" s="13">
        <f t="shared" si="21"/>
        <v>0</v>
      </c>
      <c r="I43" s="13">
        <f>SUM(I41:I42)</f>
        <v>16227394</v>
      </c>
      <c r="N43" s="91"/>
    </row>
    <row r="44" spans="2:16" x14ac:dyDescent="0.25">
      <c r="B44" s="6" t="s">
        <v>20</v>
      </c>
      <c r="C44" s="7"/>
      <c r="D44" s="8"/>
      <c r="E44" s="8"/>
      <c r="F44" s="8"/>
      <c r="G44" s="8"/>
      <c r="H44" s="8"/>
      <c r="I44" s="8"/>
      <c r="N44" s="91"/>
    </row>
    <row r="45" spans="2:16" x14ac:dyDescent="0.25">
      <c r="B45" s="6"/>
      <c r="C45" s="7" t="s">
        <v>38</v>
      </c>
      <c r="D45" s="32"/>
      <c r="E45" s="32">
        <v>122843</v>
      </c>
      <c r="F45" s="32">
        <v>714130</v>
      </c>
      <c r="G45" s="32">
        <v>549880</v>
      </c>
      <c r="H45" s="32"/>
      <c r="I45" s="19">
        <f t="shared" ref="I45:I47" si="22">SUM(D45:H45)</f>
        <v>1386853</v>
      </c>
      <c r="N45" s="91"/>
    </row>
    <row r="46" spans="2:16" x14ac:dyDescent="0.25">
      <c r="B46" s="6"/>
      <c r="C46" s="27" t="s">
        <v>39</v>
      </c>
      <c r="D46" s="19">
        <v>30500</v>
      </c>
      <c r="E46" s="19">
        <v>112800</v>
      </c>
      <c r="F46" s="19">
        <v>118800</v>
      </c>
      <c r="G46" s="19">
        <v>118800</v>
      </c>
      <c r="H46" s="19"/>
      <c r="I46" s="19">
        <f t="shared" si="22"/>
        <v>380900</v>
      </c>
      <c r="N46" s="91"/>
    </row>
    <row r="47" spans="2:16" ht="30" x14ac:dyDescent="0.25">
      <c r="B47" s="6"/>
      <c r="C47" s="27" t="s">
        <v>40</v>
      </c>
      <c r="D47" s="19"/>
      <c r="E47" s="19">
        <v>48000</v>
      </c>
      <c r="F47" s="19">
        <v>54000</v>
      </c>
      <c r="G47" s="19">
        <v>54000</v>
      </c>
      <c r="H47" s="19"/>
      <c r="I47" s="19">
        <f t="shared" si="22"/>
        <v>156000</v>
      </c>
      <c r="N47" s="91"/>
    </row>
    <row r="48" spans="2:16" x14ac:dyDescent="0.25">
      <c r="B48" s="7"/>
      <c r="C48" s="7" t="s">
        <v>23</v>
      </c>
      <c r="D48" s="8">
        <v>780</v>
      </c>
      <c r="E48" s="8">
        <v>780</v>
      </c>
      <c r="F48" s="8">
        <v>780</v>
      </c>
      <c r="G48" s="8">
        <v>780</v>
      </c>
      <c r="H48" s="8">
        <v>780</v>
      </c>
      <c r="I48" s="8">
        <f>SUM(D48:H48)</f>
        <v>3900</v>
      </c>
      <c r="N48" s="91"/>
    </row>
    <row r="49" spans="2:16" x14ac:dyDescent="0.25">
      <c r="B49" s="9"/>
      <c r="C49" s="9" t="s">
        <v>25</v>
      </c>
      <c r="D49" s="13">
        <f>SUM(D45:D48)</f>
        <v>31280</v>
      </c>
      <c r="E49" s="13">
        <f>SUM(E45:E48)</f>
        <v>284423</v>
      </c>
      <c r="F49" s="13">
        <f>SUM(F45:F48)</f>
        <v>887710</v>
      </c>
      <c r="G49" s="13">
        <f>SUM(G45:G48)</f>
        <v>723460</v>
      </c>
      <c r="H49" s="13">
        <f>SUM(H45:H48)</f>
        <v>780</v>
      </c>
      <c r="I49" s="13">
        <f>SUM(I45:I48)</f>
        <v>1927653</v>
      </c>
      <c r="N49" s="91"/>
    </row>
    <row r="50" spans="2:16" x14ac:dyDescent="0.25">
      <c r="B50" s="6" t="s">
        <v>28</v>
      </c>
      <c r="C50" s="10" t="s">
        <v>27</v>
      </c>
      <c r="D50" s="7"/>
      <c r="E50" s="7"/>
      <c r="F50" s="7"/>
      <c r="G50" s="7"/>
      <c r="H50" s="7"/>
      <c r="I50" s="7"/>
      <c r="J50" s="78"/>
      <c r="N50" s="101"/>
    </row>
    <row r="51" spans="2:16" x14ac:dyDescent="0.25">
      <c r="B51" s="6" t="s">
        <v>29</v>
      </c>
      <c r="C51" s="10" t="s">
        <v>27</v>
      </c>
      <c r="D51" s="7"/>
      <c r="E51" s="7"/>
      <c r="F51" s="7"/>
      <c r="G51" s="7"/>
      <c r="H51" s="7"/>
      <c r="I51" s="7"/>
      <c r="M51" s="74"/>
      <c r="N51" s="91"/>
    </row>
    <row r="52" spans="2:16" x14ac:dyDescent="0.25">
      <c r="B52" s="40" t="s">
        <v>41</v>
      </c>
      <c r="C52" s="41"/>
      <c r="D52" s="41"/>
      <c r="E52" s="41"/>
      <c r="F52" s="41"/>
      <c r="G52" s="41"/>
      <c r="H52" s="42"/>
      <c r="I52" s="13">
        <f>SUM(I32,I35,I43,I49,I39)</f>
        <v>19133976.281959999</v>
      </c>
      <c r="K52" s="81">
        <f>I52/$K$1</f>
        <v>0.39779421100548901</v>
      </c>
      <c r="L52" s="82">
        <f>K52*$I$26</f>
        <v>755724.1472761177</v>
      </c>
      <c r="M52" s="83">
        <f>I52+L52</f>
        <v>19889700.429236118</v>
      </c>
      <c r="N52" s="102">
        <v>7592</v>
      </c>
      <c r="O52" s="103">
        <f>I52/N52</f>
        <v>2520.2813859272919</v>
      </c>
    </row>
    <row r="53" spans="2:16" x14ac:dyDescent="0.25">
      <c r="N53" s="91"/>
    </row>
    <row r="54" spans="2:16" x14ac:dyDescent="0.25">
      <c r="B54" s="37" t="s">
        <v>42</v>
      </c>
      <c r="C54" s="38"/>
      <c r="D54" s="38"/>
      <c r="E54" s="38"/>
      <c r="F54" s="38"/>
      <c r="G54" s="38"/>
      <c r="H54" s="38"/>
      <c r="I54" s="39"/>
      <c r="N54" s="91"/>
    </row>
    <row r="55" spans="2:16" ht="30" x14ac:dyDescent="0.25">
      <c r="B55" s="5" t="s">
        <v>6</v>
      </c>
      <c r="C55" s="4" t="s">
        <v>7</v>
      </c>
      <c r="D55" s="5" t="s">
        <v>33</v>
      </c>
      <c r="E55" s="5" t="s">
        <v>9</v>
      </c>
      <c r="F55" s="5" t="s">
        <v>10</v>
      </c>
      <c r="G55" s="5" t="s">
        <v>11</v>
      </c>
      <c r="H55" s="5" t="s">
        <v>12</v>
      </c>
      <c r="I55" s="5" t="s">
        <v>13</v>
      </c>
      <c r="N55" s="91"/>
    </row>
    <row r="56" spans="2:16" x14ac:dyDescent="0.25">
      <c r="B56" s="6" t="s">
        <v>14</v>
      </c>
      <c r="D56" s="8"/>
      <c r="E56" s="8"/>
      <c r="F56" s="8"/>
      <c r="G56" s="8"/>
      <c r="H56" s="8"/>
      <c r="I56" s="8"/>
      <c r="N56" s="91"/>
    </row>
    <row r="57" spans="2:16" ht="30" x14ac:dyDescent="0.25">
      <c r="B57" s="6"/>
      <c r="C57" s="15" t="s">
        <v>43</v>
      </c>
      <c r="D57" s="8">
        <f>D31</f>
        <v>144852</v>
      </c>
      <c r="E57" s="8">
        <f>E31</f>
        <v>148645</v>
      </c>
      <c r="F57" s="8">
        <f>F31</f>
        <v>153406</v>
      </c>
      <c r="G57" s="8">
        <f>G31</f>
        <v>158281</v>
      </c>
      <c r="H57" s="8">
        <f>H31</f>
        <v>122509.49400000001</v>
      </c>
      <c r="I57" s="8">
        <f>SUM(D57:H57)</f>
        <v>727693.49399999995</v>
      </c>
      <c r="N57" s="91"/>
    </row>
    <row r="58" spans="2:16" x14ac:dyDescent="0.25">
      <c r="B58" s="9"/>
      <c r="C58" s="9" t="s">
        <v>17</v>
      </c>
      <c r="D58" s="13">
        <f>D57</f>
        <v>144852</v>
      </c>
      <c r="E58" s="13">
        <f t="shared" ref="E58" si="23">E57</f>
        <v>148645</v>
      </c>
      <c r="F58" s="13">
        <f t="shared" ref="F58" si="24">F57</f>
        <v>153406</v>
      </c>
      <c r="G58" s="13">
        <f t="shared" ref="G58" si="25">G57</f>
        <v>158281</v>
      </c>
      <c r="H58" s="13">
        <f t="shared" ref="H58" si="26">H57</f>
        <v>122509.49400000001</v>
      </c>
      <c r="I58" s="13">
        <f>SUM(I56:I57)</f>
        <v>727693.49399999995</v>
      </c>
      <c r="N58" s="91"/>
    </row>
    <row r="59" spans="2:16" x14ac:dyDescent="0.25">
      <c r="B59" s="6" t="s">
        <v>18</v>
      </c>
      <c r="C59" s="7"/>
      <c r="D59" s="8"/>
      <c r="E59" s="8"/>
      <c r="F59" s="8"/>
      <c r="G59" s="8"/>
      <c r="H59" s="8"/>
      <c r="I59" s="8"/>
      <c r="N59" s="91"/>
    </row>
    <row r="60" spans="2:16" x14ac:dyDescent="0.25">
      <c r="B60" s="6"/>
      <c r="C60" s="7"/>
      <c r="D60" s="19">
        <f>D34</f>
        <v>49249.68</v>
      </c>
      <c r="E60" s="19">
        <f>E34</f>
        <v>50539.3</v>
      </c>
      <c r="F60" s="19">
        <f>F34</f>
        <v>52158.04</v>
      </c>
      <c r="G60" s="19">
        <f>G34</f>
        <v>53815.54</v>
      </c>
      <c r="H60" s="19">
        <f>H34</f>
        <v>41653.227960000004</v>
      </c>
      <c r="I60" s="19">
        <f>SUM(D60:H60)</f>
        <v>247415.78796000005</v>
      </c>
      <c r="N60" s="91"/>
    </row>
    <row r="61" spans="2:16" x14ac:dyDescent="0.25">
      <c r="B61" s="9"/>
      <c r="C61" s="9" t="s">
        <v>19</v>
      </c>
      <c r="D61" s="13">
        <f>D60</f>
        <v>49249.68</v>
      </c>
      <c r="E61" s="13">
        <f>E60</f>
        <v>50539.3</v>
      </c>
      <c r="F61" s="13">
        <f>F60</f>
        <v>52158.04</v>
      </c>
      <c r="G61" s="13">
        <f>G60</f>
        <v>53815.54</v>
      </c>
      <c r="H61" s="13">
        <f>H60</f>
        <v>41653.227960000004</v>
      </c>
      <c r="I61" s="13">
        <f>SUM(I59:I60)</f>
        <v>247415.78796000005</v>
      </c>
      <c r="N61" s="91"/>
    </row>
    <row r="62" spans="2:16" s="26" customFormat="1" x14ac:dyDescent="0.25">
      <c r="B62" s="58" t="s">
        <v>30</v>
      </c>
      <c r="C62" s="59"/>
      <c r="D62" s="60"/>
      <c r="E62" s="60"/>
      <c r="F62" s="60"/>
      <c r="G62" s="60"/>
      <c r="H62" s="60"/>
      <c r="I62" s="60"/>
      <c r="K62" s="76"/>
      <c r="L62" s="76"/>
      <c r="M62" s="76"/>
      <c r="N62" s="91"/>
      <c r="O62" s="76"/>
      <c r="P62" s="76"/>
    </row>
    <row r="63" spans="2:16" s="26" customFormat="1" x14ac:dyDescent="0.25">
      <c r="B63" s="59"/>
      <c r="C63" s="7" t="s">
        <v>90</v>
      </c>
      <c r="D63" s="8">
        <v>684</v>
      </c>
      <c r="E63" s="8">
        <v>684</v>
      </c>
      <c r="F63" s="8">
        <v>684</v>
      </c>
      <c r="G63" s="8">
        <v>684</v>
      </c>
      <c r="H63" s="8">
        <v>684</v>
      </c>
      <c r="I63" s="8">
        <f>SUM(D63:H63)</f>
        <v>3420</v>
      </c>
      <c r="K63" s="76"/>
      <c r="L63" s="76"/>
      <c r="M63" s="76"/>
      <c r="N63" s="91"/>
      <c r="O63" s="76"/>
      <c r="P63" s="76"/>
    </row>
    <row r="64" spans="2:16" s="26" customFormat="1" x14ac:dyDescent="0.25">
      <c r="B64" s="59"/>
      <c r="C64" s="7" t="s">
        <v>24</v>
      </c>
      <c r="D64" s="8">
        <v>400</v>
      </c>
      <c r="E64" s="8"/>
      <c r="F64" s="8"/>
      <c r="G64" s="8"/>
      <c r="H64" s="8"/>
      <c r="I64" s="8">
        <f>SUM(D64:H64)</f>
        <v>400</v>
      </c>
      <c r="K64" s="76"/>
      <c r="L64" s="76"/>
      <c r="M64" s="76"/>
      <c r="N64" s="91"/>
      <c r="O64" s="76"/>
      <c r="P64" s="76"/>
    </row>
    <row r="65" spans="2:14" x14ac:dyDescent="0.25">
      <c r="B65" s="9"/>
      <c r="C65" s="9" t="s">
        <v>83</v>
      </c>
      <c r="D65" s="13">
        <f>SUM(D63:D64)</f>
        <v>1084</v>
      </c>
      <c r="E65" s="13">
        <f t="shared" ref="E65:H65" si="27">SUM(E63:E64)</f>
        <v>684</v>
      </c>
      <c r="F65" s="13">
        <f t="shared" si="27"/>
        <v>684</v>
      </c>
      <c r="G65" s="13">
        <f t="shared" si="27"/>
        <v>684</v>
      </c>
      <c r="H65" s="13">
        <f t="shared" si="27"/>
        <v>684</v>
      </c>
      <c r="I65" s="13">
        <f>SUM(I63:I64)</f>
        <v>3820</v>
      </c>
      <c r="N65" s="91"/>
    </row>
    <row r="66" spans="2:14" x14ac:dyDescent="0.25">
      <c r="B66" s="6" t="s">
        <v>26</v>
      </c>
      <c r="C66" s="7"/>
      <c r="D66" s="8"/>
      <c r="E66" s="8"/>
      <c r="F66" s="8"/>
      <c r="G66" s="8"/>
      <c r="H66" s="8"/>
      <c r="I66" s="8"/>
      <c r="N66" s="91"/>
    </row>
    <row r="67" spans="2:14" x14ac:dyDescent="0.25">
      <c r="B67" s="6"/>
      <c r="C67" s="15" t="s">
        <v>44</v>
      </c>
      <c r="D67" s="19">
        <v>60000</v>
      </c>
      <c r="E67" s="19">
        <v>144675</v>
      </c>
      <c r="F67" s="19">
        <v>217013</v>
      </c>
      <c r="G67" s="19">
        <v>120562</v>
      </c>
      <c r="H67" s="19"/>
      <c r="I67" s="19">
        <f>SUM(D67:H67)</f>
        <v>542250</v>
      </c>
      <c r="N67" s="91"/>
    </row>
    <row r="68" spans="2:14" x14ac:dyDescent="0.25">
      <c r="B68" s="6"/>
      <c r="C68" s="7" t="s">
        <v>45</v>
      </c>
      <c r="D68" s="19"/>
      <c r="E68" s="19">
        <v>794900</v>
      </c>
      <c r="F68" s="19">
        <v>4094000</v>
      </c>
      <c r="G68" s="19">
        <v>1263900</v>
      </c>
      <c r="H68" s="19"/>
      <c r="I68" s="19">
        <f>SUM(D68:H68)</f>
        <v>6152800</v>
      </c>
      <c r="N68" s="91"/>
    </row>
    <row r="69" spans="2:14" x14ac:dyDescent="0.25">
      <c r="B69" s="6"/>
      <c r="C69" s="7" t="s">
        <v>46</v>
      </c>
      <c r="D69" s="19"/>
      <c r="E69" s="19">
        <v>121000</v>
      </c>
      <c r="F69" s="19">
        <v>623000</v>
      </c>
      <c r="G69" s="19">
        <v>192300</v>
      </c>
      <c r="H69" s="19"/>
      <c r="I69" s="19">
        <f>SUM(D69:H69)</f>
        <v>936300</v>
      </c>
      <c r="N69" s="91"/>
    </row>
    <row r="70" spans="2:14" ht="30" x14ac:dyDescent="0.25">
      <c r="B70" s="6"/>
      <c r="C70" s="27" t="s">
        <v>47</v>
      </c>
      <c r="D70" s="19"/>
      <c r="E70" s="19"/>
      <c r="F70" s="19">
        <v>1050000</v>
      </c>
      <c r="G70" s="19">
        <v>180000</v>
      </c>
      <c r="H70" s="19"/>
      <c r="I70" s="19">
        <f>SUM(D70:H70)</f>
        <v>1230000</v>
      </c>
      <c r="N70" s="91"/>
    </row>
    <row r="71" spans="2:14" x14ac:dyDescent="0.25">
      <c r="B71" s="9"/>
      <c r="C71" s="9" t="s">
        <v>37</v>
      </c>
      <c r="D71" s="13">
        <f t="shared" ref="D71:F71" si="28">SUM(D67:D70)</f>
        <v>60000</v>
      </c>
      <c r="E71" s="13">
        <f t="shared" si="28"/>
        <v>1060575</v>
      </c>
      <c r="F71" s="13">
        <f t="shared" si="28"/>
        <v>5984013</v>
      </c>
      <c r="G71" s="13">
        <f>SUM(G67:G70)</f>
        <v>1756762</v>
      </c>
      <c r="H71" s="13">
        <f>SUM(H67:H69)</f>
        <v>0</v>
      </c>
      <c r="I71" s="13">
        <f>SUM(I66:I70)</f>
        <v>8861350</v>
      </c>
      <c r="N71" s="91"/>
    </row>
    <row r="72" spans="2:14" x14ac:dyDescent="0.25">
      <c r="B72" s="6" t="s">
        <v>20</v>
      </c>
      <c r="C72" s="7"/>
      <c r="D72" s="8"/>
      <c r="E72" s="8"/>
      <c r="F72" s="8"/>
      <c r="G72" s="8"/>
      <c r="H72" s="8"/>
      <c r="I72" s="8"/>
      <c r="N72" s="91"/>
    </row>
    <row r="73" spans="2:14" ht="30" x14ac:dyDescent="0.25">
      <c r="B73" s="6"/>
      <c r="C73" s="15" t="s">
        <v>48</v>
      </c>
      <c r="D73" s="19"/>
      <c r="E73" s="19">
        <v>236900</v>
      </c>
      <c r="F73" s="19">
        <v>1220000</v>
      </c>
      <c r="G73" s="19">
        <v>376650</v>
      </c>
      <c r="H73" s="19"/>
      <c r="I73" s="19">
        <f>SUM(D73:H73)</f>
        <v>1833550</v>
      </c>
      <c r="N73" s="91"/>
    </row>
    <row r="74" spans="2:14" ht="30" x14ac:dyDescent="0.25">
      <c r="B74" s="6"/>
      <c r="C74" s="27" t="s">
        <v>49</v>
      </c>
      <c r="D74" s="19"/>
      <c r="E74" s="19"/>
      <c r="F74" s="19">
        <v>3500000</v>
      </c>
      <c r="G74" s="19">
        <v>600000</v>
      </c>
      <c r="H74" s="19"/>
      <c r="I74" s="19">
        <f>SUM(D74:H74)</f>
        <v>4100000</v>
      </c>
      <c r="N74" s="91"/>
    </row>
    <row r="75" spans="2:14" ht="30" x14ac:dyDescent="0.25">
      <c r="B75" s="6"/>
      <c r="C75" s="27" t="s">
        <v>50</v>
      </c>
      <c r="D75" s="19"/>
      <c r="E75" s="19">
        <v>1000000</v>
      </c>
      <c r="F75" s="19">
        <v>6000000</v>
      </c>
      <c r="G75" s="19"/>
      <c r="H75" s="19"/>
      <c r="I75" s="19">
        <f>SUM(D75:H75)</f>
        <v>7000000</v>
      </c>
      <c r="N75" s="91"/>
    </row>
    <row r="76" spans="2:14" x14ac:dyDescent="0.25">
      <c r="B76" s="6"/>
      <c r="C76" s="27" t="s">
        <v>39</v>
      </c>
      <c r="D76" s="19">
        <v>37500</v>
      </c>
      <c r="E76" s="19">
        <v>139200</v>
      </c>
      <c r="F76" s="19">
        <v>145200</v>
      </c>
      <c r="G76" s="19">
        <v>145200</v>
      </c>
      <c r="H76" s="19"/>
      <c r="I76" s="19">
        <f t="shared" ref="I76" si="29">SUM(D76:H76)</f>
        <v>467100</v>
      </c>
      <c r="N76" s="91"/>
    </row>
    <row r="77" spans="2:14" ht="30" x14ac:dyDescent="0.25">
      <c r="B77" s="6"/>
      <c r="C77" s="27" t="s">
        <v>40</v>
      </c>
      <c r="D77" s="19"/>
      <c r="E77" s="19">
        <v>54000</v>
      </c>
      <c r="F77" s="19">
        <v>66000</v>
      </c>
      <c r="G77" s="19">
        <v>66000</v>
      </c>
      <c r="H77" s="19"/>
      <c r="I77" s="19">
        <f>SUM(D77:H77)</f>
        <v>186000</v>
      </c>
      <c r="N77" s="91"/>
    </row>
    <row r="78" spans="2:14" x14ac:dyDescent="0.25">
      <c r="B78" s="7"/>
      <c r="C78" s="7" t="s">
        <v>23</v>
      </c>
      <c r="D78" s="8">
        <v>780</v>
      </c>
      <c r="E78" s="8">
        <v>780</v>
      </c>
      <c r="F78" s="8">
        <v>780</v>
      </c>
      <c r="G78" s="8">
        <v>780</v>
      </c>
      <c r="H78" s="8">
        <v>780</v>
      </c>
      <c r="I78" s="8">
        <f>SUM(D78:H78)</f>
        <v>3900</v>
      </c>
      <c r="N78" s="101"/>
    </row>
    <row r="79" spans="2:14" x14ac:dyDescent="0.25">
      <c r="B79" s="9"/>
      <c r="C79" s="9" t="s">
        <v>25</v>
      </c>
      <c r="D79" s="13">
        <f>SUM(D72:D78)</f>
        <v>38280</v>
      </c>
      <c r="E79" s="13">
        <f>SUM(E72:E78)</f>
        <v>1430880</v>
      </c>
      <c r="F79" s="13">
        <f>SUM(F72:F78)</f>
        <v>10931980</v>
      </c>
      <c r="G79" s="13">
        <f>SUM(G72:G78)</f>
        <v>1188630</v>
      </c>
      <c r="H79" s="13">
        <f>SUM(H72:H78)</f>
        <v>780</v>
      </c>
      <c r="I79" s="13">
        <f>SUM(I73:I78)</f>
        <v>13590550</v>
      </c>
      <c r="L79" s="74"/>
      <c r="M79" s="74"/>
      <c r="N79" s="91"/>
    </row>
    <row r="80" spans="2:14" x14ac:dyDescent="0.25">
      <c r="B80" s="6" t="s">
        <v>28</v>
      </c>
      <c r="C80" s="10" t="s">
        <v>27</v>
      </c>
      <c r="D80" s="7"/>
      <c r="E80" s="7"/>
      <c r="F80" s="7"/>
      <c r="G80" s="7"/>
      <c r="H80" s="7"/>
      <c r="I80" s="7"/>
      <c r="L80" s="75"/>
      <c r="M80" s="75"/>
      <c r="N80" s="104"/>
    </row>
    <row r="81" spans="2:15" x14ac:dyDescent="0.25">
      <c r="B81" s="6" t="s">
        <v>29</v>
      </c>
      <c r="C81" s="10" t="s">
        <v>27</v>
      </c>
      <c r="D81" s="7"/>
      <c r="E81" s="7"/>
      <c r="F81" s="7"/>
      <c r="G81" s="7"/>
      <c r="H81" s="7"/>
      <c r="I81" s="7"/>
      <c r="N81" s="91"/>
    </row>
    <row r="82" spans="2:15" x14ac:dyDescent="0.25">
      <c r="B82" s="40" t="s">
        <v>51</v>
      </c>
      <c r="C82" s="41"/>
      <c r="D82" s="41"/>
      <c r="E82" s="41"/>
      <c r="F82" s="41"/>
      <c r="G82" s="41"/>
      <c r="H82" s="42"/>
      <c r="I82" s="13">
        <f>SUM(I58,I61,I71,I79,I65)</f>
        <v>23430829.281959999</v>
      </c>
      <c r="K82" s="81">
        <f>I82/$K$1</f>
        <v>0.48712552529969066</v>
      </c>
      <c r="L82" s="84">
        <f>K82*$I$26</f>
        <v>925434.58913850284</v>
      </c>
      <c r="M82" s="83">
        <f>I82+L82</f>
        <v>24356263.871098503</v>
      </c>
      <c r="N82" s="105">
        <v>6957</v>
      </c>
      <c r="O82" s="103">
        <f>I82/N82</f>
        <v>3367.9501627080635</v>
      </c>
    </row>
    <row r="83" spans="2:15" x14ac:dyDescent="0.25">
      <c r="N83" s="91"/>
    </row>
    <row r="84" spans="2:15" x14ac:dyDescent="0.25">
      <c r="B84" s="37" t="s">
        <v>52</v>
      </c>
      <c r="C84" s="38"/>
      <c r="D84" s="38"/>
      <c r="E84" s="38"/>
      <c r="F84" s="38"/>
      <c r="G84" s="38"/>
      <c r="H84" s="38"/>
      <c r="I84" s="39"/>
      <c r="N84" s="91"/>
    </row>
    <row r="85" spans="2:15" ht="30" x14ac:dyDescent="0.25">
      <c r="B85" s="5" t="s">
        <v>6</v>
      </c>
      <c r="C85" s="4" t="s">
        <v>7</v>
      </c>
      <c r="D85" s="5" t="s">
        <v>33</v>
      </c>
      <c r="E85" s="5" t="s">
        <v>9</v>
      </c>
      <c r="F85" s="5" t="s">
        <v>10</v>
      </c>
      <c r="G85" s="5" t="s">
        <v>11</v>
      </c>
      <c r="H85" s="5" t="s">
        <v>12</v>
      </c>
      <c r="I85" s="5" t="s">
        <v>13</v>
      </c>
      <c r="N85" s="91"/>
    </row>
    <row r="86" spans="2:15" x14ac:dyDescent="0.25">
      <c r="B86" s="6" t="s">
        <v>14</v>
      </c>
      <c r="C86" s="7"/>
      <c r="D86" s="8"/>
      <c r="E86" s="8"/>
      <c r="F86" s="8"/>
      <c r="G86" s="8"/>
      <c r="H86" s="8"/>
      <c r="I86" s="8"/>
      <c r="N86" s="91"/>
    </row>
    <row r="87" spans="2:15" x14ac:dyDescent="0.25">
      <c r="B87" s="6"/>
      <c r="C87" s="15" t="s">
        <v>53</v>
      </c>
      <c r="D87" s="8">
        <f>D31</f>
        <v>144852</v>
      </c>
      <c r="E87" s="8">
        <f>E31</f>
        <v>148645</v>
      </c>
      <c r="F87" s="8">
        <f>F31</f>
        <v>153406</v>
      </c>
      <c r="G87" s="8">
        <f>G31</f>
        <v>158281</v>
      </c>
      <c r="H87" s="8">
        <f>H31</f>
        <v>122509.49400000001</v>
      </c>
      <c r="I87" s="8">
        <f>SUM(D87:H87)</f>
        <v>727693.49399999995</v>
      </c>
      <c r="N87" s="91"/>
    </row>
    <row r="88" spans="2:15" x14ac:dyDescent="0.25">
      <c r="B88" s="9"/>
      <c r="C88" s="9" t="s">
        <v>17</v>
      </c>
      <c r="D88" s="13">
        <f>D87</f>
        <v>144852</v>
      </c>
      <c r="E88" s="13">
        <f t="shared" ref="E88" si="30">E87</f>
        <v>148645</v>
      </c>
      <c r="F88" s="13">
        <f t="shared" ref="F88" si="31">F87</f>
        <v>153406</v>
      </c>
      <c r="G88" s="13">
        <f t="shared" ref="G88" si="32">G87</f>
        <v>158281</v>
      </c>
      <c r="H88" s="13">
        <f t="shared" ref="H88" si="33">H87</f>
        <v>122509.49400000001</v>
      </c>
      <c r="I88" s="13">
        <f>SUM(I86:I87)</f>
        <v>727693.49399999995</v>
      </c>
      <c r="N88" s="91"/>
    </row>
    <row r="89" spans="2:15" x14ac:dyDescent="0.25">
      <c r="B89" s="6" t="s">
        <v>18</v>
      </c>
      <c r="C89" s="7"/>
      <c r="D89" s="8"/>
      <c r="E89" s="8"/>
      <c r="F89" s="8"/>
      <c r="G89" s="8"/>
      <c r="H89" s="8"/>
      <c r="I89" s="8"/>
      <c r="N89" s="91"/>
    </row>
    <row r="90" spans="2:15" x14ac:dyDescent="0.25">
      <c r="B90" s="6"/>
      <c r="C90" s="7"/>
      <c r="D90" s="19">
        <f>D34</f>
        <v>49249.68</v>
      </c>
      <c r="E90" s="19">
        <f>E34</f>
        <v>50539.3</v>
      </c>
      <c r="F90" s="19">
        <f>F34</f>
        <v>52158.04</v>
      </c>
      <c r="G90" s="19">
        <f>G34</f>
        <v>53815.54</v>
      </c>
      <c r="H90" s="19">
        <f>H34</f>
        <v>41653.227960000004</v>
      </c>
      <c r="I90" s="19">
        <f>SUM(D90:H90)</f>
        <v>247415.78796000005</v>
      </c>
      <c r="N90" s="91"/>
    </row>
    <row r="91" spans="2:15" x14ac:dyDescent="0.25">
      <c r="B91" s="9"/>
      <c r="C91" s="9" t="s">
        <v>19</v>
      </c>
      <c r="D91" s="13">
        <f>D90</f>
        <v>49249.68</v>
      </c>
      <c r="E91" s="13">
        <f>E90</f>
        <v>50539.3</v>
      </c>
      <c r="F91" s="13">
        <f t="shared" ref="F91" si="34">F90</f>
        <v>52158.04</v>
      </c>
      <c r="G91" s="13">
        <f t="shared" ref="G91" si="35">G90</f>
        <v>53815.54</v>
      </c>
      <c r="H91" s="13">
        <f t="shared" ref="H91" si="36">H90</f>
        <v>41653.227960000004</v>
      </c>
      <c r="I91" s="13">
        <f>SUM(I89:I90)</f>
        <v>247415.78796000005</v>
      </c>
      <c r="N91" s="91"/>
    </row>
    <row r="92" spans="2:15" x14ac:dyDescent="0.25">
      <c r="B92" s="58" t="s">
        <v>30</v>
      </c>
      <c r="C92" s="59"/>
      <c r="D92" s="60"/>
      <c r="E92" s="60"/>
      <c r="F92" s="60"/>
      <c r="G92" s="60"/>
      <c r="H92" s="60"/>
      <c r="I92" s="60"/>
      <c r="N92" s="91"/>
    </row>
    <row r="93" spans="2:15" x14ac:dyDescent="0.25">
      <c r="B93" s="59"/>
      <c r="C93" s="7" t="s">
        <v>90</v>
      </c>
      <c r="D93" s="19">
        <v>684</v>
      </c>
      <c r="E93" s="19">
        <v>684</v>
      </c>
      <c r="F93" s="19">
        <v>684</v>
      </c>
      <c r="G93" s="19">
        <v>684</v>
      </c>
      <c r="H93" s="19">
        <v>684</v>
      </c>
      <c r="I93" s="19">
        <f>SUM(D93:H93)</f>
        <v>3420</v>
      </c>
      <c r="N93" s="91"/>
    </row>
    <row r="94" spans="2:15" x14ac:dyDescent="0.25">
      <c r="B94" s="59"/>
      <c r="C94" s="10" t="s">
        <v>24</v>
      </c>
      <c r="D94" s="19">
        <v>400</v>
      </c>
      <c r="E94" s="19"/>
      <c r="F94" s="19"/>
      <c r="G94" s="19"/>
      <c r="H94" s="19"/>
      <c r="I94" s="19">
        <f>SUM(D94:H94)</f>
        <v>400</v>
      </c>
      <c r="N94" s="91"/>
    </row>
    <row r="95" spans="2:15" x14ac:dyDescent="0.25">
      <c r="B95" s="9"/>
      <c r="C95" s="9" t="s">
        <v>83</v>
      </c>
      <c r="D95" s="13">
        <f>SUM(D93:D94)</f>
        <v>1084</v>
      </c>
      <c r="E95" s="13">
        <f t="shared" ref="E95:H95" si="37">SUM(E93:E94)</f>
        <v>684</v>
      </c>
      <c r="F95" s="13">
        <f t="shared" si="37"/>
        <v>684</v>
      </c>
      <c r="G95" s="13">
        <f t="shared" si="37"/>
        <v>684</v>
      </c>
      <c r="H95" s="13">
        <f t="shared" si="37"/>
        <v>684</v>
      </c>
      <c r="I95" s="13">
        <f>SUM(I93:I94)</f>
        <v>3820</v>
      </c>
      <c r="N95" s="91"/>
    </row>
    <row r="96" spans="2:15" x14ac:dyDescent="0.25">
      <c r="B96" s="6" t="s">
        <v>26</v>
      </c>
      <c r="C96" s="7"/>
      <c r="D96" s="19"/>
      <c r="E96" s="19"/>
      <c r="F96" s="19"/>
      <c r="G96" s="19"/>
      <c r="H96" s="19"/>
      <c r="I96" s="8"/>
      <c r="N96" s="91"/>
    </row>
    <row r="97" spans="2:15" x14ac:dyDescent="0.25">
      <c r="B97" s="6"/>
      <c r="C97" s="7" t="s">
        <v>54</v>
      </c>
      <c r="D97" s="19">
        <v>40000</v>
      </c>
      <c r="E97" s="19">
        <v>120000</v>
      </c>
      <c r="F97" s="19">
        <v>85000</v>
      </c>
      <c r="G97" s="19">
        <v>30000</v>
      </c>
      <c r="H97" s="19"/>
      <c r="I97" s="8">
        <f>SUM(D97:H97)</f>
        <v>275000</v>
      </c>
      <c r="N97" s="91"/>
    </row>
    <row r="98" spans="2:15" x14ac:dyDescent="0.25">
      <c r="B98" s="9"/>
      <c r="C98" s="9" t="s">
        <v>37</v>
      </c>
      <c r="D98" s="13">
        <f>D97</f>
        <v>40000</v>
      </c>
      <c r="E98" s="13">
        <f>E97</f>
        <v>120000</v>
      </c>
      <c r="F98" s="13">
        <f t="shared" ref="F98" si="38">F97</f>
        <v>85000</v>
      </c>
      <c r="G98" s="13">
        <f t="shared" ref="G98" si="39">G97</f>
        <v>30000</v>
      </c>
      <c r="H98" s="13">
        <f t="shared" ref="H98" si="40">H97</f>
        <v>0</v>
      </c>
      <c r="I98" s="13">
        <f>SUM(I96:I97)</f>
        <v>275000</v>
      </c>
      <c r="N98" s="91"/>
    </row>
    <row r="99" spans="2:15" x14ac:dyDescent="0.25">
      <c r="B99" s="6" t="s">
        <v>20</v>
      </c>
      <c r="C99" s="7"/>
      <c r="D99" s="8"/>
      <c r="E99" s="8"/>
      <c r="F99" s="8"/>
      <c r="G99" s="8"/>
      <c r="H99" s="8"/>
      <c r="I99" s="8"/>
      <c r="N99" s="91"/>
    </row>
    <row r="100" spans="2:15" x14ac:dyDescent="0.25">
      <c r="B100" s="7"/>
      <c r="C100" s="7" t="s">
        <v>23</v>
      </c>
      <c r="D100" s="8">
        <v>780</v>
      </c>
      <c r="E100" s="8">
        <v>780</v>
      </c>
      <c r="F100" s="8">
        <v>780</v>
      </c>
      <c r="G100" s="8">
        <v>780</v>
      </c>
      <c r="H100" s="8">
        <v>780</v>
      </c>
      <c r="I100" s="8">
        <f>SUM(D100:H100)</f>
        <v>3900</v>
      </c>
      <c r="N100" s="91"/>
    </row>
    <row r="101" spans="2:15" x14ac:dyDescent="0.25">
      <c r="B101" s="9"/>
      <c r="C101" s="9" t="s">
        <v>25</v>
      </c>
      <c r="D101" s="13">
        <f>SUM(D99:D100)</f>
        <v>780</v>
      </c>
      <c r="E101" s="13">
        <f>SUM(E99:E100)</f>
        <v>780</v>
      </c>
      <c r="F101" s="13">
        <f>SUM(F99:F100)</f>
        <v>780</v>
      </c>
      <c r="G101" s="13">
        <f>SUM(G99:G100)</f>
        <v>780</v>
      </c>
      <c r="H101" s="13">
        <f>SUM(H99:H100)</f>
        <v>780</v>
      </c>
      <c r="I101" s="13">
        <f>SUM(I100:I100)</f>
        <v>3900</v>
      </c>
      <c r="N101" s="91"/>
    </row>
    <row r="102" spans="2:15" x14ac:dyDescent="0.25">
      <c r="B102" s="6" t="s">
        <v>28</v>
      </c>
      <c r="C102" s="10" t="s">
        <v>27</v>
      </c>
      <c r="D102" s="7"/>
      <c r="E102" s="7"/>
      <c r="F102" s="7"/>
      <c r="G102" s="7"/>
      <c r="H102" s="7"/>
      <c r="I102" s="7"/>
      <c r="N102" s="101"/>
    </row>
    <row r="103" spans="2:15" x14ac:dyDescent="0.25">
      <c r="B103" s="6" t="s">
        <v>29</v>
      </c>
      <c r="C103" s="10" t="s">
        <v>27</v>
      </c>
      <c r="D103" s="7"/>
      <c r="E103" s="7"/>
      <c r="F103" s="7"/>
      <c r="G103" s="7"/>
      <c r="H103" s="7"/>
      <c r="I103" s="7"/>
      <c r="L103" s="74"/>
      <c r="M103" s="74"/>
      <c r="N103" s="91"/>
    </row>
    <row r="104" spans="2:15" x14ac:dyDescent="0.25">
      <c r="B104" s="40" t="s">
        <v>55</v>
      </c>
      <c r="C104" s="41"/>
      <c r="D104" s="41"/>
      <c r="E104" s="41"/>
      <c r="F104" s="41"/>
      <c r="G104" s="41"/>
      <c r="H104" s="42"/>
      <c r="I104" s="13">
        <f>SUM(I88,I91,I98,I101,I95)</f>
        <v>1257829.2819600001</v>
      </c>
      <c r="K104" s="81">
        <f>I104/$K$1</f>
        <v>2.6150194785630028E-2</v>
      </c>
      <c r="L104" s="84">
        <f>K104*$I$26</f>
        <v>49679.791984710253</v>
      </c>
      <c r="M104" s="83">
        <f>I104+L104</f>
        <v>1307509.0739447102</v>
      </c>
      <c r="N104" s="102">
        <v>59213</v>
      </c>
      <c r="O104" s="103">
        <f>I104/N104</f>
        <v>21.242451521794202</v>
      </c>
    </row>
    <row r="105" spans="2:15" x14ac:dyDescent="0.25">
      <c r="N105" s="91"/>
    </row>
    <row r="106" spans="2:15" x14ac:dyDescent="0.25">
      <c r="B106" s="37" t="s">
        <v>56</v>
      </c>
      <c r="C106" s="38"/>
      <c r="D106" s="38"/>
      <c r="E106" s="38"/>
      <c r="F106" s="38"/>
      <c r="G106" s="38"/>
      <c r="H106" s="38"/>
      <c r="I106" s="39"/>
      <c r="N106" s="91"/>
    </row>
    <row r="107" spans="2:15" ht="30" x14ac:dyDescent="0.25">
      <c r="B107" s="5" t="s">
        <v>6</v>
      </c>
      <c r="C107" s="4" t="s">
        <v>7</v>
      </c>
      <c r="D107" s="5" t="s">
        <v>33</v>
      </c>
      <c r="E107" s="5" t="s">
        <v>9</v>
      </c>
      <c r="F107" s="5" t="s">
        <v>10</v>
      </c>
      <c r="G107" s="5" t="s">
        <v>11</v>
      </c>
      <c r="H107" s="5" t="s">
        <v>12</v>
      </c>
      <c r="I107" s="5" t="s">
        <v>13</v>
      </c>
      <c r="N107" s="91"/>
    </row>
    <row r="108" spans="2:15" x14ac:dyDescent="0.25">
      <c r="B108" s="6" t="s">
        <v>14</v>
      </c>
      <c r="C108" s="7"/>
      <c r="D108" s="8"/>
      <c r="E108" s="8"/>
      <c r="F108" s="8"/>
      <c r="G108" s="8"/>
      <c r="H108" s="8"/>
      <c r="I108" s="8"/>
      <c r="N108" s="91"/>
    </row>
    <row r="109" spans="2:15" x14ac:dyDescent="0.25">
      <c r="B109" s="6"/>
      <c r="C109" s="27" t="s">
        <v>57</v>
      </c>
      <c r="D109" s="19">
        <v>125495</v>
      </c>
      <c r="E109" s="19">
        <v>128782</v>
      </c>
      <c r="F109" s="19">
        <v>132907</v>
      </c>
      <c r="G109" s="19">
        <v>137130</v>
      </c>
      <c r="H109" s="19">
        <f>(G109+(G109*0.032))*0.75</f>
        <v>106138.62</v>
      </c>
      <c r="I109" s="19">
        <f>SUM(D109:H109)</f>
        <v>630452.62</v>
      </c>
      <c r="N109" s="91"/>
    </row>
    <row r="110" spans="2:15" x14ac:dyDescent="0.25">
      <c r="B110" s="9"/>
      <c r="C110" s="9" t="s">
        <v>17</v>
      </c>
      <c r="D110" s="13">
        <f>D109</f>
        <v>125495</v>
      </c>
      <c r="E110" s="13">
        <f t="shared" ref="E110:H110" si="41">E109</f>
        <v>128782</v>
      </c>
      <c r="F110" s="13">
        <f t="shared" si="41"/>
        <v>132907</v>
      </c>
      <c r="G110" s="13">
        <f t="shared" si="41"/>
        <v>137130</v>
      </c>
      <c r="H110" s="13">
        <f t="shared" si="41"/>
        <v>106138.62</v>
      </c>
      <c r="I110" s="13">
        <f>SUM(I108:I109)</f>
        <v>630452.62</v>
      </c>
      <c r="N110" s="91"/>
    </row>
    <row r="111" spans="2:15" x14ac:dyDescent="0.25">
      <c r="B111" s="6" t="s">
        <v>18</v>
      </c>
      <c r="C111" s="7"/>
      <c r="D111" s="8"/>
      <c r="E111" s="8"/>
      <c r="F111" s="8"/>
      <c r="G111" s="8"/>
      <c r="H111" s="8"/>
      <c r="I111" s="8"/>
      <c r="N111" s="91"/>
    </row>
    <row r="112" spans="2:15" x14ac:dyDescent="0.25">
      <c r="B112" s="6"/>
      <c r="C112" s="10"/>
      <c r="D112" s="19">
        <f>$B$166*D110</f>
        <v>42668.3</v>
      </c>
      <c r="E112" s="19">
        <f>$B$166*E110</f>
        <v>43785.880000000005</v>
      </c>
      <c r="F112" s="19">
        <f>$B$166*F110</f>
        <v>45188.380000000005</v>
      </c>
      <c r="G112" s="19">
        <f>$B$166*G110</f>
        <v>46624.200000000004</v>
      </c>
      <c r="H112" s="19">
        <f>$B$166*H110</f>
        <v>36087.130799999999</v>
      </c>
      <c r="I112" s="19">
        <f>SUM(D112:H112)</f>
        <v>214353.89079999999</v>
      </c>
      <c r="N112" s="91"/>
    </row>
    <row r="113" spans="2:14" x14ac:dyDescent="0.25">
      <c r="B113" s="9"/>
      <c r="C113" s="9" t="s">
        <v>19</v>
      </c>
      <c r="D113" s="13">
        <f>D112</f>
        <v>42668.3</v>
      </c>
      <c r="E113" s="13">
        <f>E112</f>
        <v>43785.880000000005</v>
      </c>
      <c r="F113" s="13">
        <f t="shared" ref="F113" si="42">F112</f>
        <v>45188.380000000005</v>
      </c>
      <c r="G113" s="13">
        <f t="shared" ref="G113" si="43">G112</f>
        <v>46624.200000000004</v>
      </c>
      <c r="H113" s="13">
        <f t="shared" ref="H113" si="44">H112</f>
        <v>36087.130799999999</v>
      </c>
      <c r="I113" s="13">
        <f>SUM(I111:I112)</f>
        <v>214353.89079999999</v>
      </c>
      <c r="N113" s="91"/>
    </row>
    <row r="114" spans="2:14" x14ac:dyDescent="0.25">
      <c r="B114" s="6" t="s">
        <v>30</v>
      </c>
      <c r="C114" s="7"/>
      <c r="D114" s="8"/>
      <c r="E114" s="8"/>
      <c r="F114" s="8"/>
      <c r="G114" s="8"/>
      <c r="H114" s="8"/>
      <c r="I114" s="8"/>
      <c r="N114" s="91"/>
    </row>
    <row r="115" spans="2:14" x14ac:dyDescent="0.25">
      <c r="B115" s="25"/>
      <c r="C115" s="27" t="s">
        <v>58</v>
      </c>
      <c r="D115" s="19">
        <v>15000</v>
      </c>
      <c r="E115" s="19">
        <v>20000</v>
      </c>
      <c r="F115" s="19">
        <v>10000</v>
      </c>
      <c r="G115" s="19"/>
      <c r="H115" s="19"/>
      <c r="I115" s="19">
        <f>SUM(D115:H115)</f>
        <v>45000</v>
      </c>
      <c r="N115" s="91"/>
    </row>
    <row r="116" spans="2:14" x14ac:dyDescent="0.25">
      <c r="B116" s="7"/>
      <c r="C116" s="7" t="s">
        <v>90</v>
      </c>
      <c r="D116" s="8">
        <v>684</v>
      </c>
      <c r="E116" s="8">
        <v>684</v>
      </c>
      <c r="F116" s="8">
        <v>684</v>
      </c>
      <c r="G116" s="8">
        <v>684</v>
      </c>
      <c r="H116" s="8">
        <v>684</v>
      </c>
      <c r="I116" s="8">
        <f>SUM(D116:H116)</f>
        <v>3420</v>
      </c>
      <c r="N116" s="91"/>
    </row>
    <row r="117" spans="2:14" x14ac:dyDescent="0.25">
      <c r="B117" s="7"/>
      <c r="C117" s="7" t="s">
        <v>24</v>
      </c>
      <c r="D117" s="8">
        <v>400</v>
      </c>
      <c r="E117" s="8"/>
      <c r="F117" s="8"/>
      <c r="G117" s="8"/>
      <c r="H117" s="8"/>
      <c r="I117" s="8">
        <f>SUM(D117:H117)</f>
        <v>400</v>
      </c>
      <c r="N117" s="91"/>
    </row>
    <row r="118" spans="2:14" x14ac:dyDescent="0.25">
      <c r="B118" s="9"/>
      <c r="C118" s="9" t="s">
        <v>83</v>
      </c>
      <c r="D118" s="13">
        <f>SUM(D115:D117)</f>
        <v>16084</v>
      </c>
      <c r="E118" s="13">
        <f t="shared" ref="E118:H118" si="45">SUM(E115:E117)</f>
        <v>20684</v>
      </c>
      <c r="F118" s="13">
        <f t="shared" si="45"/>
        <v>10684</v>
      </c>
      <c r="G118" s="13">
        <f t="shared" si="45"/>
        <v>684</v>
      </c>
      <c r="H118" s="13">
        <f t="shared" si="45"/>
        <v>684</v>
      </c>
      <c r="I118" s="13">
        <f>SUM(I114:I117)</f>
        <v>48820</v>
      </c>
      <c r="N118" s="91"/>
    </row>
    <row r="119" spans="2:14" x14ac:dyDescent="0.25">
      <c r="B119" s="6" t="s">
        <v>26</v>
      </c>
      <c r="C119" s="7"/>
      <c r="D119" s="8"/>
      <c r="E119" s="8"/>
      <c r="F119" s="8"/>
      <c r="G119" s="8"/>
      <c r="H119" s="8"/>
      <c r="I119" s="8"/>
      <c r="N119" s="91"/>
    </row>
    <row r="120" spans="2:14" x14ac:dyDescent="0.25">
      <c r="B120" s="25"/>
      <c r="C120" s="27" t="s">
        <v>59</v>
      </c>
      <c r="D120" s="19"/>
      <c r="E120" s="19">
        <v>20000</v>
      </c>
      <c r="F120" s="19">
        <v>20000</v>
      </c>
      <c r="G120" s="19">
        <v>20000</v>
      </c>
      <c r="H120" s="19">
        <v>20000</v>
      </c>
      <c r="I120" s="19">
        <f>SUM(D120:H120)</f>
        <v>80000</v>
      </c>
      <c r="N120" s="91"/>
    </row>
    <row r="121" spans="2:14" x14ac:dyDescent="0.25">
      <c r="B121" s="25"/>
      <c r="C121" s="27" t="s">
        <v>60</v>
      </c>
      <c r="D121" s="19">
        <v>24000</v>
      </c>
      <c r="E121" s="19">
        <v>48000</v>
      </c>
      <c r="F121" s="19">
        <v>48000</v>
      </c>
      <c r="G121" s="19"/>
      <c r="H121" s="19"/>
      <c r="I121" s="19">
        <f>SUM(D121:H121)</f>
        <v>120000</v>
      </c>
      <c r="N121" s="91"/>
    </row>
    <row r="122" spans="2:14" ht="30" x14ac:dyDescent="0.25">
      <c r="B122" s="25"/>
      <c r="C122" s="27" t="s">
        <v>61</v>
      </c>
      <c r="D122" s="19">
        <v>50000</v>
      </c>
      <c r="E122" s="19">
        <v>100000</v>
      </c>
      <c r="F122" s="19">
        <v>100000</v>
      </c>
      <c r="G122" s="19">
        <v>50000</v>
      </c>
      <c r="H122" s="19"/>
      <c r="I122" s="19">
        <f t="shared" ref="I122" si="46">SUM(D122:H122)</f>
        <v>300000</v>
      </c>
      <c r="N122" s="91"/>
    </row>
    <row r="123" spans="2:14" ht="30" x14ac:dyDescent="0.25">
      <c r="B123" s="25"/>
      <c r="C123" s="27" t="s">
        <v>62</v>
      </c>
      <c r="D123" s="19">
        <v>40000</v>
      </c>
      <c r="E123" s="19">
        <v>41000</v>
      </c>
      <c r="F123" s="19">
        <v>41500</v>
      </c>
      <c r="G123" s="19"/>
      <c r="H123" s="19"/>
      <c r="I123" s="19">
        <f>SUM(D123:H123)</f>
        <v>122500</v>
      </c>
      <c r="N123" s="91"/>
    </row>
    <row r="124" spans="2:14" x14ac:dyDescent="0.25">
      <c r="B124" s="9"/>
      <c r="C124" s="9" t="s">
        <v>37</v>
      </c>
      <c r="D124" s="13">
        <f>SUM(D120:D123)</f>
        <v>114000</v>
      </c>
      <c r="E124" s="13">
        <f>SUM(E120:E123)</f>
        <v>209000</v>
      </c>
      <c r="F124" s="13">
        <f>SUM(F120:F123)</f>
        <v>209500</v>
      </c>
      <c r="G124" s="13">
        <f>SUM(G120:G123)</f>
        <v>70000</v>
      </c>
      <c r="H124" s="13">
        <f t="shared" ref="H124" si="47">SUM(H120:H123)</f>
        <v>20000</v>
      </c>
      <c r="I124" s="13">
        <f>SUM(I119:I123)</f>
        <v>622500</v>
      </c>
      <c r="N124" s="91"/>
    </row>
    <row r="125" spans="2:14" x14ac:dyDescent="0.25">
      <c r="B125" s="6" t="s">
        <v>20</v>
      </c>
      <c r="C125" s="7"/>
      <c r="D125" s="8"/>
      <c r="E125" s="8"/>
      <c r="F125" s="8"/>
      <c r="G125" s="8"/>
      <c r="H125" s="8"/>
      <c r="I125" s="8"/>
      <c r="N125" s="91"/>
    </row>
    <row r="126" spans="2:14" x14ac:dyDescent="0.25">
      <c r="B126" s="25"/>
      <c r="C126" s="27" t="s">
        <v>63</v>
      </c>
      <c r="D126" s="19"/>
      <c r="E126" s="19">
        <v>80000</v>
      </c>
      <c r="F126" s="19">
        <v>80000</v>
      </c>
      <c r="G126" s="19">
        <v>80000</v>
      </c>
      <c r="H126" s="19">
        <v>80000</v>
      </c>
      <c r="I126" s="19">
        <f>SUM(D126:H126)</f>
        <v>320000</v>
      </c>
      <c r="N126" s="91"/>
    </row>
    <row r="127" spans="2:14" x14ac:dyDescent="0.25">
      <c r="B127" s="25"/>
      <c r="C127" s="27" t="s">
        <v>64</v>
      </c>
      <c r="D127" s="19"/>
      <c r="E127" s="19">
        <v>225000</v>
      </c>
      <c r="F127" s="19">
        <v>225000</v>
      </c>
      <c r="G127" s="19"/>
      <c r="H127" s="19"/>
      <c r="I127" s="19">
        <f>SUM(D127:H127)</f>
        <v>450000</v>
      </c>
      <c r="N127" s="91"/>
    </row>
    <row r="128" spans="2:14" x14ac:dyDescent="0.25">
      <c r="B128" s="25"/>
      <c r="C128" s="27" t="s">
        <v>65</v>
      </c>
      <c r="D128" s="19"/>
      <c r="E128" s="19">
        <v>500000</v>
      </c>
      <c r="F128" s="19">
        <v>500000</v>
      </c>
      <c r="G128" s="19"/>
      <c r="H128" s="19"/>
      <c r="I128" s="19">
        <f>SUM(D128:H128)</f>
        <v>1000000</v>
      </c>
      <c r="N128" s="91"/>
    </row>
    <row r="129" spans="2:15" ht="30" customHeight="1" x14ac:dyDescent="0.25">
      <c r="B129" s="6"/>
      <c r="C129" s="27" t="s">
        <v>66</v>
      </c>
      <c r="D129" s="19">
        <v>45000</v>
      </c>
      <c r="E129" s="19">
        <v>45000</v>
      </c>
      <c r="F129" s="19">
        <v>45000</v>
      </c>
      <c r="G129" s="19"/>
      <c r="H129" s="19"/>
      <c r="I129" s="19">
        <f>SUM(D129:H129)</f>
        <v>135000</v>
      </c>
      <c r="N129" s="101"/>
    </row>
    <row r="130" spans="2:15" x14ac:dyDescent="0.25">
      <c r="B130" s="7"/>
      <c r="C130" s="7" t="s">
        <v>23</v>
      </c>
      <c r="D130" s="8">
        <v>780</v>
      </c>
      <c r="E130" s="8">
        <v>780</v>
      </c>
      <c r="F130" s="8">
        <v>780</v>
      </c>
      <c r="G130" s="8">
        <v>780</v>
      </c>
      <c r="H130" s="8">
        <v>780</v>
      </c>
      <c r="I130" s="8">
        <f>SUM(D130:H130)</f>
        <v>3900</v>
      </c>
      <c r="L130" s="74"/>
      <c r="M130" s="74"/>
      <c r="N130" s="91"/>
    </row>
    <row r="131" spans="2:15" x14ac:dyDescent="0.25">
      <c r="B131" s="9"/>
      <c r="C131" s="9" t="s">
        <v>25</v>
      </c>
      <c r="D131" s="13">
        <f>SUM(D125:D130)</f>
        <v>45780</v>
      </c>
      <c r="E131" s="13">
        <f>SUM(E125:E130)</f>
        <v>850780</v>
      </c>
      <c r="F131" s="13">
        <f>SUM(F125:F130)</f>
        <v>850780</v>
      </c>
      <c r="G131" s="13">
        <f>SUM(G125:G130)</f>
        <v>80780</v>
      </c>
      <c r="H131" s="13">
        <f>SUM(H125:H130)</f>
        <v>80780</v>
      </c>
      <c r="I131" s="13">
        <f>SUM(I126:I130)</f>
        <v>1908900</v>
      </c>
      <c r="N131" s="91"/>
    </row>
    <row r="132" spans="2:15" x14ac:dyDescent="0.25">
      <c r="B132" s="6" t="s">
        <v>28</v>
      </c>
      <c r="C132" s="10" t="s">
        <v>27</v>
      </c>
      <c r="D132" s="7"/>
      <c r="E132" s="7"/>
      <c r="F132" s="7"/>
      <c r="G132" s="7"/>
      <c r="H132" s="7"/>
      <c r="I132" s="7"/>
      <c r="N132" s="91"/>
    </row>
    <row r="133" spans="2:15" x14ac:dyDescent="0.25">
      <c r="B133" s="6" t="s">
        <v>29</v>
      </c>
      <c r="C133" s="10" t="s">
        <v>27</v>
      </c>
      <c r="D133" s="7"/>
      <c r="E133" s="7"/>
      <c r="F133" s="7"/>
      <c r="G133" s="7"/>
      <c r="H133" s="7"/>
      <c r="I133" s="7"/>
      <c r="N133" s="91"/>
    </row>
    <row r="134" spans="2:15" x14ac:dyDescent="0.25">
      <c r="B134" s="40" t="s">
        <v>67</v>
      </c>
      <c r="C134" s="41"/>
      <c r="D134" s="41"/>
      <c r="E134" s="41"/>
      <c r="F134" s="41"/>
      <c r="G134" s="41"/>
      <c r="H134" s="42"/>
      <c r="I134" s="13">
        <f>SUM(I110,I113,I124,I131,I118)</f>
        <v>3425026.5108000003</v>
      </c>
      <c r="K134" s="81">
        <f>I134/$K$1</f>
        <v>7.1206094251362012E-2</v>
      </c>
      <c r="L134" s="82">
        <f>K134*$I$26</f>
        <v>135276.39007856473</v>
      </c>
      <c r="M134" s="83">
        <f>I134+L134</f>
        <v>3560302.9008785649</v>
      </c>
      <c r="N134" s="102">
        <v>25005</v>
      </c>
      <c r="O134" s="103">
        <f>I134/N134</f>
        <v>136.97366569886023</v>
      </c>
    </row>
    <row r="135" spans="2:15" x14ac:dyDescent="0.25">
      <c r="N135" s="91"/>
    </row>
    <row r="136" spans="2:15" x14ac:dyDescent="0.25">
      <c r="B136" s="37" t="s">
        <v>68</v>
      </c>
      <c r="C136" s="38"/>
      <c r="D136" s="38"/>
      <c r="E136" s="38"/>
      <c r="F136" s="38"/>
      <c r="G136" s="38"/>
      <c r="H136" s="38"/>
      <c r="I136" s="39"/>
      <c r="N136" s="91"/>
    </row>
    <row r="137" spans="2:15" ht="30" x14ac:dyDescent="0.25">
      <c r="B137" s="5" t="s">
        <v>6</v>
      </c>
      <c r="C137" s="4" t="s">
        <v>7</v>
      </c>
      <c r="D137" s="5" t="s">
        <v>33</v>
      </c>
      <c r="E137" s="5" t="s">
        <v>9</v>
      </c>
      <c r="F137" s="5" t="s">
        <v>10</v>
      </c>
      <c r="G137" s="5" t="s">
        <v>11</v>
      </c>
      <c r="H137" s="5" t="s">
        <v>12</v>
      </c>
      <c r="I137" s="5" t="s">
        <v>13</v>
      </c>
      <c r="N137" s="91"/>
    </row>
    <row r="138" spans="2:15" x14ac:dyDescent="0.25">
      <c r="B138" s="6" t="s">
        <v>14</v>
      </c>
      <c r="C138" s="7"/>
      <c r="D138" s="8"/>
      <c r="E138" s="8"/>
      <c r="F138" s="8"/>
      <c r="G138" s="8"/>
      <c r="H138" s="8"/>
      <c r="I138" s="8"/>
      <c r="N138" s="91"/>
    </row>
    <row r="139" spans="2:15" x14ac:dyDescent="0.25">
      <c r="B139" s="6"/>
      <c r="C139" s="27" t="s">
        <v>69</v>
      </c>
      <c r="D139" s="19">
        <v>125495</v>
      </c>
      <c r="E139" s="19">
        <v>128782</v>
      </c>
      <c r="F139" s="19">
        <v>132907</v>
      </c>
      <c r="G139" s="19">
        <v>137130</v>
      </c>
      <c r="H139" s="19">
        <f>(G139+(G139*0.032))*0.75</f>
        <v>106138.62</v>
      </c>
      <c r="I139" s="8">
        <f>SUM(D139:H139)</f>
        <v>630452.62</v>
      </c>
      <c r="N139" s="91"/>
    </row>
    <row r="140" spans="2:15" x14ac:dyDescent="0.25">
      <c r="B140" s="9"/>
      <c r="C140" s="9" t="s">
        <v>17</v>
      </c>
      <c r="D140" s="13">
        <f>D139</f>
        <v>125495</v>
      </c>
      <c r="E140" s="13">
        <f t="shared" ref="E140:H140" si="48">E139</f>
        <v>128782</v>
      </c>
      <c r="F140" s="13">
        <f t="shared" si="48"/>
        <v>132907</v>
      </c>
      <c r="G140" s="13">
        <f t="shared" si="48"/>
        <v>137130</v>
      </c>
      <c r="H140" s="13">
        <f t="shared" si="48"/>
        <v>106138.62</v>
      </c>
      <c r="I140" s="13">
        <f>SUM(I138:I139)</f>
        <v>630452.62</v>
      </c>
      <c r="N140" s="91"/>
    </row>
    <row r="141" spans="2:15" x14ac:dyDescent="0.25">
      <c r="B141" s="6" t="s">
        <v>30</v>
      </c>
      <c r="C141" s="7"/>
      <c r="D141" s="8"/>
      <c r="E141" s="8"/>
      <c r="F141" s="8"/>
      <c r="G141" s="8"/>
      <c r="H141" s="8"/>
      <c r="I141" s="8"/>
      <c r="N141" s="91"/>
    </row>
    <row r="142" spans="2:15" x14ac:dyDescent="0.25">
      <c r="B142" s="6"/>
      <c r="C142" s="7" t="s">
        <v>90</v>
      </c>
      <c r="D142" s="8">
        <v>684</v>
      </c>
      <c r="E142" s="8">
        <v>684</v>
      </c>
      <c r="F142" s="8">
        <v>684</v>
      </c>
      <c r="G142" s="8">
        <v>684</v>
      </c>
      <c r="H142" s="8">
        <v>684</v>
      </c>
      <c r="I142" s="8">
        <f>SUM(D142:H142)</f>
        <v>3420</v>
      </c>
      <c r="N142" s="91"/>
    </row>
    <row r="143" spans="2:15" x14ac:dyDescent="0.25">
      <c r="B143" s="6"/>
      <c r="C143" s="7" t="s">
        <v>24</v>
      </c>
      <c r="D143" s="8">
        <v>400</v>
      </c>
      <c r="E143" s="8"/>
      <c r="F143" s="8"/>
      <c r="G143" s="8"/>
      <c r="H143" s="8"/>
      <c r="I143" s="8">
        <f>SUM(D143:H143)</f>
        <v>400</v>
      </c>
      <c r="N143" s="91"/>
    </row>
    <row r="144" spans="2:15" x14ac:dyDescent="0.25">
      <c r="B144" s="9"/>
      <c r="C144" s="9" t="s">
        <v>83</v>
      </c>
      <c r="D144" s="13">
        <f>SUM(D142:D143)</f>
        <v>1084</v>
      </c>
      <c r="E144" s="13">
        <f t="shared" ref="E144:G144" si="49">SUM(E142:E143)</f>
        <v>684</v>
      </c>
      <c r="F144" s="13">
        <f t="shared" si="49"/>
        <v>684</v>
      </c>
      <c r="G144" s="13">
        <f t="shared" si="49"/>
        <v>684</v>
      </c>
      <c r="H144" s="13">
        <f>SUM(H142:H143)</f>
        <v>684</v>
      </c>
      <c r="I144" s="13">
        <f>SUM(I142:I143)</f>
        <v>3820</v>
      </c>
      <c r="N144" s="91"/>
    </row>
    <row r="145" spans="2:15" x14ac:dyDescent="0.25">
      <c r="B145" s="6" t="s">
        <v>18</v>
      </c>
      <c r="C145" s="7"/>
      <c r="D145" s="8"/>
      <c r="E145" s="8"/>
      <c r="F145" s="8"/>
      <c r="G145" s="8"/>
      <c r="H145" s="8"/>
      <c r="I145" s="8"/>
      <c r="N145" s="91"/>
    </row>
    <row r="146" spans="2:15" x14ac:dyDescent="0.25">
      <c r="B146" s="6"/>
      <c r="C146" s="7"/>
      <c r="D146" s="19">
        <f>$B$166*D140</f>
        <v>42668.3</v>
      </c>
      <c r="E146" s="19">
        <f>$B$166*E140</f>
        <v>43785.880000000005</v>
      </c>
      <c r="F146" s="19">
        <f>$B$166*F140</f>
        <v>45188.380000000005</v>
      </c>
      <c r="G146" s="19">
        <f>$B$166*G140</f>
        <v>46624.200000000004</v>
      </c>
      <c r="H146" s="19">
        <f>$B$166*H140</f>
        <v>36087.130799999999</v>
      </c>
      <c r="I146" s="19">
        <f>SUM(D146:H146)</f>
        <v>214353.89079999999</v>
      </c>
      <c r="N146" s="91"/>
    </row>
    <row r="147" spans="2:15" x14ac:dyDescent="0.25">
      <c r="B147" s="9"/>
      <c r="C147" s="9" t="s">
        <v>19</v>
      </c>
      <c r="D147" s="13">
        <f>D146</f>
        <v>42668.3</v>
      </c>
      <c r="E147" s="13">
        <f t="shared" ref="E147" si="50">E146</f>
        <v>43785.880000000005</v>
      </c>
      <c r="F147" s="13">
        <f t="shared" ref="F147" si="51">F146</f>
        <v>45188.380000000005</v>
      </c>
      <c r="G147" s="13">
        <f t="shared" ref="G147" si="52">G146</f>
        <v>46624.200000000004</v>
      </c>
      <c r="H147" s="13">
        <f t="shared" ref="H147" si="53">H146</f>
        <v>36087.130799999999</v>
      </c>
      <c r="I147" s="13">
        <f>SUM(I145:I146)</f>
        <v>214353.89079999999</v>
      </c>
      <c r="N147" s="91"/>
    </row>
    <row r="148" spans="2:15" x14ac:dyDescent="0.25">
      <c r="B148" s="6" t="s">
        <v>20</v>
      </c>
      <c r="C148" s="7"/>
      <c r="D148" s="8"/>
      <c r="E148" s="8"/>
      <c r="F148" s="8"/>
      <c r="G148" s="8"/>
      <c r="H148" s="8"/>
      <c r="I148" s="8"/>
      <c r="N148" s="91"/>
    </row>
    <row r="149" spans="2:15" x14ac:dyDescent="0.25">
      <c r="B149" s="7"/>
      <c r="C149" s="7" t="s">
        <v>23</v>
      </c>
      <c r="D149" s="8">
        <v>780</v>
      </c>
      <c r="E149" s="8">
        <v>780</v>
      </c>
      <c r="F149" s="8">
        <v>780</v>
      </c>
      <c r="G149" s="8">
        <v>780</v>
      </c>
      <c r="H149" s="8">
        <v>780</v>
      </c>
      <c r="I149" s="8">
        <f>SUM(D149:H149)</f>
        <v>3900</v>
      </c>
      <c r="N149" s="91"/>
    </row>
    <row r="150" spans="2:15" x14ac:dyDescent="0.25">
      <c r="B150" s="9"/>
      <c r="C150" s="9" t="s">
        <v>25</v>
      </c>
      <c r="D150" s="13">
        <f>SUM(D149:D149)</f>
        <v>780</v>
      </c>
      <c r="E150" s="13">
        <f>SUM(E149:E149)</f>
        <v>780</v>
      </c>
      <c r="F150" s="13">
        <f>SUM(F149:F149)</f>
        <v>780</v>
      </c>
      <c r="G150" s="13">
        <f>SUM(G149:G149)</f>
        <v>780</v>
      </c>
      <c r="H150" s="13">
        <f>SUM(H149:H149)</f>
        <v>780</v>
      </c>
      <c r="I150" s="13">
        <f>SUM(I149:I149)</f>
        <v>3900</v>
      </c>
      <c r="N150" s="91"/>
    </row>
    <row r="151" spans="2:15" x14ac:dyDescent="0.25">
      <c r="B151" s="6" t="s">
        <v>26</v>
      </c>
      <c r="C151" s="10" t="s">
        <v>27</v>
      </c>
      <c r="D151" s="7"/>
      <c r="E151" s="7"/>
      <c r="F151" s="7"/>
      <c r="G151" s="7"/>
      <c r="H151" s="7"/>
      <c r="I151" s="7"/>
      <c r="N151" s="91"/>
    </row>
    <row r="152" spans="2:15" x14ac:dyDescent="0.25">
      <c r="B152" s="6" t="s">
        <v>28</v>
      </c>
      <c r="C152" s="10" t="s">
        <v>27</v>
      </c>
      <c r="D152" s="7"/>
      <c r="E152" s="7"/>
      <c r="F152" s="7"/>
      <c r="G152" s="7"/>
      <c r="H152" s="7"/>
      <c r="I152" s="7"/>
      <c r="N152" s="101"/>
    </row>
    <row r="153" spans="2:15" x14ac:dyDescent="0.25">
      <c r="B153" s="6" t="s">
        <v>29</v>
      </c>
      <c r="C153" s="10" t="s">
        <v>27</v>
      </c>
      <c r="D153" s="7"/>
      <c r="E153" s="7"/>
      <c r="F153" s="7"/>
      <c r="G153" s="7"/>
      <c r="H153" s="7"/>
      <c r="I153" s="7"/>
      <c r="L153" s="74"/>
      <c r="M153" s="74"/>
      <c r="N153" s="91"/>
    </row>
    <row r="154" spans="2:15" x14ac:dyDescent="0.25">
      <c r="B154" s="40" t="s">
        <v>70</v>
      </c>
      <c r="C154" s="41"/>
      <c r="D154" s="41"/>
      <c r="E154" s="41"/>
      <c r="F154" s="41"/>
      <c r="G154" s="41"/>
      <c r="H154" s="42"/>
      <c r="I154" s="13">
        <f>SUM(I140,I144,I147,I150)</f>
        <v>852526.51080000005</v>
      </c>
      <c r="K154" s="81">
        <f>I154/$K$1</f>
        <v>1.7723974657828389E-2</v>
      </c>
      <c r="L154" s="82">
        <f>K154*$I$26</f>
        <v>33671.771142104568</v>
      </c>
      <c r="M154" s="83">
        <f>I154+L154</f>
        <v>886198.28194210457</v>
      </c>
      <c r="N154" s="102">
        <v>2758</v>
      </c>
      <c r="O154" s="103">
        <f>I154/N154</f>
        <v>309.11041000725163</v>
      </c>
    </row>
    <row r="155" spans="2:15" x14ac:dyDescent="0.25">
      <c r="N155" s="91"/>
    </row>
    <row r="156" spans="2:15" x14ac:dyDescent="0.25">
      <c r="B156" s="36" t="s">
        <v>71</v>
      </c>
      <c r="C156" s="36"/>
      <c r="D156" s="36"/>
      <c r="E156" s="36"/>
      <c r="F156" s="36"/>
      <c r="G156" s="36"/>
      <c r="H156" s="36"/>
      <c r="I156" s="36"/>
      <c r="N156" s="91"/>
    </row>
    <row r="157" spans="2:15" ht="45" x14ac:dyDescent="0.25">
      <c r="B157" s="5" t="s">
        <v>6</v>
      </c>
      <c r="C157" s="4" t="s">
        <v>7</v>
      </c>
      <c r="D157" s="35" t="s">
        <v>33</v>
      </c>
      <c r="E157" s="35" t="s">
        <v>9</v>
      </c>
      <c r="F157" s="35" t="s">
        <v>10</v>
      </c>
      <c r="G157" s="35" t="s">
        <v>11</v>
      </c>
      <c r="H157" s="35" t="s">
        <v>12</v>
      </c>
      <c r="I157" s="35" t="s">
        <v>74</v>
      </c>
      <c r="N157" s="91"/>
    </row>
    <row r="158" spans="2:15" x14ac:dyDescent="0.25">
      <c r="B158" s="6" t="s">
        <v>14</v>
      </c>
      <c r="C158" s="7"/>
      <c r="D158" s="34">
        <f>SUM(D10,D32,D58,D88,D110,D140)</f>
        <v>837034</v>
      </c>
      <c r="E158" s="34">
        <f>SUM(E10,E32,E58,E88,E110,E140)</f>
        <v>1014302</v>
      </c>
      <c r="F158" s="34">
        <f>SUM(F10,F32,F58,F88,F110,F140)</f>
        <v>1045772</v>
      </c>
      <c r="G158" s="34">
        <f>SUM(G10,G32,G58,G88,G110,G140)</f>
        <v>1077999</v>
      </c>
      <c r="H158" s="34">
        <f>SUM(H10,H32,H58,H88,H110,H140)</f>
        <v>833513.56500000006</v>
      </c>
      <c r="I158" s="43">
        <f>SUM(I10,I32,I58,I88,I110,I140)</f>
        <v>4808620.5649999995</v>
      </c>
    </row>
    <row r="159" spans="2:15" x14ac:dyDescent="0.25">
      <c r="B159" s="6" t="s">
        <v>18</v>
      </c>
      <c r="C159" s="7"/>
      <c r="D159" s="34">
        <f>SUM(D13,D35,D61,D91,D113,D147)</f>
        <v>284591.56</v>
      </c>
      <c r="E159" s="34">
        <f>SUM(E13,E35,E61,E91,E113,E147)</f>
        <v>344862.68</v>
      </c>
      <c r="F159" s="34">
        <f>SUM(F13,F35,F61,F91,F113,F147)</f>
        <v>355562.48000000004</v>
      </c>
      <c r="G159" s="34">
        <f>SUM(G13,G35,G61,G91,G113,G147)</f>
        <v>366519.66000000003</v>
      </c>
      <c r="H159" s="34">
        <f>SUM(H13,H35,H61,H91,H113,H147)</f>
        <v>283394.61209999997</v>
      </c>
      <c r="I159" s="43">
        <f>SUM(I13,I35,I61,I91,I113,I147)</f>
        <v>1634930.9921000001</v>
      </c>
    </row>
    <row r="160" spans="2:15" x14ac:dyDescent="0.25">
      <c r="B160" s="58" t="s">
        <v>26</v>
      </c>
      <c r="C160" s="10"/>
      <c r="D160" s="85">
        <f>SUM(D43,D71,D98,D124)</f>
        <v>313910</v>
      </c>
      <c r="E160" s="85">
        <f>SUM(E43,E71,E98,E124)</f>
        <v>4002840</v>
      </c>
      <c r="F160" s="85">
        <f>SUM(F43,F71,F98,F124)</f>
        <v>14203798</v>
      </c>
      <c r="G160" s="85">
        <f>SUM(G43,G71,G98,G124)</f>
        <v>7445696</v>
      </c>
      <c r="H160" s="85">
        <f>SUM(H43,H71,H98,H124)</f>
        <v>20000</v>
      </c>
      <c r="I160" s="86">
        <f>SUM(I43,I71,I98,I124)</f>
        <v>25986244</v>
      </c>
    </row>
    <row r="161" spans="2:15" x14ac:dyDescent="0.25">
      <c r="B161" s="58" t="s">
        <v>20</v>
      </c>
      <c r="C161" s="10"/>
      <c r="D161" s="85">
        <f>SUM(D22,D49,D79,D101,D131,D150)</f>
        <v>136880</v>
      </c>
      <c r="E161" s="85">
        <f>SUM(E22,E49,E79,E101,E131,E150)</f>
        <v>2569203</v>
      </c>
      <c r="F161" s="85">
        <f>SUM(F22,F49,F79,F101,F131,F150)</f>
        <v>12692790</v>
      </c>
      <c r="G161" s="85">
        <f>SUM(G22,G49,G79,G101,G131,G150)</f>
        <v>2015190</v>
      </c>
      <c r="H161" s="85">
        <f>SUM(H22,H49,H79,H101,H131,H150)</f>
        <v>85460</v>
      </c>
      <c r="I161" s="86">
        <f>SUM(I22,I49,I79,I101,I131,I150)</f>
        <v>17499523</v>
      </c>
    </row>
    <row r="162" spans="2:15" ht="15.75" thickBot="1" x14ac:dyDescent="0.3">
      <c r="B162" s="87" t="s">
        <v>30</v>
      </c>
      <c r="C162" s="88"/>
      <c r="D162" s="89">
        <f>SUM(D118,D144,D95,D65,D39,D17)</f>
        <v>21504</v>
      </c>
      <c r="E162" s="89">
        <f t="shared" ref="E162:H162" si="54">SUM(E118,E144,E95,E65,E39,E17)</f>
        <v>24788</v>
      </c>
      <c r="F162" s="89">
        <f t="shared" si="54"/>
        <v>14788</v>
      </c>
      <c r="G162" s="89">
        <f t="shared" si="54"/>
        <v>4788</v>
      </c>
      <c r="H162" s="89">
        <f t="shared" si="54"/>
        <v>4788</v>
      </c>
      <c r="I162" s="90">
        <f>SUM(I118,I144,I95,I65,I39,I17)</f>
        <v>70656</v>
      </c>
    </row>
    <row r="163" spans="2:15" x14ac:dyDescent="0.25">
      <c r="B163" s="47" t="s">
        <v>75</v>
      </c>
      <c r="C163" s="48"/>
      <c r="D163" s="49">
        <f>SUM(D158:D162)</f>
        <v>1593919.56</v>
      </c>
      <c r="E163" s="49">
        <f t="shared" ref="E163:H163" si="55">SUM(E158:E162)</f>
        <v>7955995.6799999997</v>
      </c>
      <c r="F163" s="49">
        <f t="shared" si="55"/>
        <v>28312710.48</v>
      </c>
      <c r="G163" s="49">
        <f t="shared" si="55"/>
        <v>10910192.66</v>
      </c>
      <c r="H163" s="49">
        <f t="shared" si="55"/>
        <v>1227156.1771</v>
      </c>
      <c r="I163" s="16"/>
      <c r="K163" s="77"/>
      <c r="L163" s="77"/>
      <c r="M163" s="77"/>
      <c r="N163" s="106"/>
    </row>
    <row r="164" spans="2:15" ht="15.75" thickBot="1" x14ac:dyDescent="0.3"/>
    <row r="165" spans="2:15" ht="16.5" thickBot="1" x14ac:dyDescent="0.3">
      <c r="B165" s="94" t="s">
        <v>2</v>
      </c>
      <c r="H165" s="3" t="s">
        <v>73</v>
      </c>
      <c r="I165" s="17">
        <f>SUM(I158:I163)</f>
        <v>49999974.557099998</v>
      </c>
      <c r="L165" s="77"/>
      <c r="M165" s="77"/>
      <c r="N165" s="107">
        <f>SUM(N5:N164)</f>
        <v>101525</v>
      </c>
      <c r="O165" s="108">
        <f>I165/N165</f>
        <v>492.48928399015017</v>
      </c>
    </row>
    <row r="166" spans="2:15" x14ac:dyDescent="0.25">
      <c r="B166" s="95">
        <v>0.34</v>
      </c>
      <c r="D166" s="71"/>
      <c r="E166" s="71"/>
      <c r="F166" s="71"/>
      <c r="G166" s="71"/>
      <c r="H166" s="71"/>
      <c r="I166" s="71"/>
      <c r="N166" s="109" t="s">
        <v>91</v>
      </c>
      <c r="O166" s="110"/>
    </row>
    <row r="167" spans="2:15" x14ac:dyDescent="0.25">
      <c r="D167" s="71"/>
      <c r="E167" s="71"/>
      <c r="F167" s="71"/>
      <c r="G167" s="71"/>
      <c r="H167" s="71"/>
      <c r="I167" s="71"/>
      <c r="N167" s="111"/>
      <c r="O167" s="112"/>
    </row>
    <row r="169" spans="2:15" x14ac:dyDescent="0.25">
      <c r="B169" s="51" t="s">
        <v>76</v>
      </c>
      <c r="C169" s="51"/>
      <c r="D169" s="51"/>
      <c r="E169" s="51"/>
      <c r="F169" s="51"/>
      <c r="G169" s="51"/>
    </row>
    <row r="170" spans="2:15" ht="30" x14ac:dyDescent="0.25">
      <c r="B170" s="5" t="s">
        <v>6</v>
      </c>
      <c r="C170" s="23" t="s">
        <v>77</v>
      </c>
      <c r="D170" s="23" t="s">
        <v>78</v>
      </c>
      <c r="E170" s="23" t="s">
        <v>79</v>
      </c>
      <c r="F170" s="23" t="s">
        <v>80</v>
      </c>
      <c r="G170" s="23" t="s">
        <v>81</v>
      </c>
    </row>
    <row r="171" spans="2:15" x14ac:dyDescent="0.25">
      <c r="B171" s="6" t="s">
        <v>14</v>
      </c>
      <c r="C171" s="50">
        <f>D158</f>
        <v>837034</v>
      </c>
      <c r="D171" s="52">
        <f>$C$171/4</f>
        <v>209258.5</v>
      </c>
      <c r="E171" s="52">
        <f t="shared" ref="E171:G171" si="56">$C$171/4</f>
        <v>209258.5</v>
      </c>
      <c r="F171" s="52">
        <f t="shared" si="56"/>
        <v>209258.5</v>
      </c>
      <c r="G171" s="52">
        <f t="shared" si="56"/>
        <v>209258.5</v>
      </c>
    </row>
    <row r="172" spans="2:15" x14ac:dyDescent="0.25">
      <c r="B172" s="6" t="s">
        <v>18</v>
      </c>
      <c r="C172" s="50">
        <f t="shared" ref="C172:C174" si="57">D159</f>
        <v>284591.56</v>
      </c>
      <c r="D172" s="52">
        <f>$C$172/4</f>
        <v>71147.89</v>
      </c>
      <c r="E172" s="52">
        <f t="shared" ref="E172:G172" si="58">$C$172/4</f>
        <v>71147.89</v>
      </c>
      <c r="F172" s="52">
        <f t="shared" si="58"/>
        <v>71147.89</v>
      </c>
      <c r="G172" s="52">
        <f t="shared" si="58"/>
        <v>71147.89</v>
      </c>
    </row>
    <row r="173" spans="2:15" x14ac:dyDescent="0.25">
      <c r="B173" s="58" t="s">
        <v>26</v>
      </c>
      <c r="C173" s="50">
        <f t="shared" si="57"/>
        <v>313910</v>
      </c>
      <c r="D173" s="7"/>
      <c r="E173" s="7"/>
      <c r="F173" s="56">
        <f>(SUM(D41:D42,D67,D97,D121:D122))/2</f>
        <v>136955</v>
      </c>
      <c r="G173" s="56">
        <f>((SUM(D41:D42,D67,D97,D121:D122))/2)+D123</f>
        <v>176955</v>
      </c>
    </row>
    <row r="174" spans="2:15" x14ac:dyDescent="0.25">
      <c r="B174" s="58" t="s">
        <v>20</v>
      </c>
      <c r="C174" s="50">
        <f t="shared" si="57"/>
        <v>136880</v>
      </c>
      <c r="D174" s="46">
        <f>SUM(D21:D21,D48:D48,D78:D78,D100:D100,D130:D130,D149:D149)</f>
        <v>4680</v>
      </c>
      <c r="E174" s="46">
        <f>SUM(D19:D20)</f>
        <v>19200</v>
      </c>
      <c r="F174" s="46">
        <f>D129+((D76+D46)/2)</f>
        <v>79000</v>
      </c>
      <c r="G174" s="46">
        <f>(D76+D46)/2</f>
        <v>34000</v>
      </c>
    </row>
    <row r="175" spans="2:15" ht="15.75" thickBot="1" x14ac:dyDescent="0.3">
      <c r="B175" s="44" t="s">
        <v>30</v>
      </c>
      <c r="C175" s="53">
        <f>D162</f>
        <v>21504</v>
      </c>
      <c r="D175" s="54">
        <f>C175-G175</f>
        <v>6504</v>
      </c>
      <c r="E175" s="45"/>
      <c r="F175" s="45"/>
      <c r="G175" s="54">
        <f>D115</f>
        <v>15000</v>
      </c>
    </row>
    <row r="176" spans="2:15" x14ac:dyDescent="0.25">
      <c r="B176" s="47" t="s">
        <v>82</v>
      </c>
      <c r="C176" s="55">
        <f>SUM(C171:C175)</f>
        <v>1593919.56</v>
      </c>
      <c r="D176" s="57">
        <f>SUM(D171:D175)</f>
        <v>291590.39</v>
      </c>
      <c r="E176" s="57">
        <f t="shared" ref="E176:G176" si="59">SUM(E171:E175)</f>
        <v>299606.39</v>
      </c>
      <c r="F176" s="57">
        <f t="shared" si="59"/>
        <v>496361.39</v>
      </c>
      <c r="G176" s="57">
        <f t="shared" si="59"/>
        <v>506361.39</v>
      </c>
    </row>
  </sheetData>
  <mergeCells count="20">
    <mergeCell ref="K2:O2"/>
    <mergeCell ref="N166:O167"/>
    <mergeCell ref="B169:G169"/>
    <mergeCell ref="K3:K4"/>
    <mergeCell ref="L3:L4"/>
    <mergeCell ref="M3:M4"/>
    <mergeCell ref="N3:N4"/>
    <mergeCell ref="O3:O4"/>
    <mergeCell ref="B156:I156"/>
    <mergeCell ref="B28:I28"/>
    <mergeCell ref="B5:I5"/>
    <mergeCell ref="B134:H134"/>
    <mergeCell ref="B136:I136"/>
    <mergeCell ref="B154:H154"/>
    <mergeCell ref="B52:H52"/>
    <mergeCell ref="B54:I54"/>
    <mergeCell ref="B82:H82"/>
    <mergeCell ref="B84:I84"/>
    <mergeCell ref="B104:H104"/>
    <mergeCell ref="B106:I106"/>
  </mergeCells>
  <phoneticPr fontId="4" type="noConversion"/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840750a-43aa-4420-b2bb-5ebe6abeba39">
      <Terms xmlns="http://schemas.microsoft.com/office/infopath/2007/PartnerControls"/>
    </lcf76f155ced4ddcb4097134ff3c332f>
    <TaxCatchAll xmlns="2beaef9f-cf1f-479f-a374-c737fe2c05cb" xsi:nil="true"/>
    <SharedWithUsers xmlns="fe42014b-a195-49b9-9af0-2f3691a0a28b">
      <UserInfo>
        <DisplayName>Larson, Andrew</DisplayName>
        <AccountId>657</AccountId>
        <AccountType/>
      </UserInfo>
      <UserInfo>
        <DisplayName>Sullivan, Terence (EXEC)</DisplayName>
        <AccountId>227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46DF542F8BD744BEA9AFDBE373B962" ma:contentTypeVersion="17" ma:contentTypeDescription="Create a new document." ma:contentTypeScope="" ma:versionID="ac5ac8132751110eee59b3db9cdbed8a">
  <xsd:schema xmlns:xsd="http://www.w3.org/2001/XMLSchema" xmlns:xs="http://www.w3.org/2001/XMLSchema" xmlns:p="http://schemas.microsoft.com/office/2006/metadata/properties" xmlns:ns2="f840750a-43aa-4420-b2bb-5ebe6abeba39" xmlns:ns3="fe42014b-a195-49b9-9af0-2f3691a0a28b" xmlns:ns4="2beaef9f-cf1f-479f-a374-c737fe2c05cb" targetNamespace="http://schemas.microsoft.com/office/2006/metadata/properties" ma:root="true" ma:fieldsID="2bbe1400f7916326dc144ee1df308d48" ns2:_="" ns3:_="" ns4:_="">
    <xsd:import namespace="f840750a-43aa-4420-b2bb-5ebe6abeba39"/>
    <xsd:import namespace="fe42014b-a195-49b9-9af0-2f3691a0a28b"/>
    <xsd:import namespace="2beaef9f-cf1f-479f-a374-c737fe2c05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40750a-43aa-4420-b2bb-5ebe6abeba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487192d8-99aa-4f2d-82ad-d3af49b78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42014b-a195-49b9-9af0-2f3691a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eaef9f-cf1f-479f-a374-c737fe2c05c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98c464f-fac8-401c-a0d1-7aad902a47d5}" ma:internalName="TaxCatchAll" ma:showField="CatchAllData" ma:web="fe42014b-a195-49b9-9af0-2f3691a0a28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ECA035-688C-4B33-AAA3-3EDFA2B54D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AF320B-6C2E-4285-8AEF-F8C07A7FEBCC}">
  <ds:schemaRefs>
    <ds:schemaRef ds:uri="http://schemas.microsoft.com/office/2006/metadata/properties"/>
    <ds:schemaRef ds:uri="http://schemas.microsoft.com/office/infopath/2007/PartnerControls"/>
    <ds:schemaRef ds:uri="f840750a-43aa-4420-b2bb-5ebe6abeba39"/>
    <ds:schemaRef ds:uri="2beaef9f-cf1f-479f-a374-c737fe2c05cb"/>
    <ds:schemaRef ds:uri="fe42014b-a195-49b9-9af0-2f3691a0a28b"/>
  </ds:schemaRefs>
</ds:datastoreItem>
</file>

<file path=customXml/itemProps3.xml><?xml version="1.0" encoding="utf-8"?>
<ds:datastoreItem xmlns:ds="http://schemas.openxmlformats.org/officeDocument/2006/customXml" ds:itemID="{BBCAD508-BD12-4062-9FCF-1EA98F02DC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40750a-43aa-4420-b2bb-5ebe6abeba39"/>
    <ds:schemaRef ds:uri="fe42014b-a195-49b9-9af0-2f3691a0a28b"/>
    <ds:schemaRef ds:uri="2beaef9f-cf1f-479f-a374-c737fe2c05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King County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Sanders, Nicole</dc:creator>
  <cp:keywords/>
  <dc:description/>
  <cp:lastModifiedBy>Sanders, Nicole</cp:lastModifiedBy>
  <cp:revision/>
  <dcterms:created xsi:type="dcterms:W3CDTF">2024-03-07T20:32:28Z</dcterms:created>
  <dcterms:modified xsi:type="dcterms:W3CDTF">2024-03-29T23:07:11Z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0x0101000C46DF542F8BD744BEA9AFDBE373B962</vt:lpwstr>
  </property>
</Properties>
</file>