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kc1.sharepoint.com/teams/EXECClimateStaff/Shared Documents/General/Grants and Funding Opportunities/Federal/CPRG/0 CPRG Phase II/Application Draft/"/>
    </mc:Choice>
  </mc:AlternateContent>
  <xr:revisionPtr revIDLastSave="1702" documentId="8_{48EBEFF6-EBE8-4D36-9048-4C2A3BF89309}" xr6:coauthVersionLast="47" xr6:coauthVersionMax="47" xr10:uidLastSave="{0E1810A4-62DA-46C8-8B5A-91C2642E6290}"/>
  <bookViews>
    <workbookView xWindow="-110" yWindow="-110" windowWidth="19420" windowHeight="10420" xr2:uid="{43142750-E40D-47FE-8B36-25D8E22E854C}"/>
  </bookViews>
  <sheets>
    <sheet name="Summary" sheetId="3" r:id="rId1"/>
    <sheet name="Multifamily Program" sheetId="10" r:id="rId2"/>
    <sheet name="Community Programs" sheetId="1" r:id="rId3"/>
    <sheet name="Salvaged Lumber" sheetId="6" r:id="rId4"/>
    <sheet name="Salvaged Lumber PM2.5 and VOCs" sheetId="23" r:id="rId5"/>
    <sheet name="Scaling Financing" sheetId="19" r:id="rId6"/>
    <sheet name="Embodied UKC Concrete" sheetId="21" r:id="rId7"/>
    <sheet name="2. Seattle Low Carbon Concrete " sheetId="22" r:id="rId8"/>
    <sheet name="Emissions Factors + Conversions" sheetId="2" r:id="rId9"/>
    <sheet name="Seattle Municipal Elec Data" sheetId="9" r:id="rId10"/>
  </sheets>
  <externalReferences>
    <externalReference r:id="rId11"/>
  </externalReferences>
  <definedNames>
    <definedName name="_xlnm._FilterDatabase" localSheetId="9" hidden="1">'Seattle Municipal Elec Data'!$A$1:$AY$236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 l="1"/>
  <c r="E12" i="3"/>
  <c r="J54" i="23"/>
  <c r="I54" i="23"/>
  <c r="H54" i="23"/>
  <c r="G54" i="23"/>
  <c r="F54" i="23"/>
  <c r="E54" i="23"/>
  <c r="D54" i="23"/>
  <c r="C54" i="23"/>
  <c r="K54" i="23" s="1"/>
  <c r="P14" i="23" s="1"/>
  <c r="B54" i="23"/>
  <c r="K53" i="23"/>
  <c r="K52" i="23"/>
  <c r="J49" i="23"/>
  <c r="I49" i="23"/>
  <c r="H49" i="23"/>
  <c r="G49" i="23"/>
  <c r="F49" i="23"/>
  <c r="E49" i="23"/>
  <c r="D49" i="23"/>
  <c r="C49" i="23"/>
  <c r="B49" i="23"/>
  <c r="K49" i="23" s="1"/>
  <c r="P12" i="23" s="1"/>
  <c r="K48" i="23"/>
  <c r="K47" i="23"/>
  <c r="K46" i="23"/>
  <c r="J43" i="23"/>
  <c r="I43" i="23"/>
  <c r="H43" i="23"/>
  <c r="G43" i="23"/>
  <c r="F43" i="23"/>
  <c r="E43" i="23"/>
  <c r="D43" i="23"/>
  <c r="C43" i="23"/>
  <c r="B43" i="23"/>
  <c r="K43" i="23" s="1"/>
  <c r="P15" i="23" s="1"/>
  <c r="K42" i="23"/>
  <c r="K41" i="23"/>
  <c r="K40" i="23"/>
  <c r="K39" i="23"/>
  <c r="J36" i="23"/>
  <c r="I36" i="23"/>
  <c r="H36" i="23"/>
  <c r="G36" i="23"/>
  <c r="F36" i="23"/>
  <c r="E36" i="23"/>
  <c r="D36" i="23"/>
  <c r="C36" i="23"/>
  <c r="B36" i="23"/>
  <c r="K36" i="23" s="1"/>
  <c r="P11" i="23" s="1"/>
  <c r="K35" i="23"/>
  <c r="K34" i="23"/>
  <c r="K33" i="23"/>
  <c r="K32" i="23"/>
  <c r="J29" i="23"/>
  <c r="I29" i="23"/>
  <c r="H29" i="23"/>
  <c r="G29" i="23"/>
  <c r="F29" i="23"/>
  <c r="E29" i="23"/>
  <c r="D29" i="23"/>
  <c r="C29" i="23"/>
  <c r="B29" i="23"/>
  <c r="K29" i="23" s="1"/>
  <c r="P13" i="23" s="1"/>
  <c r="K28" i="23"/>
  <c r="K27" i="23"/>
  <c r="K26" i="23"/>
  <c r="K25" i="23"/>
  <c r="K24" i="23"/>
  <c r="J21" i="23"/>
  <c r="I21" i="23"/>
  <c r="H21" i="23"/>
  <c r="G21" i="23"/>
  <c r="F21" i="23"/>
  <c r="E21" i="23"/>
  <c r="D21" i="23"/>
  <c r="C21" i="23"/>
  <c r="B21" i="23"/>
  <c r="K21" i="23" s="1"/>
  <c r="P10" i="23" s="1"/>
  <c r="K20" i="23"/>
  <c r="K19" i="23"/>
  <c r="J16" i="23"/>
  <c r="I16" i="23"/>
  <c r="H16" i="23"/>
  <c r="G16" i="23"/>
  <c r="F16" i="23"/>
  <c r="E16" i="23"/>
  <c r="D16" i="23"/>
  <c r="C16" i="23"/>
  <c r="B16" i="23"/>
  <c r="K16" i="23" s="1"/>
  <c r="P9" i="23" s="1"/>
  <c r="K15" i="23"/>
  <c r="K14" i="23"/>
  <c r="J11" i="23"/>
  <c r="I11" i="23"/>
  <c r="H11" i="23"/>
  <c r="G11" i="23"/>
  <c r="F11" i="23"/>
  <c r="E11" i="23"/>
  <c r="D11" i="23"/>
  <c r="C11" i="23"/>
  <c r="B11" i="23"/>
  <c r="K11" i="23" s="1"/>
  <c r="P8" i="23" s="1"/>
  <c r="K10" i="23"/>
  <c r="K9" i="23"/>
  <c r="O8" i="23"/>
  <c r="D67" i="6"/>
  <c r="C67" i="6"/>
  <c r="B67" i="6"/>
  <c r="B68" i="6" s="1"/>
  <c r="I60" i="6"/>
  <c r="H60" i="6"/>
  <c r="K60" i="6" s="1"/>
  <c r="D60" i="6"/>
  <c r="C60" i="6"/>
  <c r="B60" i="6"/>
  <c r="E60" i="6" s="1"/>
  <c r="P59" i="6"/>
  <c r="J59" i="6"/>
  <c r="P58" i="6"/>
  <c r="O58" i="6"/>
  <c r="J58" i="6"/>
  <c r="I58" i="6"/>
  <c r="O57" i="6"/>
  <c r="O60" i="6" s="1"/>
  <c r="J57" i="6"/>
  <c r="P57" i="6" s="1"/>
  <c r="I57" i="6"/>
  <c r="P56" i="6"/>
  <c r="P60" i="6" s="1"/>
  <c r="N56" i="6"/>
  <c r="N60" i="6" s="1"/>
  <c r="Q60" i="6" s="1"/>
  <c r="J56" i="6"/>
  <c r="J60" i="6" s="1"/>
  <c r="H56" i="6"/>
  <c r="D53" i="6"/>
  <c r="C53" i="6"/>
  <c r="B53" i="6"/>
  <c r="E53" i="6" s="1"/>
  <c r="J52" i="6"/>
  <c r="P52" i="6" s="1"/>
  <c r="P53" i="6" s="1"/>
  <c r="O51" i="6"/>
  <c r="I51" i="6"/>
  <c r="I50" i="6"/>
  <c r="I53" i="6" s="1"/>
  <c r="N49" i="6"/>
  <c r="N53" i="6" s="1"/>
  <c r="H49" i="6"/>
  <c r="H53" i="6" s="1"/>
  <c r="C46" i="6"/>
  <c r="C40" i="6" s="1"/>
  <c r="H40" i="6"/>
  <c r="G40" i="6"/>
  <c r="H39" i="6"/>
  <c r="G39" i="6"/>
  <c r="C39" i="6"/>
  <c r="H38" i="6"/>
  <c r="G38" i="6"/>
  <c r="C38" i="6"/>
  <c r="H37" i="6"/>
  <c r="G37" i="6"/>
  <c r="H36" i="6"/>
  <c r="G36" i="6"/>
  <c r="H35" i="6"/>
  <c r="G35" i="6"/>
  <c r="C35" i="6"/>
  <c r="H34" i="6"/>
  <c r="G34" i="6"/>
  <c r="C34" i="6"/>
  <c r="H33" i="6"/>
  <c r="G33" i="6"/>
  <c r="H32" i="6"/>
  <c r="G32" i="6"/>
  <c r="H31" i="6"/>
  <c r="G31" i="6"/>
  <c r="C31" i="6"/>
  <c r="H30" i="6"/>
  <c r="G30" i="6"/>
  <c r="C30" i="6"/>
  <c r="H29" i="6"/>
  <c r="G29" i="6"/>
  <c r="H28" i="6"/>
  <c r="G28" i="6"/>
  <c r="H27" i="6"/>
  <c r="G27" i="6"/>
  <c r="C27" i="6"/>
  <c r="H26" i="6"/>
  <c r="G26" i="6"/>
  <c r="C26" i="6"/>
  <c r="H25" i="6"/>
  <c r="G25" i="6"/>
  <c r="H24" i="6"/>
  <c r="G24" i="6"/>
  <c r="H23" i="6"/>
  <c r="G23" i="6"/>
  <c r="C23" i="6"/>
  <c r="H22" i="6"/>
  <c r="G22" i="6"/>
  <c r="C22" i="6"/>
  <c r="H21" i="6"/>
  <c r="G21" i="6"/>
  <c r="H20" i="6"/>
  <c r="G20" i="6"/>
  <c r="H19" i="6"/>
  <c r="G19" i="6"/>
  <c r="C19" i="6"/>
  <c r="H18" i="6"/>
  <c r="G18" i="6"/>
  <c r="C18" i="6"/>
  <c r="H17" i="6"/>
  <c r="G17" i="6"/>
  <c r="H16" i="6"/>
  <c r="C11" i="6" s="1"/>
  <c r="G16" i="6"/>
  <c r="D10" i="6" s="1"/>
  <c r="H15" i="6"/>
  <c r="G15" i="6"/>
  <c r="C15" i="6"/>
  <c r="D11" i="6"/>
  <c r="K53" i="6" l="1"/>
  <c r="K62" i="6"/>
  <c r="K63" i="6" s="1"/>
  <c r="D26" i="6"/>
  <c r="D24" i="6"/>
  <c r="D37" i="6"/>
  <c r="D33" i="6"/>
  <c r="D29" i="6"/>
  <c r="D25" i="6"/>
  <c r="D21" i="6"/>
  <c r="D17" i="6"/>
  <c r="D5" i="6" s="1"/>
  <c r="D22" i="6"/>
  <c r="D18" i="6"/>
  <c r="D20" i="6"/>
  <c r="D30" i="6"/>
  <c r="D16" i="6"/>
  <c r="D38" i="6"/>
  <c r="D34" i="6"/>
  <c r="D39" i="6"/>
  <c r="D35" i="6"/>
  <c r="D31" i="6"/>
  <c r="D27" i="6"/>
  <c r="D23" i="6"/>
  <c r="D19" i="6"/>
  <c r="D15" i="6"/>
  <c r="D40" i="6"/>
  <c r="D36" i="6"/>
  <c r="D32" i="6"/>
  <c r="D28" i="6"/>
  <c r="J53" i="6"/>
  <c r="C10" i="6"/>
  <c r="C17" i="6"/>
  <c r="C21" i="6"/>
  <c r="C25" i="6"/>
  <c r="C29" i="6"/>
  <c r="C33" i="6"/>
  <c r="C37" i="6"/>
  <c r="O50" i="6"/>
  <c r="O53" i="6" s="1"/>
  <c r="Q53" i="6" s="1"/>
  <c r="Q62" i="6" s="1"/>
  <c r="Q63" i="6" s="1"/>
  <c r="C16" i="6"/>
  <c r="C5" i="6" s="1"/>
  <c r="C20" i="6"/>
  <c r="C24" i="6"/>
  <c r="C28" i="6"/>
  <c r="C32" i="6"/>
  <c r="C36" i="6"/>
  <c r="F27" i="6" l="1"/>
  <c r="F15" i="6"/>
  <c r="F33" i="6"/>
  <c r="F29" i="6"/>
  <c r="F21" i="6"/>
  <c r="F17" i="6"/>
  <c r="F38" i="6"/>
  <c r="F34" i="6"/>
  <c r="F30" i="6"/>
  <c r="F26" i="6"/>
  <c r="F22" i="6"/>
  <c r="F18" i="6"/>
  <c r="F37" i="6"/>
  <c r="F25" i="6"/>
  <c r="F23" i="6"/>
  <c r="F19" i="6"/>
  <c r="F39" i="6"/>
  <c r="F35" i="6"/>
  <c r="F31" i="6"/>
  <c r="F40" i="6"/>
  <c r="F36" i="6"/>
  <c r="F32" i="6"/>
  <c r="F28" i="6"/>
  <c r="F24" i="6"/>
  <c r="F20" i="6"/>
  <c r="F16" i="6"/>
  <c r="E37" i="6"/>
  <c r="E33" i="6"/>
  <c r="E29" i="6"/>
  <c r="E25" i="6"/>
  <c r="E21" i="6"/>
  <c r="E17" i="6"/>
  <c r="E39" i="6"/>
  <c r="E19" i="6"/>
  <c r="E15" i="6"/>
  <c r="E27" i="6"/>
  <c r="E23" i="6"/>
  <c r="E24" i="6"/>
  <c r="E38" i="6"/>
  <c r="E34" i="6"/>
  <c r="E30" i="6"/>
  <c r="E26" i="6"/>
  <c r="E22" i="6"/>
  <c r="E18" i="6"/>
  <c r="E35" i="6"/>
  <c r="E31" i="6"/>
  <c r="E20" i="6"/>
  <c r="E40" i="6"/>
  <c r="E36" i="6"/>
  <c r="E32" i="6"/>
  <c r="E28" i="6"/>
  <c r="E16" i="6"/>
  <c r="C7" i="6"/>
  <c r="C6" i="6" s="1"/>
  <c r="D44" i="6"/>
  <c r="D43" i="6"/>
  <c r="D7" i="6"/>
  <c r="D6" i="6" s="1"/>
  <c r="D45" i="6"/>
  <c r="D42" i="6"/>
  <c r="F42" i="6" l="1"/>
  <c r="D9" i="6"/>
  <c r="F44" i="6"/>
  <c r="C9" i="6"/>
  <c r="F43" i="6"/>
  <c r="F45" i="6"/>
  <c r="E45" i="6"/>
  <c r="E42" i="6"/>
  <c r="C8" i="6"/>
  <c r="E44" i="6"/>
  <c r="D8" i="6"/>
  <c r="E43" i="6"/>
  <c r="J185" i="22" l="1"/>
  <c r="N185" i="22" s="1"/>
  <c r="P185" i="22" s="1"/>
  <c r="J184" i="22"/>
  <c r="N184" i="22" s="1"/>
  <c r="P184" i="22" s="1"/>
  <c r="N183" i="22"/>
  <c r="P183" i="22" s="1"/>
  <c r="K183" i="22"/>
  <c r="M183" i="22" s="1"/>
  <c r="J183" i="22"/>
  <c r="J182" i="22"/>
  <c r="N181" i="22"/>
  <c r="P181" i="22" s="1"/>
  <c r="K181" i="22"/>
  <c r="M181" i="22" s="1"/>
  <c r="J181" i="22"/>
  <c r="J180" i="22"/>
  <c r="N180" i="22" s="1"/>
  <c r="P180" i="22" s="1"/>
  <c r="N179" i="22"/>
  <c r="P179" i="22" s="1"/>
  <c r="K179" i="22"/>
  <c r="M179" i="22" s="1"/>
  <c r="J179" i="22"/>
  <c r="P177" i="22"/>
  <c r="J177" i="22"/>
  <c r="N177" i="22" s="1"/>
  <c r="N176" i="22"/>
  <c r="P176" i="22" s="1"/>
  <c r="K176" i="22"/>
  <c r="M176" i="22" s="1"/>
  <c r="J176" i="22"/>
  <c r="J175" i="22"/>
  <c r="N174" i="22"/>
  <c r="P174" i="22" s="1"/>
  <c r="K174" i="22"/>
  <c r="M174" i="22" s="1"/>
  <c r="J174" i="22"/>
  <c r="J173" i="22"/>
  <c r="N173" i="22" s="1"/>
  <c r="P173" i="22" s="1"/>
  <c r="N172" i="22"/>
  <c r="P172" i="22" s="1"/>
  <c r="K172" i="22"/>
  <c r="M172" i="22" s="1"/>
  <c r="J172" i="22"/>
  <c r="J171" i="22"/>
  <c r="N169" i="22"/>
  <c r="P169" i="22" s="1"/>
  <c r="M169" i="22"/>
  <c r="K169" i="22"/>
  <c r="J169" i="22"/>
  <c r="J168" i="22"/>
  <c r="N167" i="22"/>
  <c r="P167" i="22" s="1"/>
  <c r="K167" i="22"/>
  <c r="M167" i="22" s="1"/>
  <c r="J167" i="22"/>
  <c r="J166" i="22"/>
  <c r="N165" i="22"/>
  <c r="P165" i="22" s="1"/>
  <c r="K165" i="22"/>
  <c r="M165" i="22" s="1"/>
  <c r="J165" i="22"/>
  <c r="N164" i="22"/>
  <c r="P164" i="22" s="1"/>
  <c r="M164" i="22"/>
  <c r="J164" i="22"/>
  <c r="K164" i="22" s="1"/>
  <c r="N163" i="22"/>
  <c r="P163" i="22" s="1"/>
  <c r="J163" i="22"/>
  <c r="K163" i="22" s="1"/>
  <c r="M163" i="22" s="1"/>
  <c r="P110" i="22"/>
  <c r="M110" i="22"/>
  <c r="Q109" i="22"/>
  <c r="R109" i="22" s="1"/>
  <c r="N107" i="22"/>
  <c r="O107" i="22" s="1"/>
  <c r="P100" i="22"/>
  <c r="M100" i="22"/>
  <c r="N98" i="22"/>
  <c r="O98" i="22" s="1"/>
  <c r="AB90" i="22"/>
  <c r="Y90" i="22"/>
  <c r="V90" i="22"/>
  <c r="S90" i="22"/>
  <c r="P90" i="22"/>
  <c r="M90" i="22"/>
  <c r="AB80" i="22"/>
  <c r="Y80" i="22"/>
  <c r="V80" i="22"/>
  <c r="S80" i="22"/>
  <c r="P80" i="22"/>
  <c r="M80" i="22"/>
  <c r="Q78" i="22"/>
  <c r="R78" i="22" s="1"/>
  <c r="N78" i="22"/>
  <c r="O78" i="22" s="1"/>
  <c r="N77" i="22"/>
  <c r="O77" i="22" s="1"/>
  <c r="N76" i="22"/>
  <c r="O76" i="22" s="1"/>
  <c r="Q75" i="22"/>
  <c r="AB70" i="22"/>
  <c r="Y70" i="22"/>
  <c r="V70" i="22"/>
  <c r="S70" i="22"/>
  <c r="P70" i="22"/>
  <c r="M70" i="22"/>
  <c r="Z68" i="22"/>
  <c r="AA68" i="22" s="1"/>
  <c r="Q67" i="22"/>
  <c r="R67" i="22" s="1"/>
  <c r="N67" i="22"/>
  <c r="O67" i="22" s="1"/>
  <c r="Q66" i="22"/>
  <c r="R66" i="22" s="1"/>
  <c r="N66" i="22"/>
  <c r="O66" i="22" s="1"/>
  <c r="Z65" i="22"/>
  <c r="Q65" i="22"/>
  <c r="AB60" i="22"/>
  <c r="Y60" i="22"/>
  <c r="V60" i="22"/>
  <c r="S60" i="22"/>
  <c r="P60" i="22"/>
  <c r="M60" i="22"/>
  <c r="T58" i="22"/>
  <c r="U58" i="22" s="1"/>
  <c r="W57" i="22"/>
  <c r="X57" i="22" s="1"/>
  <c r="T56" i="22"/>
  <c r="U56" i="22" s="1"/>
  <c r="W55" i="22"/>
  <c r="X30" i="22"/>
  <c r="M30" i="22"/>
  <c r="X29" i="22"/>
  <c r="M29" i="22"/>
  <c r="G29" i="22"/>
  <c r="X28" i="22"/>
  <c r="M28" i="22"/>
  <c r="G28" i="22"/>
  <c r="X25" i="22"/>
  <c r="M25" i="22"/>
  <c r="J25" i="22"/>
  <c r="AC68" i="22" s="1"/>
  <c r="AD68" i="22" s="1"/>
  <c r="G25" i="22"/>
  <c r="AC59" i="22" s="1"/>
  <c r="AD59" i="22" s="1"/>
  <c r="X24" i="22"/>
  <c r="M24" i="22"/>
  <c r="X23" i="22"/>
  <c r="M23" i="22"/>
  <c r="X20" i="22"/>
  <c r="M20" i="22"/>
  <c r="G20" i="22"/>
  <c r="N13" i="22"/>
  <c r="M13" i="22"/>
  <c r="J23" i="22" s="1"/>
  <c r="N69" i="22" s="1"/>
  <c r="O69" i="22" s="1"/>
  <c r="L13" i="22"/>
  <c r="J20" i="22" s="1"/>
  <c r="J21" i="22" s="1"/>
  <c r="N106" i="22" s="1"/>
  <c r="O106" i="22" s="1"/>
  <c r="G13" i="22"/>
  <c r="G24" i="22" s="1"/>
  <c r="F12" i="22"/>
  <c r="F13" i="22" s="1"/>
  <c r="G23" i="22" s="1"/>
  <c r="N185" i="21"/>
  <c r="P185" i="21" s="1"/>
  <c r="J185" i="21"/>
  <c r="K185" i="21" s="1"/>
  <c r="M185" i="21" s="1"/>
  <c r="P184" i="21"/>
  <c r="K184" i="21"/>
  <c r="M184" i="21" s="1"/>
  <c r="J184" i="21"/>
  <c r="N184" i="21" s="1"/>
  <c r="P183" i="21"/>
  <c r="K183" i="21"/>
  <c r="M183" i="21" s="1"/>
  <c r="J183" i="21"/>
  <c r="N183" i="21" s="1"/>
  <c r="N182" i="21"/>
  <c r="P182" i="21" s="1"/>
  <c r="K182" i="21"/>
  <c r="M182" i="21" s="1"/>
  <c r="J182" i="21"/>
  <c r="N181" i="21"/>
  <c r="P181" i="21" s="1"/>
  <c r="K181" i="21"/>
  <c r="M181" i="21" s="1"/>
  <c r="J181" i="21"/>
  <c r="N180" i="21"/>
  <c r="P180" i="21" s="1"/>
  <c r="J180" i="21"/>
  <c r="K180" i="21" s="1"/>
  <c r="M180" i="21" s="1"/>
  <c r="N179" i="21"/>
  <c r="P179" i="21" s="1"/>
  <c r="M179" i="21"/>
  <c r="M186" i="21" s="1"/>
  <c r="K179" i="21"/>
  <c r="J179" i="21"/>
  <c r="K177" i="21"/>
  <c r="M177" i="21" s="1"/>
  <c r="J177" i="21"/>
  <c r="N177" i="21" s="1"/>
  <c r="P177" i="21" s="1"/>
  <c r="K176" i="21"/>
  <c r="M176" i="21" s="1"/>
  <c r="J176" i="21"/>
  <c r="N176" i="21" s="1"/>
  <c r="P176" i="21" s="1"/>
  <c r="P175" i="21"/>
  <c r="N175" i="21"/>
  <c r="K175" i="21"/>
  <c r="M175" i="21" s="1"/>
  <c r="J175" i="21"/>
  <c r="N174" i="21"/>
  <c r="P174" i="21" s="1"/>
  <c r="J174" i="21"/>
  <c r="K174" i="21" s="1"/>
  <c r="M174" i="21" s="1"/>
  <c r="J173" i="21"/>
  <c r="K173" i="21" s="1"/>
  <c r="M173" i="21" s="1"/>
  <c r="N172" i="21"/>
  <c r="P172" i="21" s="1"/>
  <c r="K172" i="21"/>
  <c r="M172" i="21" s="1"/>
  <c r="J172" i="21"/>
  <c r="J171" i="21"/>
  <c r="K169" i="21"/>
  <c r="M169" i="21" s="1"/>
  <c r="J169" i="21"/>
  <c r="N169" i="21" s="1"/>
  <c r="P169" i="21" s="1"/>
  <c r="P168" i="21"/>
  <c r="N168" i="21"/>
  <c r="M168" i="21"/>
  <c r="K168" i="21"/>
  <c r="J168" i="21"/>
  <c r="J167" i="21"/>
  <c r="K167" i="21" s="1"/>
  <c r="M167" i="21" s="1"/>
  <c r="P166" i="21"/>
  <c r="N166" i="21"/>
  <c r="J166" i="21"/>
  <c r="K166" i="21" s="1"/>
  <c r="M166" i="21" s="1"/>
  <c r="K165" i="21"/>
  <c r="M165" i="21" s="1"/>
  <c r="J165" i="21"/>
  <c r="N165" i="21" s="1"/>
  <c r="P165" i="21" s="1"/>
  <c r="J164" i="21"/>
  <c r="N163" i="21"/>
  <c r="P163" i="21" s="1"/>
  <c r="J163" i="21"/>
  <c r="K163" i="21" s="1"/>
  <c r="M163" i="21" s="1"/>
  <c r="P110" i="21"/>
  <c r="M110" i="21"/>
  <c r="P100" i="21"/>
  <c r="M100" i="21"/>
  <c r="N99" i="21"/>
  <c r="O99" i="21" s="1"/>
  <c r="Q97" i="21"/>
  <c r="R97" i="21" s="1"/>
  <c r="Q95" i="21"/>
  <c r="AB90" i="21"/>
  <c r="Y90" i="21"/>
  <c r="V90" i="21"/>
  <c r="S90" i="21"/>
  <c r="P90" i="21"/>
  <c r="M90" i="21"/>
  <c r="AB80" i="21"/>
  <c r="Y80" i="21"/>
  <c r="V80" i="21"/>
  <c r="S80" i="21"/>
  <c r="P80" i="21"/>
  <c r="M80" i="21"/>
  <c r="AB70" i="21"/>
  <c r="Y70" i="21"/>
  <c r="V70" i="21"/>
  <c r="S70" i="21"/>
  <c r="P70" i="21"/>
  <c r="M70" i="21"/>
  <c r="AB60" i="21"/>
  <c r="Y60" i="21"/>
  <c r="V60" i="21"/>
  <c r="S60" i="21"/>
  <c r="P60" i="21"/>
  <c r="M60" i="21"/>
  <c r="AC58" i="21"/>
  <c r="AD58" i="21" s="1"/>
  <c r="X30" i="21"/>
  <c r="M30" i="21"/>
  <c r="X29" i="21"/>
  <c r="M29" i="21"/>
  <c r="X28" i="21"/>
  <c r="M28" i="21"/>
  <c r="X25" i="21"/>
  <c r="M25" i="21"/>
  <c r="G25" i="21"/>
  <c r="X24" i="21"/>
  <c r="M24" i="21"/>
  <c r="X23" i="21"/>
  <c r="M23" i="21"/>
  <c r="G23" i="21"/>
  <c r="N55" i="21" s="1"/>
  <c r="X20" i="21"/>
  <c r="M20" i="21"/>
  <c r="J20" i="21"/>
  <c r="J21" i="21" s="1"/>
  <c r="G20" i="21"/>
  <c r="Q99" i="21" s="1"/>
  <c r="R99" i="21" s="1"/>
  <c r="N13" i="21"/>
  <c r="L13" i="21"/>
  <c r="G13" i="21"/>
  <c r="F13" i="21"/>
  <c r="G24" i="21" s="1"/>
  <c r="M12" i="21"/>
  <c r="M13" i="21" s="1"/>
  <c r="W58" i="21" l="1"/>
  <c r="X58" i="21" s="1"/>
  <c r="W56" i="21"/>
  <c r="X56" i="21" s="1"/>
  <c r="T58" i="21"/>
  <c r="U58" i="21" s="1"/>
  <c r="T56" i="21"/>
  <c r="U56" i="21" s="1"/>
  <c r="W57" i="21"/>
  <c r="X57" i="21" s="1"/>
  <c r="W55" i="21"/>
  <c r="T59" i="21"/>
  <c r="U59" i="21" s="1"/>
  <c r="W59" i="21"/>
  <c r="X59" i="21" s="1"/>
  <c r="T57" i="21"/>
  <c r="U57" i="21" s="1"/>
  <c r="T55" i="21"/>
  <c r="O55" i="21"/>
  <c r="N55" i="22"/>
  <c r="Q59" i="22"/>
  <c r="R59" i="22" s="1"/>
  <c r="N56" i="22"/>
  <c r="O56" i="22" s="1"/>
  <c r="Q57" i="22"/>
  <c r="R57" i="22" s="1"/>
  <c r="Q58" i="22"/>
  <c r="R58" i="22" s="1"/>
  <c r="N59" i="22"/>
  <c r="O59" i="22" s="1"/>
  <c r="N58" i="22"/>
  <c r="O58" i="22" s="1"/>
  <c r="Q56" i="22"/>
  <c r="R56" i="22" s="1"/>
  <c r="N182" i="22"/>
  <c r="P182" i="22" s="1"/>
  <c r="K182" i="22"/>
  <c r="M182" i="22" s="1"/>
  <c r="R75" i="22"/>
  <c r="K171" i="22"/>
  <c r="M171" i="22" s="1"/>
  <c r="N171" i="22"/>
  <c r="P171" i="22" s="1"/>
  <c r="P178" i="22" s="1"/>
  <c r="Q59" i="21"/>
  <c r="R59" i="21" s="1"/>
  <c r="Q57" i="21"/>
  <c r="R57" i="21" s="1"/>
  <c r="N59" i="21"/>
  <c r="O59" i="21" s="1"/>
  <c r="N57" i="21"/>
  <c r="O57" i="21" s="1"/>
  <c r="N56" i="21"/>
  <c r="O56" i="21" s="1"/>
  <c r="Q55" i="21"/>
  <c r="N58" i="21"/>
  <c r="O58" i="21" s="1"/>
  <c r="Q56" i="21"/>
  <c r="R56" i="21" s="1"/>
  <c r="AA65" i="22"/>
  <c r="N109" i="21"/>
  <c r="O109" i="21" s="1"/>
  <c r="N107" i="21"/>
  <c r="O107" i="21" s="1"/>
  <c r="N105" i="21"/>
  <c r="Q107" i="21"/>
  <c r="R107" i="21" s="1"/>
  <c r="Q109" i="21"/>
  <c r="R109" i="21" s="1"/>
  <c r="N106" i="21"/>
  <c r="O106" i="21" s="1"/>
  <c r="Q108" i="21"/>
  <c r="R108" i="21" s="1"/>
  <c r="N108" i="21"/>
  <c r="O108" i="21" s="1"/>
  <c r="Q106" i="21"/>
  <c r="R106" i="21" s="1"/>
  <c r="Q105" i="21"/>
  <c r="N57" i="22"/>
  <c r="O57" i="22" s="1"/>
  <c r="G29" i="21"/>
  <c r="G30" i="21"/>
  <c r="G28" i="21"/>
  <c r="J30" i="21"/>
  <c r="J29" i="21"/>
  <c r="J28" i="21"/>
  <c r="Q55" i="22"/>
  <c r="J25" i="21"/>
  <c r="J24" i="21"/>
  <c r="J23" i="21"/>
  <c r="AC59" i="21"/>
  <c r="AD59" i="21" s="1"/>
  <c r="AC57" i="21"/>
  <c r="AD57" i="21" s="1"/>
  <c r="AC55" i="21"/>
  <c r="Z59" i="21"/>
  <c r="AA59" i="21" s="1"/>
  <c r="Z57" i="21"/>
  <c r="AA57" i="21" s="1"/>
  <c r="Z55" i="21"/>
  <c r="AC56" i="21"/>
  <c r="AD56" i="21" s="1"/>
  <c r="Z56" i="21"/>
  <c r="AA56" i="21" s="1"/>
  <c r="Z58" i="21"/>
  <c r="AA58" i="21" s="1"/>
  <c r="Q58" i="21"/>
  <c r="R58" i="21" s="1"/>
  <c r="M170" i="21"/>
  <c r="W79" i="22"/>
  <c r="X79" i="22" s="1"/>
  <c r="T79" i="22"/>
  <c r="U79" i="22" s="1"/>
  <c r="W78" i="22"/>
  <c r="X78" i="22" s="1"/>
  <c r="T77" i="22"/>
  <c r="U77" i="22" s="1"/>
  <c r="W76" i="22"/>
  <c r="X76" i="22" s="1"/>
  <c r="W77" i="22"/>
  <c r="X77" i="22" s="1"/>
  <c r="T78" i="22"/>
  <c r="U78" i="22" s="1"/>
  <c r="T76" i="22"/>
  <c r="U76" i="22" s="1"/>
  <c r="W75" i="22"/>
  <c r="T75" i="22"/>
  <c r="N164" i="21"/>
  <c r="P164" i="21" s="1"/>
  <c r="P170" i="21" s="1"/>
  <c r="K164" i="21"/>
  <c r="M164" i="21" s="1"/>
  <c r="N167" i="21"/>
  <c r="P167" i="21" s="1"/>
  <c r="X55" i="22"/>
  <c r="N168" i="22"/>
  <c r="P168" i="22" s="1"/>
  <c r="K168" i="22"/>
  <c r="M168" i="22" s="1"/>
  <c r="P186" i="21"/>
  <c r="Q96" i="22"/>
  <c r="R96" i="22" s="1"/>
  <c r="Q99" i="22"/>
  <c r="R99" i="22" s="1"/>
  <c r="N96" i="22"/>
  <c r="O96" i="22" s="1"/>
  <c r="Q98" i="22"/>
  <c r="R98" i="22" s="1"/>
  <c r="Q95" i="22"/>
  <c r="N95" i="22"/>
  <c r="N99" i="22"/>
  <c r="O99" i="22" s="1"/>
  <c r="Z57" i="22"/>
  <c r="AA57" i="22" s="1"/>
  <c r="AC56" i="22"/>
  <c r="AD56" i="22" s="1"/>
  <c r="Z56" i="22"/>
  <c r="AA56" i="22" s="1"/>
  <c r="AC55" i="22"/>
  <c r="AC58" i="22"/>
  <c r="AD58" i="22" s="1"/>
  <c r="Z58" i="22"/>
  <c r="AA58" i="22" s="1"/>
  <c r="Z55" i="22"/>
  <c r="Z59" i="22"/>
  <c r="AA59" i="22" s="1"/>
  <c r="AC57" i="22"/>
  <c r="AD57" i="22" s="1"/>
  <c r="N171" i="21"/>
  <c r="P171" i="21" s="1"/>
  <c r="P178" i="21" s="1"/>
  <c r="K171" i="21"/>
  <c r="M171" i="21" s="1"/>
  <c r="M178" i="21" s="1"/>
  <c r="Z67" i="22"/>
  <c r="AA67" i="22" s="1"/>
  <c r="AC66" i="22"/>
  <c r="AD66" i="22" s="1"/>
  <c r="Z66" i="22"/>
  <c r="AA66" i="22" s="1"/>
  <c r="AC65" i="22"/>
  <c r="Z69" i="22"/>
  <c r="AA69" i="22" s="1"/>
  <c r="AC67" i="22"/>
  <c r="AD67" i="22" s="1"/>
  <c r="P186" i="22"/>
  <c r="R95" i="21"/>
  <c r="N98" i="21"/>
  <c r="O98" i="21" s="1"/>
  <c r="N96" i="21"/>
  <c r="O96" i="21" s="1"/>
  <c r="Q98" i="21"/>
  <c r="R98" i="21" s="1"/>
  <c r="N95" i="21"/>
  <c r="N97" i="21"/>
  <c r="O97" i="21" s="1"/>
  <c r="Q70" i="22"/>
  <c r="R65" i="22"/>
  <c r="AC69" i="22"/>
  <c r="AD69" i="22" s="1"/>
  <c r="N97" i="22"/>
  <c r="O97" i="22" s="1"/>
  <c r="K173" i="22"/>
  <c r="M173" i="22" s="1"/>
  <c r="Q96" i="21"/>
  <c r="R96" i="21" s="1"/>
  <c r="Q105" i="22"/>
  <c r="Q108" i="22"/>
  <c r="R108" i="22" s="1"/>
  <c r="N105" i="22"/>
  <c r="Q107" i="22"/>
  <c r="R107" i="22" s="1"/>
  <c r="N109" i="22"/>
  <c r="O109" i="22" s="1"/>
  <c r="N108" i="22"/>
  <c r="O108" i="22" s="1"/>
  <c r="Q97" i="22"/>
  <c r="R97" i="22" s="1"/>
  <c r="Q106" i="22"/>
  <c r="R106" i="22" s="1"/>
  <c r="P170" i="22"/>
  <c r="W59" i="22"/>
  <c r="X59" i="22" s="1"/>
  <c r="T59" i="22"/>
  <c r="U59" i="22" s="1"/>
  <c r="W58" i="22"/>
  <c r="X58" i="22" s="1"/>
  <c r="T57" i="22"/>
  <c r="U57" i="22" s="1"/>
  <c r="W56" i="22"/>
  <c r="X56" i="22" s="1"/>
  <c r="N75" i="22"/>
  <c r="Q79" i="22"/>
  <c r="R79" i="22" s="1"/>
  <c r="T55" i="22"/>
  <c r="Q77" i="22"/>
  <c r="R77" i="22" s="1"/>
  <c r="N65" i="22"/>
  <c r="Q69" i="22"/>
  <c r="R69" i="22" s="1"/>
  <c r="J24" i="22"/>
  <c r="N68" i="22"/>
  <c r="O68" i="22" s="1"/>
  <c r="Q76" i="22"/>
  <c r="R76" i="22" s="1"/>
  <c r="N173" i="21"/>
  <c r="P173" i="21" s="1"/>
  <c r="J30" i="22"/>
  <c r="J29" i="22"/>
  <c r="J28" i="22"/>
  <c r="Q68" i="22"/>
  <c r="R68" i="22" s="1"/>
  <c r="N79" i="22"/>
  <c r="O79" i="22" s="1"/>
  <c r="N166" i="22"/>
  <c r="P166" i="22" s="1"/>
  <c r="K166" i="22"/>
  <c r="M166" i="22" s="1"/>
  <c r="M170" i="22" s="1"/>
  <c r="N175" i="22"/>
  <c r="P175" i="22" s="1"/>
  <c r="K175" i="22"/>
  <c r="M175" i="22" s="1"/>
  <c r="M186" i="22"/>
  <c r="G30" i="22"/>
  <c r="K180" i="22"/>
  <c r="M180" i="22" s="1"/>
  <c r="K185" i="22"/>
  <c r="M185" i="22" s="1"/>
  <c r="K177" i="22"/>
  <c r="M177" i="22" s="1"/>
  <c r="K184" i="22"/>
  <c r="M184" i="22" s="1"/>
  <c r="O55" i="22" l="1"/>
  <c r="O60" i="22" s="1"/>
  <c r="N60" i="22"/>
  <c r="W88" i="22"/>
  <c r="X88" i="22" s="1"/>
  <c r="W87" i="22"/>
  <c r="X87" i="22" s="1"/>
  <c r="T86" i="22"/>
  <c r="U86" i="22" s="1"/>
  <c r="T85" i="22"/>
  <c r="W89" i="22"/>
  <c r="X89" i="22" s="1"/>
  <c r="T88" i="22"/>
  <c r="U88" i="22" s="1"/>
  <c r="T87" i="22"/>
  <c r="U87" i="22" s="1"/>
  <c r="T89" i="22"/>
  <c r="U89" i="22" s="1"/>
  <c r="W85" i="22"/>
  <c r="W86" i="22"/>
  <c r="X86" i="22" s="1"/>
  <c r="AA55" i="21"/>
  <c r="AA60" i="21" s="1"/>
  <c r="Z60" i="21"/>
  <c r="N110" i="21"/>
  <c r="O105" i="21"/>
  <c r="O110" i="21" s="1"/>
  <c r="U55" i="22"/>
  <c r="U60" i="22" s="1"/>
  <c r="T60" i="22"/>
  <c r="R105" i="22"/>
  <c r="R110" i="22" s="1"/>
  <c r="Q110" i="22"/>
  <c r="Q110" i="21"/>
  <c r="R105" i="21"/>
  <c r="R110" i="21" s="1"/>
  <c r="W80" i="22"/>
  <c r="X75" i="22"/>
  <c r="X80" i="22" s="1"/>
  <c r="X55" i="21"/>
  <c r="X60" i="21" s="1"/>
  <c r="W60" i="21"/>
  <c r="O75" i="22"/>
  <c r="O80" i="22" s="1"/>
  <c r="N80" i="22"/>
  <c r="AD65" i="22"/>
  <c r="AD70" i="22" s="1"/>
  <c r="AC70" i="22"/>
  <c r="Z60" i="22"/>
  <c r="AA55" i="22"/>
  <c r="AA60" i="22" s="1"/>
  <c r="O95" i="22"/>
  <c r="O100" i="22" s="1"/>
  <c r="N100" i="22"/>
  <c r="AD55" i="21"/>
  <c r="AD60" i="21" s="1"/>
  <c r="AC60" i="21"/>
  <c r="T88" i="21"/>
  <c r="U88" i="21" s="1"/>
  <c r="W87" i="21"/>
  <c r="X87" i="21" s="1"/>
  <c r="W85" i="21"/>
  <c r="T87" i="21"/>
  <c r="U87" i="21" s="1"/>
  <c r="T85" i="21"/>
  <c r="W88" i="21"/>
  <c r="X88" i="21" s="1"/>
  <c r="T86" i="21"/>
  <c r="U86" i="21" s="1"/>
  <c r="W89" i="21"/>
  <c r="X89" i="21" s="1"/>
  <c r="T89" i="21"/>
  <c r="U89" i="21" s="1"/>
  <c r="W86" i="21"/>
  <c r="X86" i="21" s="1"/>
  <c r="AA70" i="22"/>
  <c r="R95" i="22"/>
  <c r="R100" i="22" s="1"/>
  <c r="Q100" i="22"/>
  <c r="X60" i="22"/>
  <c r="Z89" i="21"/>
  <c r="AA89" i="21" s="1"/>
  <c r="AC86" i="21"/>
  <c r="AD86" i="21" s="1"/>
  <c r="AC88" i="21"/>
  <c r="AD88" i="21" s="1"/>
  <c r="Z86" i="21"/>
  <c r="AA86" i="21" s="1"/>
  <c r="AC89" i="21"/>
  <c r="AD89" i="21" s="1"/>
  <c r="AC85" i="21"/>
  <c r="Z85" i="21"/>
  <c r="AC87" i="21"/>
  <c r="AD87" i="21" s="1"/>
  <c r="Z88" i="21"/>
  <c r="AA88" i="21" s="1"/>
  <c r="Z87" i="21"/>
  <c r="AA87" i="21" s="1"/>
  <c r="Z70" i="22"/>
  <c r="O60" i="21"/>
  <c r="Q80" i="22"/>
  <c r="Z89" i="22"/>
  <c r="AA89" i="22" s="1"/>
  <c r="AC87" i="22"/>
  <c r="AD87" i="22" s="1"/>
  <c r="Z87" i="22"/>
  <c r="AA87" i="22" s="1"/>
  <c r="AC85" i="22"/>
  <c r="AC89" i="22"/>
  <c r="AD89" i="22" s="1"/>
  <c r="AC86" i="22"/>
  <c r="AD86" i="22" s="1"/>
  <c r="Z86" i="22"/>
  <c r="AA86" i="22" s="1"/>
  <c r="Z88" i="22"/>
  <c r="AA88" i="22" s="1"/>
  <c r="Z85" i="22"/>
  <c r="AC88" i="22"/>
  <c r="AD88" i="22" s="1"/>
  <c r="Q60" i="22"/>
  <c r="R55" i="22"/>
  <c r="R60" i="22" s="1"/>
  <c r="O95" i="21"/>
  <c r="O100" i="21" s="1"/>
  <c r="N100" i="21"/>
  <c r="W69" i="22"/>
  <c r="X69" i="22" s="1"/>
  <c r="T69" i="22"/>
  <c r="U69" i="22" s="1"/>
  <c r="W68" i="22"/>
  <c r="X68" i="22" s="1"/>
  <c r="T67" i="22"/>
  <c r="U67" i="22" s="1"/>
  <c r="W66" i="22"/>
  <c r="X66" i="22" s="1"/>
  <c r="T65" i="22"/>
  <c r="W67" i="22"/>
  <c r="X67" i="22" s="1"/>
  <c r="W65" i="22"/>
  <c r="T66" i="22"/>
  <c r="U66" i="22" s="1"/>
  <c r="J26" i="22"/>
  <c r="T68" i="22"/>
  <c r="U68" i="22" s="1"/>
  <c r="Q79" i="21"/>
  <c r="R79" i="21" s="1"/>
  <c r="Q77" i="21"/>
  <c r="R77" i="21" s="1"/>
  <c r="Q75" i="21"/>
  <c r="N79" i="21"/>
  <c r="O79" i="21" s="1"/>
  <c r="N77" i="21"/>
  <c r="O77" i="21" s="1"/>
  <c r="N75" i="21"/>
  <c r="Q76" i="21"/>
  <c r="R76" i="21" s="1"/>
  <c r="Q78" i="21"/>
  <c r="R78" i="21" s="1"/>
  <c r="N76" i="21"/>
  <c r="O76" i="21" s="1"/>
  <c r="N78" i="21"/>
  <c r="O78" i="21" s="1"/>
  <c r="N60" i="21"/>
  <c r="Q100" i="21"/>
  <c r="AD55" i="22"/>
  <c r="AD60" i="22" s="1"/>
  <c r="AC60" i="22"/>
  <c r="Q68" i="21"/>
  <c r="R68" i="21" s="1"/>
  <c r="Q66" i="21"/>
  <c r="R66" i="21" s="1"/>
  <c r="N68" i="21"/>
  <c r="O68" i="21" s="1"/>
  <c r="N66" i="21"/>
  <c r="O66" i="21" s="1"/>
  <c r="Q69" i="21"/>
  <c r="R69" i="21" s="1"/>
  <c r="N65" i="21"/>
  <c r="N67" i="21"/>
  <c r="O67" i="21" s="1"/>
  <c r="N69" i="21"/>
  <c r="O69" i="21" s="1"/>
  <c r="Q67" i="21"/>
  <c r="R67" i="21" s="1"/>
  <c r="J26" i="21"/>
  <c r="Q65" i="21"/>
  <c r="AC79" i="21"/>
  <c r="AD79" i="21" s="1"/>
  <c r="AC77" i="21"/>
  <c r="AD77" i="21" s="1"/>
  <c r="AC75" i="21"/>
  <c r="Z79" i="21"/>
  <c r="AA79" i="21" s="1"/>
  <c r="Z77" i="21"/>
  <c r="AA77" i="21" s="1"/>
  <c r="Z75" i="21"/>
  <c r="AC76" i="21"/>
  <c r="AD76" i="21" s="1"/>
  <c r="Z76" i="21"/>
  <c r="AA76" i="21" s="1"/>
  <c r="AC78" i="21"/>
  <c r="AD78" i="21" s="1"/>
  <c r="Z78" i="21"/>
  <c r="AA78" i="21" s="1"/>
  <c r="M178" i="22"/>
  <c r="T60" i="21"/>
  <c r="U55" i="21"/>
  <c r="U60" i="21" s="1"/>
  <c r="AC68" i="21"/>
  <c r="AD68" i="21" s="1"/>
  <c r="AC66" i="21"/>
  <c r="AD66" i="21" s="1"/>
  <c r="Z68" i="21"/>
  <c r="AA68" i="21" s="1"/>
  <c r="Z66" i="21"/>
  <c r="AA66" i="21" s="1"/>
  <c r="AC65" i="21"/>
  <c r="AC69" i="21"/>
  <c r="AD69" i="21" s="1"/>
  <c r="Z65" i="21"/>
  <c r="Z69" i="21"/>
  <c r="AA69" i="21" s="1"/>
  <c r="Z67" i="21"/>
  <c r="AA67" i="21" s="1"/>
  <c r="AC67" i="21"/>
  <c r="AD67" i="21" s="1"/>
  <c r="U75" i="22"/>
  <c r="U80" i="22" s="1"/>
  <c r="T80" i="22"/>
  <c r="N89" i="21"/>
  <c r="O89" i="21" s="1"/>
  <c r="Q89" i="21"/>
  <c r="R89" i="21" s="1"/>
  <c r="Q86" i="21"/>
  <c r="R86" i="21" s="1"/>
  <c r="N88" i="21"/>
  <c r="O88" i="21" s="1"/>
  <c r="N86" i="21"/>
  <c r="O86" i="21" s="1"/>
  <c r="Q85" i="21"/>
  <c r="Q87" i="21"/>
  <c r="R87" i="21" s="1"/>
  <c r="Q88" i="21"/>
  <c r="R88" i="21" s="1"/>
  <c r="N85" i="21"/>
  <c r="N87" i="21"/>
  <c r="O87" i="21" s="1"/>
  <c r="J31" i="21"/>
  <c r="W60" i="22"/>
  <c r="Z77" i="22"/>
  <c r="AA77" i="22" s="1"/>
  <c r="AC76" i="22"/>
  <c r="AD76" i="22" s="1"/>
  <c r="Z76" i="22"/>
  <c r="AA76" i="22" s="1"/>
  <c r="AC75" i="22"/>
  <c r="AC77" i="22"/>
  <c r="AD77" i="22" s="1"/>
  <c r="Z78" i="22"/>
  <c r="AA78" i="22" s="1"/>
  <c r="Z75" i="22"/>
  <c r="AC78" i="22"/>
  <c r="AD78" i="22" s="1"/>
  <c r="AC79" i="22"/>
  <c r="AD79" i="22" s="1"/>
  <c r="Z79" i="22"/>
  <c r="AA79" i="22" s="1"/>
  <c r="Q85" i="22"/>
  <c r="Q89" i="22"/>
  <c r="R89" i="22" s="1"/>
  <c r="Q88" i="22"/>
  <c r="R88" i="22" s="1"/>
  <c r="N87" i="22"/>
  <c r="O87" i="22" s="1"/>
  <c r="N86" i="22"/>
  <c r="O86" i="22" s="1"/>
  <c r="Q86" i="22"/>
  <c r="R86" i="22" s="1"/>
  <c r="Q87" i="22"/>
  <c r="R87" i="22" s="1"/>
  <c r="N88" i="22"/>
  <c r="O88" i="22" s="1"/>
  <c r="N85" i="22"/>
  <c r="N89" i="22"/>
  <c r="O89" i="22" s="1"/>
  <c r="J31" i="22"/>
  <c r="N70" i="22"/>
  <c r="O65" i="22"/>
  <c r="O70" i="22" s="1"/>
  <c r="N110" i="22"/>
  <c r="O105" i="22"/>
  <c r="O110" i="22" s="1"/>
  <c r="R70" i="22"/>
  <c r="R100" i="21"/>
  <c r="W69" i="21"/>
  <c r="X69" i="21" s="1"/>
  <c r="W67" i="21"/>
  <c r="X67" i="21" s="1"/>
  <c r="W65" i="21"/>
  <c r="T69" i="21"/>
  <c r="U69" i="21" s="1"/>
  <c r="T67" i="21"/>
  <c r="U67" i="21" s="1"/>
  <c r="T65" i="21"/>
  <c r="W66" i="21"/>
  <c r="X66" i="21" s="1"/>
  <c r="W68" i="21"/>
  <c r="X68" i="21" s="1"/>
  <c r="T66" i="21"/>
  <c r="U66" i="21" s="1"/>
  <c r="T68" i="21"/>
  <c r="U68" i="21" s="1"/>
  <c r="W78" i="21"/>
  <c r="X78" i="21" s="1"/>
  <c r="W76" i="21"/>
  <c r="X76" i="21" s="1"/>
  <c r="T78" i="21"/>
  <c r="U78" i="21" s="1"/>
  <c r="T76" i="21"/>
  <c r="U76" i="21" s="1"/>
  <c r="T77" i="21"/>
  <c r="U77" i="21" s="1"/>
  <c r="T79" i="21"/>
  <c r="U79" i="21" s="1"/>
  <c r="W75" i="21"/>
  <c r="T75" i="21"/>
  <c r="W77" i="21"/>
  <c r="X77" i="21" s="1"/>
  <c r="W79" i="21"/>
  <c r="X79" i="21" s="1"/>
  <c r="Q60" i="21"/>
  <c r="R55" i="21"/>
  <c r="R60" i="21" s="1"/>
  <c r="R80" i="22"/>
  <c r="Q90" i="21" l="1"/>
  <c r="R85" i="21"/>
  <c r="R90" i="21" s="1"/>
  <c r="R101" i="22"/>
  <c r="I20" i="22"/>
  <c r="P20" i="22" s="1"/>
  <c r="I23" i="21"/>
  <c r="P23" i="21" s="1"/>
  <c r="R61" i="21"/>
  <c r="U85" i="22"/>
  <c r="U90" i="22" s="1"/>
  <c r="T90" i="22"/>
  <c r="Z80" i="22"/>
  <c r="AA75" i="22"/>
  <c r="AA80" i="22" s="1"/>
  <c r="W70" i="22"/>
  <c r="X65" i="22"/>
  <c r="X70" i="22" s="1"/>
  <c r="X65" i="21"/>
  <c r="X70" i="21" s="1"/>
  <c r="W70" i="21"/>
  <c r="AD75" i="21"/>
  <c r="AD80" i="21" s="1"/>
  <c r="AC80" i="21"/>
  <c r="N70" i="21"/>
  <c r="O65" i="21"/>
  <c r="O70" i="21" s="1"/>
  <c r="H20" i="21"/>
  <c r="N20" i="21" s="1"/>
  <c r="O101" i="21"/>
  <c r="Z90" i="22"/>
  <c r="AA85" i="22"/>
  <c r="AA90" i="22" s="1"/>
  <c r="X81" i="22"/>
  <c r="V115" i="22" s="1"/>
  <c r="I29" i="22"/>
  <c r="P29" i="22" s="1"/>
  <c r="Q29" i="22" s="1"/>
  <c r="K20" i="22"/>
  <c r="O111" i="22"/>
  <c r="K25" i="22"/>
  <c r="Y25" i="22" s="1"/>
  <c r="Z25" i="22" s="1"/>
  <c r="AA71" i="22"/>
  <c r="X85" i="21"/>
  <c r="X90" i="21" s="1"/>
  <c r="W90" i="21"/>
  <c r="R111" i="21"/>
  <c r="L20" i="21"/>
  <c r="Z70" i="21"/>
  <c r="AA65" i="21"/>
  <c r="AA70" i="21" s="1"/>
  <c r="AA61" i="21"/>
  <c r="I25" i="21"/>
  <c r="P25" i="21" s="1"/>
  <c r="Q25" i="21" s="1"/>
  <c r="H25" i="21"/>
  <c r="N25" i="21" s="1"/>
  <c r="O25" i="21" s="1"/>
  <c r="T80" i="21"/>
  <c r="U75" i="21"/>
  <c r="U80" i="21" s="1"/>
  <c r="J32" i="22"/>
  <c r="N90" i="21"/>
  <c r="O85" i="21"/>
  <c r="O90" i="21" s="1"/>
  <c r="AC70" i="21"/>
  <c r="AD65" i="21"/>
  <c r="AD70" i="21" s="1"/>
  <c r="AD71" i="21" s="1"/>
  <c r="R75" i="21"/>
  <c r="R80" i="21" s="1"/>
  <c r="Q80" i="21"/>
  <c r="U65" i="22"/>
  <c r="U70" i="22" s="1"/>
  <c r="T70" i="22"/>
  <c r="I23" i="22"/>
  <c r="P23" i="22" s="1"/>
  <c r="R61" i="22"/>
  <c r="AD85" i="22"/>
  <c r="AD90" i="22" s="1"/>
  <c r="AC90" i="22"/>
  <c r="AD61" i="21"/>
  <c r="O81" i="22"/>
  <c r="H28" i="22"/>
  <c r="N28" i="22" s="1"/>
  <c r="R111" i="22"/>
  <c r="L20" i="22"/>
  <c r="W90" i="22"/>
  <c r="X85" i="22"/>
  <c r="X90" i="22" s="1"/>
  <c r="R81" i="22"/>
  <c r="V114" i="22" s="1"/>
  <c r="I28" i="22"/>
  <c r="P28" i="22" s="1"/>
  <c r="L23" i="22"/>
  <c r="AA23" i="22" s="1"/>
  <c r="R71" i="22"/>
  <c r="H25" i="22"/>
  <c r="N25" i="22" s="1"/>
  <c r="O25" i="22" s="1"/>
  <c r="AA61" i="22"/>
  <c r="T70" i="21"/>
  <c r="U65" i="21"/>
  <c r="U70" i="21" s="1"/>
  <c r="O61" i="21"/>
  <c r="H23" i="21"/>
  <c r="N23" i="21" s="1"/>
  <c r="K23" i="22"/>
  <c r="O71" i="22"/>
  <c r="W80" i="21"/>
  <c r="X75" i="21"/>
  <c r="X80" i="21" s="1"/>
  <c r="AD75" i="22"/>
  <c r="AD80" i="22" s="1"/>
  <c r="AC80" i="22"/>
  <c r="X61" i="22"/>
  <c r="I24" i="22"/>
  <c r="P24" i="22" s="1"/>
  <c r="Q24" i="22" s="1"/>
  <c r="AD85" i="21"/>
  <c r="AD90" i="21" s="1"/>
  <c r="AC90" i="21"/>
  <c r="O111" i="21"/>
  <c r="K20" i="21"/>
  <c r="Z80" i="21"/>
  <c r="AA75" i="21"/>
  <c r="AA80" i="21" s="1"/>
  <c r="U61" i="21"/>
  <c r="H24" i="21"/>
  <c r="N24" i="21" s="1"/>
  <c r="O24" i="21" s="1"/>
  <c r="O75" i="21"/>
  <c r="O80" i="21" s="1"/>
  <c r="N80" i="21"/>
  <c r="J32" i="21"/>
  <c r="AD61" i="22"/>
  <c r="I25" i="22"/>
  <c r="P25" i="22" s="1"/>
  <c r="Q25" i="22" s="1"/>
  <c r="L25" i="22"/>
  <c r="AA25" i="22" s="1"/>
  <c r="AB25" i="22" s="1"/>
  <c r="AD71" i="22"/>
  <c r="R101" i="21"/>
  <c r="I20" i="21"/>
  <c r="P20" i="21" s="1"/>
  <c r="N90" i="22"/>
  <c r="O85" i="22"/>
  <c r="O90" i="22" s="1"/>
  <c r="R85" i="22"/>
  <c r="R90" i="22" s="1"/>
  <c r="Q90" i="22"/>
  <c r="H29" i="22"/>
  <c r="N29" i="22" s="1"/>
  <c r="O29" i="22" s="1"/>
  <c r="U81" i="22"/>
  <c r="R65" i="21"/>
  <c r="R70" i="21" s="1"/>
  <c r="Q70" i="21"/>
  <c r="Z90" i="21"/>
  <c r="AA85" i="21"/>
  <c r="AA90" i="21" s="1"/>
  <c r="T90" i="21"/>
  <c r="U85" i="21"/>
  <c r="U90" i="21" s="1"/>
  <c r="O101" i="22"/>
  <c r="H20" i="22"/>
  <c r="N20" i="22" s="1"/>
  <c r="X61" i="21"/>
  <c r="I24" i="21"/>
  <c r="P24" i="21" s="1"/>
  <c r="Q24" i="21" s="1"/>
  <c r="H24" i="22"/>
  <c r="N24" i="22" s="1"/>
  <c r="O24" i="22" s="1"/>
  <c r="U61" i="22"/>
  <c r="H23" i="22"/>
  <c r="N23" i="22" s="1"/>
  <c r="O61" i="22"/>
  <c r="O91" i="22" l="1"/>
  <c r="K28" i="22"/>
  <c r="T25" i="22"/>
  <c r="S25" i="22"/>
  <c r="U71" i="22"/>
  <c r="K24" i="22"/>
  <c r="Y24" i="22" s="1"/>
  <c r="Z24" i="22" s="1"/>
  <c r="AD81" i="21"/>
  <c r="V116" i="21" s="1"/>
  <c r="I30" i="21"/>
  <c r="P30" i="21" s="1"/>
  <c r="Q30" i="21" s="1"/>
  <c r="U24" i="21"/>
  <c r="V24" i="21" s="1"/>
  <c r="AD91" i="21"/>
  <c r="L30" i="21"/>
  <c r="AA30" i="21" s="1"/>
  <c r="AB30" i="21" s="1"/>
  <c r="K26" i="22"/>
  <c r="Y23" i="22"/>
  <c r="AA91" i="22"/>
  <c r="K30" i="22"/>
  <c r="Y30" i="22" s="1"/>
  <c r="Z30" i="22" s="1"/>
  <c r="Q28" i="22"/>
  <c r="R81" i="21"/>
  <c r="V114" i="21" s="1"/>
  <c r="I28" i="21"/>
  <c r="P28" i="21" s="1"/>
  <c r="X91" i="21"/>
  <c r="L29" i="21"/>
  <c r="AA29" i="21" s="1"/>
  <c r="AB29" i="21" s="1"/>
  <c r="N21" i="22"/>
  <c r="O20" i="22"/>
  <c r="U25" i="21"/>
  <c r="V25" i="21" s="1"/>
  <c r="L24" i="22"/>
  <c r="AA24" i="22" s="1"/>
  <c r="AB24" i="22" s="1"/>
  <c r="X71" i="22"/>
  <c r="Q20" i="22"/>
  <c r="P21" i="22"/>
  <c r="U29" i="22"/>
  <c r="V29" i="22" s="1"/>
  <c r="AA26" i="22"/>
  <c r="AB26" i="22" s="1"/>
  <c r="AB23" i="22"/>
  <c r="R71" i="21"/>
  <c r="L23" i="21"/>
  <c r="AA23" i="21" s="1"/>
  <c r="Q23" i="21"/>
  <c r="P26" i="21"/>
  <c r="Q26" i="21" s="1"/>
  <c r="S29" i="22"/>
  <c r="T29" i="22"/>
  <c r="AG25" i="22"/>
  <c r="AF25" i="22"/>
  <c r="AA81" i="21"/>
  <c r="H30" i="21"/>
  <c r="N30" i="21" s="1"/>
  <c r="O30" i="21" s="1"/>
  <c r="U71" i="21"/>
  <c r="K24" i="21"/>
  <c r="Y24" i="21" s="1"/>
  <c r="Z24" i="21" s="1"/>
  <c r="X91" i="22"/>
  <c r="L29" i="22"/>
  <c r="AA29" i="22" s="1"/>
  <c r="AB29" i="22" s="1"/>
  <c r="AD91" i="22"/>
  <c r="L30" i="22"/>
  <c r="AA30" i="22" s="1"/>
  <c r="AB30" i="22" s="1"/>
  <c r="AE25" i="22"/>
  <c r="AD25" i="22"/>
  <c r="O20" i="21"/>
  <c r="N21" i="21"/>
  <c r="K30" i="21"/>
  <c r="Y30" i="21" s="1"/>
  <c r="Z30" i="21" s="1"/>
  <c r="AA91" i="21"/>
  <c r="AA20" i="21"/>
  <c r="L21" i="21"/>
  <c r="U81" i="21"/>
  <c r="H29" i="21"/>
  <c r="N29" i="21" s="1"/>
  <c r="O29" i="21" s="1"/>
  <c r="K29" i="22"/>
  <c r="Y29" i="22" s="1"/>
  <c r="Z29" i="22" s="1"/>
  <c r="U91" i="22"/>
  <c r="H28" i="21"/>
  <c r="N28" i="21" s="1"/>
  <c r="O81" i="21"/>
  <c r="U24" i="22"/>
  <c r="V24" i="22" s="1"/>
  <c r="L24" i="21"/>
  <c r="AA24" i="21" s="1"/>
  <c r="AB24" i="21" s="1"/>
  <c r="X71" i="21"/>
  <c r="O91" i="21"/>
  <c r="K28" i="21"/>
  <c r="L25" i="21"/>
  <c r="AA25" i="21" s="1"/>
  <c r="AB25" i="21" s="1"/>
  <c r="AA71" i="21"/>
  <c r="K25" i="21"/>
  <c r="Y25" i="21" s="1"/>
  <c r="Z25" i="21" s="1"/>
  <c r="O71" i="21"/>
  <c r="K23" i="21"/>
  <c r="H30" i="22"/>
  <c r="N30" i="22" s="1"/>
  <c r="O30" i="22" s="1"/>
  <c r="AA81" i="22"/>
  <c r="R91" i="21"/>
  <c r="L28" i="21"/>
  <c r="S24" i="22"/>
  <c r="T24" i="22" s="1"/>
  <c r="O28" i="22"/>
  <c r="P21" i="21"/>
  <c r="Q20" i="21"/>
  <c r="S24" i="21"/>
  <c r="T24" i="21"/>
  <c r="N26" i="21"/>
  <c r="O26" i="21" s="1"/>
  <c r="O23" i="21"/>
  <c r="S25" i="21"/>
  <c r="T25" i="21"/>
  <c r="U91" i="21"/>
  <c r="K29" i="21"/>
  <c r="Y29" i="21" s="1"/>
  <c r="Z29" i="21" s="1"/>
  <c r="U25" i="22"/>
  <c r="V25" i="22"/>
  <c r="AD81" i="22"/>
  <c r="V116" i="22" s="1"/>
  <c r="I30" i="22"/>
  <c r="P30" i="22" s="1"/>
  <c r="Q30" i="22" s="1"/>
  <c r="N26" i="22"/>
  <c r="O26" i="22" s="1"/>
  <c r="O23" i="22"/>
  <c r="L28" i="22"/>
  <c r="R91" i="22"/>
  <c r="Y20" i="21"/>
  <c r="K21" i="21"/>
  <c r="X81" i="21"/>
  <c r="V115" i="21" s="1"/>
  <c r="I29" i="21"/>
  <c r="P29" i="21" s="1"/>
  <c r="Q29" i="21" s="1"/>
  <c r="L21" i="22"/>
  <c r="AA20" i="22"/>
  <c r="P26" i="22"/>
  <c r="Q26" i="22" s="1"/>
  <c r="Q23" i="22"/>
  <c r="K21" i="22"/>
  <c r="Y20" i="22"/>
  <c r="AD30" i="22" l="1"/>
  <c r="AE30" i="22" s="1"/>
  <c r="U30" i="21"/>
  <c r="V30" i="21" s="1"/>
  <c r="Y21" i="22"/>
  <c r="Z20" i="22"/>
  <c r="AD24" i="22"/>
  <c r="AE24" i="22" s="1"/>
  <c r="U23" i="22"/>
  <c r="U26" i="22" s="1"/>
  <c r="V23" i="22"/>
  <c r="V26" i="22" s="1"/>
  <c r="AD29" i="22"/>
  <c r="AE29" i="22" s="1"/>
  <c r="AA28" i="22"/>
  <c r="L31" i="22"/>
  <c r="L32" i="22" s="1"/>
  <c r="S30" i="22"/>
  <c r="T30" i="22"/>
  <c r="S29" i="21"/>
  <c r="T29" i="21"/>
  <c r="S30" i="21"/>
  <c r="T30" i="21" s="1"/>
  <c r="AB23" i="21"/>
  <c r="AA26" i="21"/>
  <c r="AB26" i="21" s="1"/>
  <c r="Q28" i="21"/>
  <c r="P31" i="21"/>
  <c r="AF30" i="21"/>
  <c r="AG30" i="21"/>
  <c r="AF29" i="22"/>
  <c r="AG29" i="22" s="1"/>
  <c r="K31" i="21"/>
  <c r="Y28" i="21"/>
  <c r="AD24" i="21"/>
  <c r="AE24" i="21" s="1"/>
  <c r="Z23" i="22"/>
  <c r="Y26" i="22"/>
  <c r="Z26" i="22" s="1"/>
  <c r="O21" i="21"/>
  <c r="S20" i="21"/>
  <c r="S21" i="21" s="1"/>
  <c r="U23" i="21"/>
  <c r="U26" i="21" s="1"/>
  <c r="V23" i="21"/>
  <c r="V26" i="21" s="1"/>
  <c r="U20" i="22"/>
  <c r="U21" i="22" s="1"/>
  <c r="Q21" i="22"/>
  <c r="S23" i="22"/>
  <c r="S26" i="22" s="1"/>
  <c r="S28" i="22"/>
  <c r="T28" i="22"/>
  <c r="AF24" i="21"/>
  <c r="AG24" i="21" s="1"/>
  <c r="AF24" i="22"/>
  <c r="AG24" i="22"/>
  <c r="O21" i="22"/>
  <c r="S20" i="22"/>
  <c r="S21" i="22" s="1"/>
  <c r="AA28" i="21"/>
  <c r="L31" i="21"/>
  <c r="L32" i="21" s="1"/>
  <c r="N31" i="21"/>
  <c r="O28" i="21"/>
  <c r="Z20" i="21"/>
  <c r="Y21" i="21"/>
  <c r="AF29" i="21"/>
  <c r="AG29" i="21" s="1"/>
  <c r="AD29" i="21"/>
  <c r="AE29" i="21"/>
  <c r="Q21" i="21"/>
  <c r="U20" i="21"/>
  <c r="U21" i="21" s="1"/>
  <c r="AA21" i="22"/>
  <c r="AB20" i="22"/>
  <c r="K26" i="21"/>
  <c r="Y23" i="21"/>
  <c r="N31" i="22"/>
  <c r="AG30" i="22"/>
  <c r="AF30" i="22"/>
  <c r="AF23" i="22"/>
  <c r="AF26" i="22" s="1"/>
  <c r="U28" i="22"/>
  <c r="Y28" i="22"/>
  <c r="K31" i="22"/>
  <c r="K32" i="22" s="1"/>
  <c r="AF25" i="21"/>
  <c r="AG25" i="21" s="1"/>
  <c r="AD30" i="21"/>
  <c r="AE30" i="21"/>
  <c r="U29" i="21"/>
  <c r="V29" i="21"/>
  <c r="U30" i="22"/>
  <c r="V30" i="22"/>
  <c r="S23" i="21"/>
  <c r="S26" i="21" s="1"/>
  <c r="AD25" i="21"/>
  <c r="AE25" i="21" s="1"/>
  <c r="AA21" i="21"/>
  <c r="AB20" i="21"/>
  <c r="P31" i="22"/>
  <c r="P32" i="21" l="1"/>
  <c r="Q31" i="21"/>
  <c r="Q32" i="21" s="1"/>
  <c r="Q34" i="21" s="1"/>
  <c r="O31" i="22"/>
  <c r="O32" i="22" s="1"/>
  <c r="Q33" i="22" s="1"/>
  <c r="N32" i="22"/>
  <c r="U28" i="21"/>
  <c r="U31" i="21" s="1"/>
  <c r="U32" i="21" s="1"/>
  <c r="Y26" i="21"/>
  <c r="Z26" i="21" s="1"/>
  <c r="Z23" i="21"/>
  <c r="Y31" i="21"/>
  <c r="Z28" i="21"/>
  <c r="Z21" i="22"/>
  <c r="AD20" i="22"/>
  <c r="AD21" i="22" s="1"/>
  <c r="AE20" i="22"/>
  <c r="AE21" i="22" s="1"/>
  <c r="K32" i="21"/>
  <c r="AF23" i="21"/>
  <c r="AF26" i="21" s="1"/>
  <c r="AB28" i="22"/>
  <c r="AA31" i="22"/>
  <c r="Y31" i="22"/>
  <c r="Z28" i="22"/>
  <c r="AB28" i="21"/>
  <c r="AA31" i="21"/>
  <c r="AB21" i="21"/>
  <c r="AF20" i="21"/>
  <c r="AF21" i="21" s="1"/>
  <c r="S31" i="22"/>
  <c r="S32" i="22" s="1"/>
  <c r="T20" i="21"/>
  <c r="T21" i="21" s="1"/>
  <c r="O31" i="21"/>
  <c r="O32" i="21" s="1"/>
  <c r="Q33" i="21" s="1"/>
  <c r="N32" i="21"/>
  <c r="T31" i="22"/>
  <c r="Q31" i="22"/>
  <c r="Q32" i="22" s="1"/>
  <c r="Q34" i="22" s="1"/>
  <c r="P32" i="22"/>
  <c r="U31" i="22"/>
  <c r="U32" i="22" s="1"/>
  <c r="V28" i="22"/>
  <c r="V31" i="22" s="1"/>
  <c r="AB21" i="22"/>
  <c r="AF20" i="22"/>
  <c r="AF21" i="22" s="1"/>
  <c r="T20" i="22"/>
  <c r="T21" i="22" s="1"/>
  <c r="T23" i="22"/>
  <c r="T26" i="22" s="1"/>
  <c r="AG23" i="22"/>
  <c r="AG26" i="22" s="1"/>
  <c r="AD20" i="21"/>
  <c r="AD21" i="21" s="1"/>
  <c r="Z21" i="21"/>
  <c r="T23" i="21"/>
  <c r="T26" i="21" s="1"/>
  <c r="V20" i="21"/>
  <c r="V21" i="21" s="1"/>
  <c r="S28" i="21"/>
  <c r="S31" i="21" s="1"/>
  <c r="S32" i="21" s="1"/>
  <c r="T28" i="21"/>
  <c r="T31" i="21" s="1"/>
  <c r="T32" i="21" s="1"/>
  <c r="V33" i="21" s="1"/>
  <c r="V20" i="22"/>
  <c r="V21" i="22" s="1"/>
  <c r="AD23" i="22"/>
  <c r="AD26" i="22" s="1"/>
  <c r="AF28" i="21" l="1"/>
  <c r="AF31" i="21" s="1"/>
  <c r="AF32" i="21" s="1"/>
  <c r="V28" i="21"/>
  <c r="V31" i="21" s="1"/>
  <c r="V32" i="21" s="1"/>
  <c r="V34" i="21" s="1"/>
  <c r="V36" i="21" s="1"/>
  <c r="AD23" i="21"/>
  <c r="AD26" i="21" s="1"/>
  <c r="AG23" i="21"/>
  <c r="AG26" i="21" s="1"/>
  <c r="T32" i="22"/>
  <c r="V33" i="22" s="1"/>
  <c r="V35" i="22" s="1"/>
  <c r="AA32" i="21"/>
  <c r="AB31" i="21"/>
  <c r="AB32" i="21" s="1"/>
  <c r="AB34" i="21" s="1"/>
  <c r="AG20" i="22"/>
  <c r="AG21" i="22" s="1"/>
  <c r="V35" i="21"/>
  <c r="AD28" i="22"/>
  <c r="AD31" i="22" s="1"/>
  <c r="AD32" i="22" s="1"/>
  <c r="AE28" i="22"/>
  <c r="AE31" i="22" s="1"/>
  <c r="V36" i="22"/>
  <c r="AD28" i="21"/>
  <c r="AD31" i="21" s="1"/>
  <c r="AD32" i="21" s="1"/>
  <c r="Z31" i="22"/>
  <c r="Z32" i="22" s="1"/>
  <c r="AB33" i="22" s="1"/>
  <c r="Y32" i="22"/>
  <c r="V32" i="22"/>
  <c r="V34" i="22" s="1"/>
  <c r="AB31" i="22"/>
  <c r="AB32" i="22" s="1"/>
  <c r="AB34" i="22" s="1"/>
  <c r="AG36" i="22" s="1"/>
  <c r="AA32" i="22"/>
  <c r="AE23" i="22"/>
  <c r="AE26" i="22" s="1"/>
  <c r="AE20" i="21"/>
  <c r="AE21" i="21" s="1"/>
  <c r="AG20" i="21"/>
  <c r="AG21" i="21" s="1"/>
  <c r="AG28" i="22"/>
  <c r="AG31" i="22" s="1"/>
  <c r="AG32" i="22" s="1"/>
  <c r="AG34" i="22" s="1"/>
  <c r="AF28" i="22"/>
  <c r="AF31" i="22" s="1"/>
  <c r="AF32" i="22" s="1"/>
  <c r="Z31" i="21"/>
  <c r="Z32" i="21" s="1"/>
  <c r="AB33" i="21" s="1"/>
  <c r="Y32" i="21"/>
  <c r="AE32" i="22" l="1"/>
  <c r="AG33" i="22" s="1"/>
  <c r="AE23" i="21"/>
  <c r="AE26" i="21" s="1"/>
  <c r="AE28" i="21"/>
  <c r="AE31" i="21" s="1"/>
  <c r="AG35" i="22"/>
  <c r="AG28" i="21"/>
  <c r="AG31" i="21" s="1"/>
  <c r="AG32" i="21" s="1"/>
  <c r="AG34" i="21" s="1"/>
  <c r="AG36" i="21" s="1"/>
  <c r="AE32" i="21" l="1"/>
  <c r="AG33" i="21" s="1"/>
  <c r="AG35" i="21" s="1"/>
  <c r="K18" i="19" l="1"/>
  <c r="K26" i="19"/>
  <c r="K29" i="19"/>
  <c r="K34" i="19"/>
  <c r="K37" i="19"/>
  <c r="J19" i="19"/>
  <c r="K19" i="19" s="1"/>
  <c r="J20" i="19"/>
  <c r="J21" i="19"/>
  <c r="K21" i="19" s="1"/>
  <c r="J22" i="19"/>
  <c r="K22" i="19" s="1"/>
  <c r="J17" i="19"/>
  <c r="J18" i="19"/>
  <c r="I16" i="19"/>
  <c r="I17" i="19" s="1"/>
  <c r="I18" i="19" s="1"/>
  <c r="I19" i="19" s="1"/>
  <c r="I20" i="19" s="1"/>
  <c r="I21" i="19" s="1"/>
  <c r="I22" i="19" s="1"/>
  <c r="I23" i="19" s="1"/>
  <c r="I24" i="19" s="1"/>
  <c r="I25" i="19" s="1"/>
  <c r="I26" i="19" s="1"/>
  <c r="I27" i="19" s="1"/>
  <c r="I28" i="19" s="1"/>
  <c r="I29" i="19" s="1"/>
  <c r="I30" i="19" s="1"/>
  <c r="I31" i="19" s="1"/>
  <c r="I32" i="19" s="1"/>
  <c r="I33" i="19" s="1"/>
  <c r="I34" i="19" s="1"/>
  <c r="I35" i="19" s="1"/>
  <c r="I36" i="19" s="1"/>
  <c r="I37" i="19" s="1"/>
  <c r="I38" i="19" s="1"/>
  <c r="I39" i="19" s="1"/>
  <c r="I40" i="19" s="1"/>
  <c r="I41" i="19" s="1"/>
  <c r="E20" i="19"/>
  <c r="F22" i="19"/>
  <c r="E19" i="19"/>
  <c r="E21" i="19"/>
  <c r="F21" i="19" s="1"/>
  <c r="E22" i="19"/>
  <c r="E18" i="19"/>
  <c r="D17" i="19"/>
  <c r="F17" i="19" s="1"/>
  <c r="G17" i="19" s="1"/>
  <c r="D16" i="19"/>
  <c r="P26" i="19"/>
  <c r="P25" i="19"/>
  <c r="P24" i="19"/>
  <c r="P23" i="19"/>
  <c r="P22" i="19"/>
  <c r="F8" i="19"/>
  <c r="K30" i="19" s="1"/>
  <c r="D14" i="2"/>
  <c r="H11" i="3"/>
  <c r="Q16" i="1"/>
  <c r="Q14" i="1"/>
  <c r="Q15" i="1"/>
  <c r="Q13" i="1"/>
  <c r="P16" i="1"/>
  <c r="R16" i="1"/>
  <c r="O14" i="1"/>
  <c r="P14" i="1" s="1"/>
  <c r="O15" i="1"/>
  <c r="P15" i="1" s="1"/>
  <c r="O13" i="1"/>
  <c r="P13" i="1" s="1"/>
  <c r="E17" i="19" l="1"/>
  <c r="D18" i="19"/>
  <c r="K36" i="19"/>
  <c r="K28" i="19"/>
  <c r="K20" i="19"/>
  <c r="K35" i="19"/>
  <c r="K27" i="19"/>
  <c r="K16" i="19"/>
  <c r="K33" i="19"/>
  <c r="K25" i="19"/>
  <c r="K17" i="19"/>
  <c r="L17" i="19" s="1"/>
  <c r="L18" i="19" s="1"/>
  <c r="L19" i="19" s="1"/>
  <c r="K40" i="19"/>
  <c r="K32" i="19"/>
  <c r="K24" i="19"/>
  <c r="K41" i="19"/>
  <c r="K39" i="19"/>
  <c r="K31" i="19"/>
  <c r="K23" i="19"/>
  <c r="K38" i="19"/>
  <c r="F25" i="1"/>
  <c r="F36" i="1" s="1"/>
  <c r="E37" i="1"/>
  <c r="Q26" i="10"/>
  <c r="R26" i="10" s="1"/>
  <c r="P26" i="10"/>
  <c r="O26" i="10"/>
  <c r="O27" i="10" s="1"/>
  <c r="P15" i="10"/>
  <c r="J26" i="10"/>
  <c r="K26" i="10" s="1"/>
  <c r="L26" i="10" s="1"/>
  <c r="E25" i="10"/>
  <c r="F25" i="10" s="1"/>
  <c r="I27" i="10"/>
  <c r="I28" i="10" s="1"/>
  <c r="I29" i="10" s="1"/>
  <c r="I30" i="10" s="1"/>
  <c r="I31" i="10" s="1"/>
  <c r="I32" i="10" s="1"/>
  <c r="I33" i="10" s="1"/>
  <c r="I34" i="10" s="1"/>
  <c r="I35" i="10" s="1"/>
  <c r="I36" i="10" s="1"/>
  <c r="I37" i="10" s="1"/>
  <c r="I38" i="10" s="1"/>
  <c r="I39" i="10" s="1"/>
  <c r="I40" i="10" s="1"/>
  <c r="I41" i="10" s="1"/>
  <c r="I42" i="10" s="1"/>
  <c r="I43" i="10" s="1"/>
  <c r="I44" i="10" s="1"/>
  <c r="I45" i="10" s="1"/>
  <c r="J45" i="10" s="1"/>
  <c r="I26" i="10"/>
  <c r="C15" i="10"/>
  <c r="D26" i="10"/>
  <c r="E26" i="10" s="1"/>
  <c r="F26" i="10" s="1"/>
  <c r="G26" i="10" s="1"/>
  <c r="B21" i="10"/>
  <c r="L20" i="19" l="1"/>
  <c r="L21" i="19" s="1"/>
  <c r="L22" i="19" s="1"/>
  <c r="L23" i="19" s="1"/>
  <c r="L24" i="19" s="1"/>
  <c r="L25" i="19" s="1"/>
  <c r="L26" i="19" s="1"/>
  <c r="L27" i="19" s="1"/>
  <c r="L28" i="19" s="1"/>
  <c r="L29" i="19" s="1"/>
  <c r="L30" i="19" s="1"/>
  <c r="L31" i="19" s="1"/>
  <c r="L32" i="19" s="1"/>
  <c r="L33" i="19" s="1"/>
  <c r="L34" i="19" s="1"/>
  <c r="L35" i="19" s="1"/>
  <c r="L36" i="19" s="1"/>
  <c r="L37" i="19" s="1"/>
  <c r="L38" i="19" s="1"/>
  <c r="L39" i="19" s="1"/>
  <c r="L40" i="19" s="1"/>
  <c r="L41" i="19" s="1"/>
  <c r="D19" i="19"/>
  <c r="F18" i="19"/>
  <c r="G18" i="19" s="1"/>
  <c r="O28" i="10"/>
  <c r="P27" i="10"/>
  <c r="Q27" i="10" s="1"/>
  <c r="R27" i="10" s="1"/>
  <c r="F37" i="1"/>
  <c r="G37" i="1" s="1"/>
  <c r="E38" i="1"/>
  <c r="I46" i="10"/>
  <c r="J29" i="10"/>
  <c r="K29" i="10" s="1"/>
  <c r="J30" i="10"/>
  <c r="K30" i="10" s="1"/>
  <c r="J38" i="10"/>
  <c r="K38" i="10" s="1"/>
  <c r="J28" i="10"/>
  <c r="K28" i="10" s="1"/>
  <c r="J44" i="10"/>
  <c r="K44" i="10" s="1"/>
  <c r="J36" i="10"/>
  <c r="K36" i="10" s="1"/>
  <c r="J27" i="10"/>
  <c r="K27" i="10" s="1"/>
  <c r="L27" i="10" s="1"/>
  <c r="L28" i="10" s="1"/>
  <c r="J43" i="10"/>
  <c r="K43" i="10" s="1"/>
  <c r="J35" i="10"/>
  <c r="K35" i="10" s="1"/>
  <c r="K45" i="10"/>
  <c r="J37" i="10"/>
  <c r="K37" i="10" s="1"/>
  <c r="J42" i="10"/>
  <c r="K42" i="10" s="1"/>
  <c r="J34" i="10"/>
  <c r="K34" i="10" s="1"/>
  <c r="J33" i="10"/>
  <c r="K33" i="10" s="1"/>
  <c r="J41" i="10"/>
  <c r="K41" i="10" s="1"/>
  <c r="J32" i="10"/>
  <c r="K32" i="10" s="1"/>
  <c r="J40" i="10"/>
  <c r="K40" i="10" s="1"/>
  <c r="J31" i="10"/>
  <c r="K31" i="10" s="1"/>
  <c r="J39" i="10"/>
  <c r="K39" i="10" s="1"/>
  <c r="D27" i="10"/>
  <c r="D28" i="10" s="1"/>
  <c r="D20" i="19" l="1"/>
  <c r="F19" i="19"/>
  <c r="G19" i="19"/>
  <c r="I47" i="10"/>
  <c r="J46" i="10"/>
  <c r="K46" i="10" s="1"/>
  <c r="O29" i="10"/>
  <c r="P28" i="10"/>
  <c r="Q28" i="10" s="1"/>
  <c r="R28" i="10" s="1"/>
  <c r="E39" i="1"/>
  <c r="F38" i="1"/>
  <c r="G38" i="1" s="1"/>
  <c r="L29" i="10"/>
  <c r="L30" i="10" s="1"/>
  <c r="E27" i="10"/>
  <c r="F27" i="10" s="1"/>
  <c r="D29" i="10"/>
  <c r="E28" i="10"/>
  <c r="F28" i="10" s="1"/>
  <c r="D21" i="19" l="1"/>
  <c r="D22" i="19" s="1"/>
  <c r="D23" i="19" s="1"/>
  <c r="D24" i="19" s="1"/>
  <c r="D25" i="19" s="1"/>
  <c r="D26" i="19" s="1"/>
  <c r="D27" i="19" s="1"/>
  <c r="D28" i="19" s="1"/>
  <c r="D29" i="19" s="1"/>
  <c r="D30" i="19" s="1"/>
  <c r="D31" i="19" s="1"/>
  <c r="D32" i="19" s="1"/>
  <c r="D33" i="19" s="1"/>
  <c r="D34" i="19" s="1"/>
  <c r="D35" i="19" s="1"/>
  <c r="D36" i="19" s="1"/>
  <c r="D37" i="19" s="1"/>
  <c r="D38" i="19" s="1"/>
  <c r="D39" i="19" s="1"/>
  <c r="D40" i="19" s="1"/>
  <c r="D41" i="19" s="1"/>
  <c r="F20" i="19"/>
  <c r="G20" i="19" s="1"/>
  <c r="G21" i="19" s="1"/>
  <c r="L31" i="10"/>
  <c r="L32" i="10" s="1"/>
  <c r="L33" i="10" s="1"/>
  <c r="L34" i="10" s="1"/>
  <c r="L35" i="10" s="1"/>
  <c r="L36" i="10" s="1"/>
  <c r="L37" i="10" s="1"/>
  <c r="L38" i="10" s="1"/>
  <c r="L39" i="10" s="1"/>
  <c r="L40" i="10" s="1"/>
  <c r="L41" i="10" s="1"/>
  <c r="L42" i="10" s="1"/>
  <c r="L43" i="10" s="1"/>
  <c r="L44" i="10" s="1"/>
  <c r="L45" i="10" s="1"/>
  <c r="L46" i="10" s="1"/>
  <c r="H6" i="10"/>
  <c r="E5" i="3" s="1"/>
  <c r="G27" i="10"/>
  <c r="O30" i="10"/>
  <c r="P29" i="10"/>
  <c r="Q29" i="10" s="1"/>
  <c r="R29" i="10" s="1"/>
  <c r="I48" i="10"/>
  <c r="J47" i="10"/>
  <c r="K47" i="10" s="1"/>
  <c r="E40" i="1"/>
  <c r="F39" i="1"/>
  <c r="G39" i="1" s="1"/>
  <c r="L47" i="10"/>
  <c r="G28" i="10"/>
  <c r="D30" i="10"/>
  <c r="E29" i="10"/>
  <c r="F29" i="10" s="1"/>
  <c r="E16" i="1"/>
  <c r="H16" i="1"/>
  <c r="S16" i="1"/>
  <c r="V16" i="1" s="1"/>
  <c r="I16" i="1"/>
  <c r="G22" i="19" l="1"/>
  <c r="G23" i="19" s="1"/>
  <c r="G24" i="19" s="1"/>
  <c r="G25" i="19" s="1"/>
  <c r="G26" i="19" s="1"/>
  <c r="G27" i="19" s="1"/>
  <c r="G28" i="19" s="1"/>
  <c r="G29" i="19" s="1"/>
  <c r="G30" i="19" s="1"/>
  <c r="G31" i="19" s="1"/>
  <c r="G32" i="19" s="1"/>
  <c r="G33" i="19" s="1"/>
  <c r="G34" i="19" s="1"/>
  <c r="G35" i="19" s="1"/>
  <c r="G36" i="19" s="1"/>
  <c r="G37" i="19" s="1"/>
  <c r="G38" i="19" s="1"/>
  <c r="G39" i="19" s="1"/>
  <c r="G40" i="19" s="1"/>
  <c r="G41" i="19" s="1"/>
  <c r="F12" i="3" s="1"/>
  <c r="H12" i="3"/>
  <c r="O31" i="10"/>
  <c r="P30" i="10"/>
  <c r="Q30" i="10" s="1"/>
  <c r="R30" i="10" s="1"/>
  <c r="I49" i="10"/>
  <c r="J48" i="10"/>
  <c r="K48" i="10" s="1"/>
  <c r="L48" i="10" s="1"/>
  <c r="F40" i="1"/>
  <c r="G40" i="1" s="1"/>
  <c r="E41" i="1"/>
  <c r="U16" i="1"/>
  <c r="W16" i="1"/>
  <c r="T16" i="1"/>
  <c r="X16" i="1"/>
  <c r="J16" i="1"/>
  <c r="G29" i="10"/>
  <c r="D31" i="10"/>
  <c r="E30" i="10"/>
  <c r="F30" i="10" s="1"/>
  <c r="L49" i="10" l="1"/>
  <c r="R31" i="10"/>
  <c r="H7" i="10"/>
  <c r="E6" i="3" s="1"/>
  <c r="I50" i="10"/>
  <c r="J49" i="10"/>
  <c r="K49" i="10" s="1"/>
  <c r="O32" i="10"/>
  <c r="P31" i="10"/>
  <c r="Q31" i="10" s="1"/>
  <c r="E4" i="3"/>
  <c r="H5" i="10"/>
  <c r="BA16" i="1"/>
  <c r="BB16" i="1" s="1"/>
  <c r="AZ16" i="1"/>
  <c r="AH16" i="1"/>
  <c r="AI16" i="1" s="1"/>
  <c r="AJ16" i="1" s="1"/>
  <c r="AK16" i="1" s="1"/>
  <c r="AL16" i="1" s="1"/>
  <c r="AM16" i="1" s="1"/>
  <c r="AN16" i="1" s="1"/>
  <c r="AO16" i="1" s="1"/>
  <c r="AP16" i="1" s="1"/>
  <c r="AQ16" i="1" s="1"/>
  <c r="AR16" i="1" s="1"/>
  <c r="AS16" i="1" s="1"/>
  <c r="AT16" i="1" s="1"/>
  <c r="AU16" i="1" s="1"/>
  <c r="AV16" i="1" s="1"/>
  <c r="AW16" i="1" s="1"/>
  <c r="AB16" i="1"/>
  <c r="Z16" i="1"/>
  <c r="AD16" i="1"/>
  <c r="AX16" i="1"/>
  <c r="AF16" i="1"/>
  <c r="AY16" i="1"/>
  <c r="F41" i="1"/>
  <c r="G41" i="1" s="1"/>
  <c r="D5" i="1" s="1"/>
  <c r="E8" i="3" s="1"/>
  <c r="E42" i="1"/>
  <c r="G30" i="10"/>
  <c r="D32" i="10"/>
  <c r="E31" i="10"/>
  <c r="F31" i="10" s="1"/>
  <c r="R32" i="10" l="1"/>
  <c r="H8" i="10"/>
  <c r="O33" i="10"/>
  <c r="P32" i="10"/>
  <c r="Q32" i="10" s="1"/>
  <c r="J50" i="10"/>
  <c r="K50" i="10" s="1"/>
  <c r="L50" i="10" s="1"/>
  <c r="D4" i="1"/>
  <c r="E4" i="1"/>
  <c r="F42" i="1"/>
  <c r="G42" i="1" s="1"/>
  <c r="E43" i="1"/>
  <c r="G31" i="10"/>
  <c r="D33" i="10"/>
  <c r="E32" i="10"/>
  <c r="F32" i="10" s="1"/>
  <c r="I6" i="10" l="1"/>
  <c r="F5" i="3" s="1"/>
  <c r="O34" i="10"/>
  <c r="P33" i="10"/>
  <c r="Q33" i="10" s="1"/>
  <c r="R33" i="10" s="1"/>
  <c r="F43" i="1"/>
  <c r="G43" i="1" s="1"/>
  <c r="E44" i="1"/>
  <c r="G32" i="10"/>
  <c r="E33" i="10"/>
  <c r="F33" i="10" s="1"/>
  <c r="G33" i="10" s="1"/>
  <c r="D34" i="10"/>
  <c r="E3" i="3"/>
  <c r="H3" i="3" s="1"/>
  <c r="F10" i="3"/>
  <c r="E10" i="3"/>
  <c r="H10" i="3" s="1"/>
  <c r="O35" i="10" l="1"/>
  <c r="P34" i="10"/>
  <c r="Q34" i="10" s="1"/>
  <c r="R34" i="10" s="1"/>
  <c r="F44" i="1"/>
  <c r="G44" i="1" s="1"/>
  <c r="E45" i="1"/>
  <c r="D35" i="10"/>
  <c r="E34" i="10"/>
  <c r="F34" i="10" s="1"/>
  <c r="G34" i="10" s="1"/>
  <c r="R35" i="10" l="1"/>
  <c r="O36" i="10"/>
  <c r="P35" i="10"/>
  <c r="Q35" i="10" s="1"/>
  <c r="F45" i="1"/>
  <c r="G45" i="1" s="1"/>
  <c r="E46" i="1"/>
  <c r="E35" i="10"/>
  <c r="F35" i="10" s="1"/>
  <c r="G35" i="10" s="1"/>
  <c r="D36" i="10"/>
  <c r="O37" i="10" l="1"/>
  <c r="P36" i="10"/>
  <c r="Q36" i="10" s="1"/>
  <c r="R36" i="10" s="1"/>
  <c r="F46" i="1"/>
  <c r="G46" i="1" s="1"/>
  <c r="E47" i="1"/>
  <c r="D37" i="10"/>
  <c r="E36" i="10"/>
  <c r="F36" i="10" s="1"/>
  <c r="G36" i="10" s="1"/>
  <c r="O38" i="10" l="1"/>
  <c r="P37" i="10"/>
  <c r="Q37" i="10" s="1"/>
  <c r="R37" i="10" s="1"/>
  <c r="F47" i="1"/>
  <c r="G47" i="1" s="1"/>
  <c r="E48" i="1"/>
  <c r="D38" i="10"/>
  <c r="E37" i="10"/>
  <c r="F37" i="10" s="1"/>
  <c r="G37" i="10" s="1"/>
  <c r="R38" i="10" l="1"/>
  <c r="O39" i="10"/>
  <c r="P38" i="10"/>
  <c r="Q38" i="10" s="1"/>
  <c r="F48" i="1"/>
  <c r="G48" i="1" s="1"/>
  <c r="E49" i="1"/>
  <c r="E38" i="10"/>
  <c r="F38" i="10" s="1"/>
  <c r="G38" i="10" s="1"/>
  <c r="D39" i="10"/>
  <c r="R39" i="10" l="1"/>
  <c r="O40" i="10"/>
  <c r="P39" i="10"/>
  <c r="Q39" i="10" s="1"/>
  <c r="F49" i="1"/>
  <c r="G49" i="1" s="1"/>
  <c r="E50" i="1"/>
  <c r="D40" i="10"/>
  <c r="E39" i="10"/>
  <c r="F39" i="10" s="1"/>
  <c r="G39" i="10" s="1"/>
  <c r="R40" i="10" l="1"/>
  <c r="O41" i="10"/>
  <c r="P40" i="10"/>
  <c r="Q40" i="10" s="1"/>
  <c r="F50" i="1"/>
  <c r="G50" i="1" s="1"/>
  <c r="E51" i="1"/>
  <c r="D41" i="10"/>
  <c r="E40" i="10"/>
  <c r="F40" i="10" s="1"/>
  <c r="G40" i="10" s="1"/>
  <c r="X14" i="1"/>
  <c r="X15" i="1"/>
  <c r="X13" i="1"/>
  <c r="R41" i="10" l="1"/>
  <c r="O42" i="10"/>
  <c r="P41" i="10"/>
  <c r="Q41" i="10" s="1"/>
  <c r="F51" i="1"/>
  <c r="G51" i="1" s="1"/>
  <c r="E52" i="1"/>
  <c r="D42" i="10"/>
  <c r="E41" i="10"/>
  <c r="F41" i="10" s="1"/>
  <c r="G41" i="10" s="1"/>
  <c r="D5" i="2"/>
  <c r="D4" i="2"/>
  <c r="D6" i="2"/>
  <c r="O43" i="10" l="1"/>
  <c r="P42" i="10"/>
  <c r="Q42" i="10" s="1"/>
  <c r="R42" i="10" s="1"/>
  <c r="F52" i="1"/>
  <c r="G52" i="1" s="1"/>
  <c r="E53" i="1"/>
  <c r="E42" i="10"/>
  <c r="F42" i="10" s="1"/>
  <c r="G42" i="10" s="1"/>
  <c r="D43" i="10"/>
  <c r="E6" i="2"/>
  <c r="E4" i="2" s="1"/>
  <c r="D3" i="2"/>
  <c r="R43" i="10" l="1"/>
  <c r="O44" i="10"/>
  <c r="P43" i="10"/>
  <c r="Q43" i="10" s="1"/>
  <c r="F53" i="1"/>
  <c r="G53" i="1" s="1"/>
  <c r="E54" i="1"/>
  <c r="D44" i="10"/>
  <c r="E43" i="10"/>
  <c r="F43" i="10" s="1"/>
  <c r="G43" i="10" s="1"/>
  <c r="D2" i="2"/>
  <c r="O45" i="10" l="1"/>
  <c r="P44" i="10"/>
  <c r="Q44" i="10" s="1"/>
  <c r="R44" i="10" s="1"/>
  <c r="F54" i="1"/>
  <c r="G54" i="1" s="1"/>
  <c r="E55" i="1"/>
  <c r="E44" i="10"/>
  <c r="F44" i="10" s="1"/>
  <c r="G44" i="10" s="1"/>
  <c r="D45" i="10"/>
  <c r="E45" i="10" s="1"/>
  <c r="J14" i="1"/>
  <c r="J15" i="1"/>
  <c r="J13" i="1"/>
  <c r="D7" i="2"/>
  <c r="D8" i="2" s="1"/>
  <c r="O46" i="10" l="1"/>
  <c r="P46" i="10" s="1"/>
  <c r="Q46" i="10" s="1"/>
  <c r="P45" i="10"/>
  <c r="Q45" i="10" s="1"/>
  <c r="R45" i="10" s="1"/>
  <c r="R46" i="10" s="1"/>
  <c r="AH15" i="1"/>
  <c r="AI15" i="1" s="1"/>
  <c r="AX15" i="1"/>
  <c r="AZ15" i="1"/>
  <c r="BA15" i="1" s="1"/>
  <c r="BB15" i="1" s="1"/>
  <c r="AY15" i="1"/>
  <c r="AZ13" i="1"/>
  <c r="BA13" i="1" s="1"/>
  <c r="BB13" i="1" s="1"/>
  <c r="AH13" i="1"/>
  <c r="AI13" i="1" s="1"/>
  <c r="AJ13" i="1" s="1"/>
  <c r="AK13" i="1" s="1"/>
  <c r="AL13" i="1" s="1"/>
  <c r="AM13" i="1" s="1"/>
  <c r="AN13" i="1" s="1"/>
  <c r="AO13" i="1" s="1"/>
  <c r="AP13" i="1" s="1"/>
  <c r="AQ13" i="1" s="1"/>
  <c r="AR13" i="1" s="1"/>
  <c r="AS13" i="1" s="1"/>
  <c r="AT13" i="1" s="1"/>
  <c r="AU13" i="1" s="1"/>
  <c r="AV13" i="1" s="1"/>
  <c r="AW13" i="1" s="1"/>
  <c r="AX13" i="1"/>
  <c r="AY13" i="1"/>
  <c r="AZ14" i="1"/>
  <c r="BA14" i="1" s="1"/>
  <c r="BB14" i="1" s="1"/>
  <c r="AX14" i="1"/>
  <c r="AY14" i="1"/>
  <c r="AH14" i="1"/>
  <c r="AI14" i="1" s="1"/>
  <c r="AJ14" i="1" s="1"/>
  <c r="AK14" i="1" s="1"/>
  <c r="AL14" i="1" s="1"/>
  <c r="AM14" i="1" s="1"/>
  <c r="AN14" i="1" s="1"/>
  <c r="AO14" i="1" s="1"/>
  <c r="AP14" i="1" s="1"/>
  <c r="AQ14" i="1" s="1"/>
  <c r="AR14" i="1" s="1"/>
  <c r="AS14" i="1" s="1"/>
  <c r="AT14" i="1" s="1"/>
  <c r="AU14" i="1" s="1"/>
  <c r="AV14" i="1" s="1"/>
  <c r="AW14" i="1" s="1"/>
  <c r="F55" i="1"/>
  <c r="G55" i="1" s="1"/>
  <c r="E56" i="1"/>
  <c r="D46" i="10"/>
  <c r="E46" i="10" s="1"/>
  <c r="F45" i="10"/>
  <c r="G45" i="10" s="1"/>
  <c r="T15" i="1"/>
  <c r="Z15" i="1" s="1"/>
  <c r="T13" i="1"/>
  <c r="Z13" i="1" s="1"/>
  <c r="T14" i="1"/>
  <c r="D9" i="2"/>
  <c r="O47" i="10" l="1"/>
  <c r="AJ15" i="1"/>
  <c r="AK15" i="1" s="1"/>
  <c r="AL15" i="1" s="1"/>
  <c r="AM15" i="1" s="1"/>
  <c r="AN15" i="1" s="1"/>
  <c r="AO15" i="1" s="1"/>
  <c r="AP15" i="1" s="1"/>
  <c r="AQ15" i="1" s="1"/>
  <c r="AR15" i="1" s="1"/>
  <c r="AS15" i="1" s="1"/>
  <c r="AT15" i="1" s="1"/>
  <c r="AU15" i="1" s="1"/>
  <c r="AV15" i="1" s="1"/>
  <c r="AW15" i="1" s="1"/>
  <c r="E57" i="1"/>
  <c r="F56" i="1"/>
  <c r="G56" i="1" s="1"/>
  <c r="D47" i="10"/>
  <c r="E47" i="10" s="1"/>
  <c r="F46" i="10"/>
  <c r="G46" i="10" s="1"/>
  <c r="Z14" i="1"/>
  <c r="D10" i="2"/>
  <c r="U13" i="1"/>
  <c r="AB13" i="1" s="1"/>
  <c r="U15" i="1"/>
  <c r="AB15" i="1" s="1"/>
  <c r="U14" i="1"/>
  <c r="AB14" i="1" s="1"/>
  <c r="O48" i="10" l="1"/>
  <c r="P47" i="10"/>
  <c r="Q47" i="10" s="1"/>
  <c r="R47" i="10" s="1"/>
  <c r="E58" i="1"/>
  <c r="F57" i="1"/>
  <c r="G57" i="1" s="1"/>
  <c r="D48" i="10"/>
  <c r="E48" i="10" s="1"/>
  <c r="F47" i="10"/>
  <c r="G47" i="10" s="1"/>
  <c r="D11" i="2"/>
  <c r="V15" i="1"/>
  <c r="AD15" i="1" s="1"/>
  <c r="V14" i="1"/>
  <c r="AD14" i="1" s="1"/>
  <c r="V13" i="1"/>
  <c r="AD13" i="1" s="1"/>
  <c r="O49" i="10" l="1"/>
  <c r="P48" i="10"/>
  <c r="Q48" i="10" s="1"/>
  <c r="R48" i="10" s="1"/>
  <c r="E59" i="1"/>
  <c r="F58" i="1"/>
  <c r="G58" i="1" s="1"/>
  <c r="F48" i="10"/>
  <c r="G48" i="10" s="1"/>
  <c r="D49" i="10"/>
  <c r="E49" i="10" s="1"/>
  <c r="W13" i="1"/>
  <c r="W15" i="1"/>
  <c r="W14" i="1"/>
  <c r="O50" i="10" l="1"/>
  <c r="P50" i="10" s="1"/>
  <c r="Q50" i="10" s="1"/>
  <c r="P49" i="10"/>
  <c r="Q49" i="10" s="1"/>
  <c r="R49" i="10" s="1"/>
  <c r="R50" i="10" s="1"/>
  <c r="I7" i="10" s="1"/>
  <c r="F6" i="3" s="1"/>
  <c r="AF14" i="1"/>
  <c r="AF15" i="1"/>
  <c r="AF13" i="1"/>
  <c r="E3" i="1" s="1"/>
  <c r="E60" i="1"/>
  <c r="F59" i="1"/>
  <c r="G59" i="1" s="1"/>
  <c r="D50" i="10"/>
  <c r="F49" i="10"/>
  <c r="F50" i="10" l="1"/>
  <c r="I5" i="10" s="1"/>
  <c r="I8" i="10" s="1"/>
  <c r="E50" i="10"/>
  <c r="F9" i="3"/>
  <c r="D3" i="1"/>
  <c r="E61" i="1"/>
  <c r="F61" i="1" s="1"/>
  <c r="F60" i="1"/>
  <c r="G60" i="1" s="1"/>
  <c r="G49" i="10"/>
  <c r="G50" i="10" s="1"/>
  <c r="F4" i="3" l="1"/>
  <c r="F3" i="3" s="1"/>
  <c r="E9" i="3"/>
  <c r="D6" i="1"/>
  <c r="G61" i="1"/>
  <c r="E7" i="3" l="1"/>
  <c r="E5" i="1"/>
  <c r="E13" i="3" l="1"/>
  <c r="H13" i="3" s="1"/>
  <c r="H7" i="3"/>
  <c r="F8" i="3"/>
  <c r="F7" i="3" s="1"/>
  <c r="F13" i="3" s="1"/>
  <c r="E6" i="1"/>
</calcChain>
</file>

<file path=xl/sharedStrings.xml><?xml version="1.0" encoding="utf-8"?>
<sst xmlns="http://schemas.openxmlformats.org/spreadsheetml/2006/main" count="2894" uniqueCount="996">
  <si>
    <t>Building Type</t>
  </si>
  <si>
    <t>Library</t>
  </si>
  <si>
    <t>Community Center</t>
  </si>
  <si>
    <t>Senior Center</t>
  </si>
  <si>
    <t>Baseline</t>
  </si>
  <si>
    <t>Electricity (kWh/year)</t>
  </si>
  <si>
    <t>Intervention</t>
  </si>
  <si>
    <t>DHW System Installed</t>
  </si>
  <si>
    <t>HVAC Cost</t>
  </si>
  <si>
    <t xml:space="preserve">Gas boiler or Gas-fired RTU (roof top unit); </t>
  </si>
  <si>
    <t>HVAC Electrification Upgrade</t>
  </si>
  <si>
    <t>Replace gas-fired DHW system with heat pump water heater, either integral with tank or split system air-to-water heat pump.</t>
  </si>
  <si>
    <t>DHW Cost ($0.60-$2.00/SF)</t>
  </si>
  <si>
    <t>lbs CO2e/kBtu</t>
  </si>
  <si>
    <t>fossil gas</t>
  </si>
  <si>
    <t>Seattle City Light</t>
  </si>
  <si>
    <t>PSE</t>
  </si>
  <si>
    <t>Snohomish PUD</t>
  </si>
  <si>
    <t>Tacoma Power</t>
  </si>
  <si>
    <t>https://docs.google.com/spreadsheets/d/1MY2dNo_5VXCvppDA3nIpnMDhH3FG2MlxBcLiOggj-xQ/edit#gid=283732541</t>
  </si>
  <si>
    <t xml:space="preserve">The Climate Registry (https://theclimateregistry.org/registries-resources/carbon-footprint-registry/) </t>
  </si>
  <si>
    <t>Fuel Type</t>
  </si>
  <si>
    <t>Utility</t>
  </si>
  <si>
    <t>covert MWh to kWh</t>
  </si>
  <si>
    <t>covert kWh to kBtu</t>
  </si>
  <si>
    <t>convert therms to kBtu</t>
  </si>
  <si>
    <t>convert kWh to kBtu</t>
  </si>
  <si>
    <t>convert kg to pounds</t>
  </si>
  <si>
    <t>convert pounds to metric tons</t>
  </si>
  <si>
    <t>lbs/MWH</t>
  </si>
  <si>
    <t>Replace gas boiler and chiller with an air-to-air heat pump OR Replace gas-fired RTU with high-efficiency DOAS/HRV.</t>
  </si>
  <si>
    <t>Notes</t>
  </si>
  <si>
    <t>% of Projects</t>
  </si>
  <si>
    <t xml:space="preserve">2021 emissions factor is latest </t>
  </si>
  <si>
    <t>MTCO2e/kWh</t>
  </si>
  <si>
    <t>Puget Sound Regional Emissions Analysis</t>
  </si>
  <si>
    <t>2019 emissions factor</t>
  </si>
  <si>
    <t>Typical Building Square Feet</t>
  </si>
  <si>
    <t>Regional Weighted</t>
  </si>
  <si>
    <t>Electrical emissions factor weighted by distribution of projects expected across the region</t>
  </si>
  <si>
    <t>Electrical emissions factors adjusted to reflect utility compliance with the Clean Energy Transformation Act and requirement for electricity to be carbon neutral by 2030</t>
  </si>
  <si>
    <t>CETA Adjusted Factors</t>
  </si>
  <si>
    <t>Electricity</t>
  </si>
  <si>
    <t>Common HVAC System(s)</t>
  </si>
  <si>
    <t>Common DHW System</t>
  </si>
  <si>
    <t>Median Annual Gas (therms/year)</t>
  </si>
  <si>
    <t>Median Annual Electricity (kWh/year)</t>
  </si>
  <si>
    <t>Median Annual GHG 
MT CO2/year</t>
  </si>
  <si>
    <t>Building Info</t>
  </si>
  <si>
    <t>Cumulative Reductions 2025-2030 
MT CO2e</t>
  </si>
  <si>
    <t>Total Cost</t>
  </si>
  <si>
    <t>Gas 
(therms/ year)</t>
  </si>
  <si>
    <t>Embodied Carbon</t>
  </si>
  <si>
    <t>Benchmarking and Technical Support</t>
  </si>
  <si>
    <t>Heat Pump Water Heater Incentives</t>
  </si>
  <si>
    <t>Family Care Program</t>
  </si>
  <si>
    <t>Measure Name</t>
  </si>
  <si>
    <t>GHG Reduction Estimate Method and Analysis Notes</t>
  </si>
  <si>
    <t>Uses actual existing energy use data from community centers  and engineering estimates and pricing from City of Seattle municipal electrification planning work. Use median example of Seattle study of electrifying 28 community centers (Van Esselt)</t>
  </si>
  <si>
    <t>Uses actual existing energy use data from senior centers and engineering estimates and pricing from City of Seattle municipal electrification planning work. Average of two senior center data from study on electrification (Northwest and Greenwood)</t>
  </si>
  <si>
    <t>Baseline - Reference Case</t>
  </si>
  <si>
    <t>Daycare/Adult Family Home</t>
  </si>
  <si>
    <t>PER BUILDING</t>
  </si>
  <si>
    <t>PROGRAM TOTAL</t>
  </si>
  <si>
    <t>Year 2
# of Buildings</t>
  </si>
  <si>
    <t>Annual GHG 
MT CO2/year 2 (2026)</t>
  </si>
  <si>
    <t>Annual GHG 
MT CO2/year 3 (2027)</t>
  </si>
  <si>
    <t>Annual GHG 
MT CO2/year 4 (2028)</t>
  </si>
  <si>
    <t>Annual GHG 
MT CO2/year 5 (2029)</t>
  </si>
  <si>
    <t>Annual GHG 
MT CO2/year 6 (2030)</t>
  </si>
  <si>
    <t>Year 4 Total
MT CO2 (2028)</t>
  </si>
  <si>
    <t>Year 5 Total
MT CO2 (2029)</t>
  </si>
  <si>
    <t>Year 6 Total
MT CO2 (2030)</t>
  </si>
  <si>
    <t>Year 3
# of Buildings
(cumulative)</t>
  </si>
  <si>
    <t>Year 4
# of Buildings
(cumulative)</t>
  </si>
  <si>
    <t>Year 5
# of Buildings
(cumulative)</t>
  </si>
  <si>
    <t>Year 6
# of Buildings
(cumulative)</t>
  </si>
  <si>
    <t>Whole Building Electrification + EE</t>
  </si>
  <si>
    <t>Totals</t>
  </si>
  <si>
    <t>Impacts of diverting salvaged lumber from incineration at paper miils and disposal in landfills to reuse</t>
  </si>
  <si>
    <t>2025 - 2030</t>
  </si>
  <si>
    <t>2025 - 2050</t>
  </si>
  <si>
    <t>Total Tons Lumber Diverted</t>
  </si>
  <si>
    <t>Net Change in MTCO2e</t>
  </si>
  <si>
    <t>Net Change in MMTCO2e</t>
  </si>
  <si>
    <t>Net Change in PM2.5</t>
  </si>
  <si>
    <t>Net Change in VOC</t>
  </si>
  <si>
    <t>Net Change in Labor Hours</t>
  </si>
  <si>
    <t>Net Change in Wages</t>
  </si>
  <si>
    <t>Tons of lumber</t>
  </si>
  <si>
    <t>MMTCO2e</t>
  </si>
  <si>
    <t>PM2.5 tons</t>
  </si>
  <si>
    <t>VOC tons</t>
  </si>
  <si>
    <t>Labor Hours</t>
  </si>
  <si>
    <t>Wages</t>
  </si>
  <si>
    <t>calculation factors</t>
  </si>
  <si>
    <t>Accumulative 2024 - 2030</t>
  </si>
  <si>
    <t>Accumulative 2025 - 2030</t>
  </si>
  <si>
    <t>Accumulative 2024 - 2050</t>
  </si>
  <si>
    <t>Accumulative 2025 - 2050</t>
  </si>
  <si>
    <t xml:space="preserve">Total Tons for Calc = </t>
  </si>
  <si>
    <t>Landfilled (tons)</t>
  </si>
  <si>
    <t>Hog fuel (tons)</t>
  </si>
  <si>
    <t>Reuse/Recycle (tons)</t>
  </si>
  <si>
    <t>Total (tons)</t>
  </si>
  <si>
    <t>Baseline PM 2.5</t>
  </si>
  <si>
    <t xml:space="preserve">Landfilled </t>
  </si>
  <si>
    <t>Hog fuel</t>
  </si>
  <si>
    <t>Reuse/Recycle</t>
  </si>
  <si>
    <t>Total (lbs PM 2.5)</t>
  </si>
  <si>
    <t>Baseline VOC (Toluene and Benzene)</t>
  </si>
  <si>
    <t>Total (lbs VOC)</t>
  </si>
  <si>
    <t>KC Transfer Stations/Cedar Hills Landfill</t>
  </si>
  <si>
    <t>KC job site to C&amp;D MRF</t>
  </si>
  <si>
    <t>KC/SPU (not KC flow controlled)</t>
  </si>
  <si>
    <t>KC/SPU Reused (Recycled)</t>
  </si>
  <si>
    <t>50% Diversion</t>
  </si>
  <si>
    <t>50% PM 2.5</t>
  </si>
  <si>
    <t>50% VOC (Toluene and Benzene)</t>
  </si>
  <si>
    <t>Net PM 2.5 (lbs)</t>
  </si>
  <si>
    <t>Net VOC (lbs)</t>
  </si>
  <si>
    <t>tons</t>
  </si>
  <si>
    <t>Annual Net change in MTCO2e</t>
  </si>
  <si>
    <t>Annual Net change in labor hours</t>
  </si>
  <si>
    <t>Annual Net change in wages</t>
  </si>
  <si>
    <t>Total impact of utilizing salvaged lumber in new products</t>
  </si>
  <si>
    <t xml:space="preserve">Note: "source reduced" is assumes the product is not created but in this case the product is being created, just not from virgin materials, so the MTCO2e reduction under "source reduced" is a measure of virgin materials not being harvested. The labor and wages within "source reduced" are zeros as the labor (and wages) to create products from salvaged lumber is the same as creating the products from virgin lumber. </t>
  </si>
  <si>
    <t>building name</t>
  </si>
  <si>
    <t>Dept</t>
  </si>
  <si>
    <t>Additional Reduction Impact of HRVs, Insulation</t>
  </si>
  <si>
    <t>GHG impact tons 2019</t>
  </si>
  <si>
    <t>GHG tons post electrification</t>
  </si>
  <si>
    <t>GHG Savings (tons)</t>
  </si>
  <si>
    <t>date of bdg HVAC electrification if known</t>
  </si>
  <si>
    <t>date of bdg DHW electrification if known</t>
  </si>
  <si>
    <t>costs rollup</t>
  </si>
  <si>
    <t>other Fossil program dates</t>
  </si>
  <si>
    <t>URM flag-seismic def.</t>
  </si>
  <si>
    <t>PM EUIs 2019 (Or EUI placeholder)</t>
  </si>
  <si>
    <t>EUI gas 2019</t>
  </si>
  <si>
    <t>EUI steam 2019</t>
  </si>
  <si>
    <t>EUIs  post</t>
  </si>
  <si>
    <t>ev Date</t>
  </si>
  <si>
    <t>ev load</t>
  </si>
  <si>
    <t>Ev Panel Space</t>
  </si>
  <si>
    <t>input capacity (Customer Capacity KVA )*80%</t>
  </si>
  <si>
    <t>Peak Load kW</t>
  </si>
  <si>
    <t>Decarb equip kW bldg</t>
  </si>
  <si>
    <t>primary electrical upgrade upstream of bldg</t>
  </si>
  <si>
    <t>SCL right to Electricity</t>
  </si>
  <si>
    <t>elec util input capacity Transformer Rating[kVA]</t>
  </si>
  <si>
    <t>Cook cost</t>
  </si>
  <si>
    <t>DHW existing</t>
  </si>
  <si>
    <t>HPWH cost</t>
  </si>
  <si>
    <t>HVAC type</t>
  </si>
  <si>
    <t>HVAC costs</t>
  </si>
  <si>
    <t>Shell type</t>
  </si>
  <si>
    <t>Shell cost</t>
  </si>
  <si>
    <t>Electrical upgrade cost</t>
  </si>
  <si>
    <t>GMP adder</t>
  </si>
  <si>
    <t>FS flag</t>
  </si>
  <si>
    <t>Morgan detail flag</t>
  </si>
  <si>
    <t>energy Use pre (kBtu)</t>
  </si>
  <si>
    <t>energy Use post (kBtu)</t>
  </si>
  <si>
    <t>Energy Savings (kBtu)</t>
  </si>
  <si>
    <t>annual Gas bill 2019</t>
  </si>
  <si>
    <t>annual Steam bill 2019</t>
  </si>
  <si>
    <t>annual Elec bill 2019</t>
  </si>
  <si>
    <t>annual Eelctric bill 2036</t>
  </si>
  <si>
    <t>Annual Electrification Bill Savings</t>
  </si>
  <si>
    <t>Timeframe when Demand Exceeds kW Capacity</t>
  </si>
  <si>
    <t>Benaroya Hall</t>
  </si>
  <si>
    <t>FAS</t>
  </si>
  <si>
    <t>heat exchanger</t>
  </si>
  <si>
    <t>Boiler</t>
  </si>
  <si>
    <t>City Hall</t>
  </si>
  <si>
    <t>gas</t>
  </si>
  <si>
    <t>DOAS</t>
  </si>
  <si>
    <t>roof, wall</t>
  </si>
  <si>
    <t>Airport Way Ctr - Bldg C</t>
  </si>
  <si>
    <t>YES</t>
  </si>
  <si>
    <t>Package</t>
  </si>
  <si>
    <t>Airport Way Ctr - Bldg A</t>
  </si>
  <si>
    <t>Fire Station 10/FAC/EOC</t>
  </si>
  <si>
    <t>FULL</t>
  </si>
  <si>
    <t>CSC Vehicle Maintenance (E)</t>
  </si>
  <si>
    <t>wall and glazing</t>
  </si>
  <si>
    <t>no</t>
  </si>
  <si>
    <t>Justice Center</t>
  </si>
  <si>
    <t>SPD West Precinct</t>
  </si>
  <si>
    <t>roof indicated</t>
  </si>
  <si>
    <t>Airport Way Ctr - Bldg B</t>
  </si>
  <si>
    <t>Airport Way Ctr - Bldg D</t>
  </si>
  <si>
    <t>Airport Way Ctr - Bldg E</t>
  </si>
  <si>
    <t>Animal Shelter</t>
  </si>
  <si>
    <t>roof</t>
  </si>
  <si>
    <t>CSC Engineering (A)</t>
  </si>
  <si>
    <t>wall</t>
  </si>
  <si>
    <t>CSC Meter Shop (G)</t>
  </si>
  <si>
    <t>SPD East Precinct</t>
  </si>
  <si>
    <t>wall, doors</t>
  </si>
  <si>
    <t>CSC Fire Garage (C)</t>
  </si>
  <si>
    <t>Fire Station 02</t>
  </si>
  <si>
    <t>Fire Station 14</t>
  </si>
  <si>
    <t>MID (app, hpwh, cook)</t>
  </si>
  <si>
    <t>Fire Station 17</t>
  </si>
  <si>
    <t>Fire Station 18</t>
  </si>
  <si>
    <t>Fire Station 25</t>
  </si>
  <si>
    <t>HLF FAS Vehicle Maintenance (A)</t>
  </si>
  <si>
    <t>NO</t>
  </si>
  <si>
    <t>ER plus a HPWH</t>
  </si>
  <si>
    <t>wall (roof is indicated)</t>
  </si>
  <si>
    <t>SDOT Traffic Shop</t>
  </si>
  <si>
    <t>wall partial</t>
  </si>
  <si>
    <t>SPD Southwest Precinct</t>
  </si>
  <si>
    <t>Fire Station 28 (New)</t>
  </si>
  <si>
    <t>Fire Headquarters</t>
  </si>
  <si>
    <t>Joint Training Facilities Campus</t>
  </si>
  <si>
    <t>Fire Station 20 (New)</t>
  </si>
  <si>
    <t>HPWH</t>
  </si>
  <si>
    <t>Electric</t>
  </si>
  <si>
    <t>MIN (cook only)</t>
  </si>
  <si>
    <t>Jefferson Park Golf Clubhouse &amp; Driving Range</t>
  </si>
  <si>
    <t>SPR</t>
  </si>
  <si>
    <t>no info collected</t>
  </si>
  <si>
    <t>TBD</t>
  </si>
  <si>
    <t>package</t>
  </si>
  <si>
    <t>SPU</t>
  </si>
  <si>
    <t>na</t>
  </si>
  <si>
    <t>part</t>
  </si>
  <si>
    <t>Fire Station 35 (New)</t>
  </si>
  <si>
    <t>Northgate Library</t>
  </si>
  <si>
    <t>SPL</t>
  </si>
  <si>
    <t>unk</t>
  </si>
  <si>
    <t>EV elec adds only</t>
  </si>
  <si>
    <t>The Seattle Public Library - West Seattle Branch</t>
  </si>
  <si>
    <t>Medium</t>
  </si>
  <si>
    <t>wall indicated</t>
  </si>
  <si>
    <t>Street Car Maintenance</t>
  </si>
  <si>
    <t>SDOT</t>
  </si>
  <si>
    <t>Fire Station 09 (New)</t>
  </si>
  <si>
    <t>MID (app, cook)</t>
  </si>
  <si>
    <t>Fire Station 30 (New)</t>
  </si>
  <si>
    <t>Done</t>
  </si>
  <si>
    <t>MIN (cook HPWH)</t>
  </si>
  <si>
    <t>CSC Tire Shop (D)</t>
  </si>
  <si>
    <t>wall (roof is indicated for future)</t>
  </si>
  <si>
    <t>Fire Station 37 (New)</t>
  </si>
  <si>
    <t>OCC Complex - Meter Shop</t>
  </si>
  <si>
    <t>Fire Station 39 (New)</t>
  </si>
  <si>
    <t>Fire Station 38 (New)</t>
  </si>
  <si>
    <t>Fire Station 06 (New)</t>
  </si>
  <si>
    <t>Pratt Fine Arts Center</t>
  </si>
  <si>
    <t>Greenwood Senior Center</t>
  </si>
  <si>
    <t>Fire Station 31</t>
  </si>
  <si>
    <t>Discovery Park Environmental Learning Center</t>
  </si>
  <si>
    <t>Conservatory Lower Greenhouse</t>
  </si>
  <si>
    <t>Fire Station 21 (New)</t>
  </si>
  <si>
    <t>Northwest Senior Center</t>
  </si>
  <si>
    <t>CSC First Hill Street Car Maintenance Shop</t>
  </si>
  <si>
    <t>Fire Station 22 (New)</t>
  </si>
  <si>
    <t>Zoomazium</t>
  </si>
  <si>
    <t>WPZ</t>
  </si>
  <si>
    <t>Fire Station 32 (New)</t>
  </si>
  <si>
    <t>Fairview Building</t>
  </si>
  <si>
    <t>The Seattle Public Library - University Branch</t>
  </si>
  <si>
    <t>The Seattle Public Library - Central Library</t>
  </si>
  <si>
    <t>The Seattle Public Library - Ballard Branch</t>
  </si>
  <si>
    <t>ER</t>
  </si>
  <si>
    <t>tbd</t>
  </si>
  <si>
    <t>The Seattle Public Library - Beacon Hill Branch</t>
  </si>
  <si>
    <t>The Seattle Public Library - Douglass-Truth Branch</t>
  </si>
  <si>
    <t>The Seattle Public Library - Columbia Branch</t>
  </si>
  <si>
    <t>Jackson Park Golf Course Clubhouse</t>
  </si>
  <si>
    <t>The Seattle Public Library - Greenwood Branch</t>
  </si>
  <si>
    <t>Jefferson Park Propagation Greenhouse</t>
  </si>
  <si>
    <t>The Seattle Public Library - Green Lake Branch</t>
  </si>
  <si>
    <t>The Seattle Public Library - Lake City Branch</t>
  </si>
  <si>
    <t>WPZ West Entrance</t>
  </si>
  <si>
    <t>The Seattle Public Library - Queen Anne Branch</t>
  </si>
  <si>
    <t>Fire Station 08</t>
  </si>
  <si>
    <t>The Seattle Public Library - Southwest Branch</t>
  </si>
  <si>
    <t>Dexter Building</t>
  </si>
  <si>
    <t>South Park Redevelopment Center</t>
  </si>
  <si>
    <t>The Seattle Public Library - High Point Branch</t>
  </si>
  <si>
    <t>North Service Center</t>
  </si>
  <si>
    <t>SCL</t>
  </si>
  <si>
    <t>SCL SSC Building A</t>
  </si>
  <si>
    <t>Technical Metering Operations</t>
  </si>
  <si>
    <t>The Seattle Public Library - Magnolia Branch</t>
  </si>
  <si>
    <t>Blue Building (Safety)</t>
  </si>
  <si>
    <t>Greenlake Bathhouse Theater</t>
  </si>
  <si>
    <t>Fire Station 05</t>
  </si>
  <si>
    <t>The Seattle Public Library - Fremont Branch</t>
  </si>
  <si>
    <t>DWW-SOC 4500 W. Marginal Way SW</t>
  </si>
  <si>
    <t>North Transfer Station</t>
  </si>
  <si>
    <t>Seattle Aquarium</t>
  </si>
  <si>
    <t>AQU</t>
  </si>
  <si>
    <t>Fire Station 40</t>
  </si>
  <si>
    <t>WPZ Animal Health Department</t>
  </si>
  <si>
    <t>WPZ Feline House</t>
  </si>
  <si>
    <t>Donald Graham Visitors Center</t>
  </si>
  <si>
    <t>WPZ Tropical Rain Forest</t>
  </si>
  <si>
    <t>Seward Park Clay Studio</t>
  </si>
  <si>
    <t>Fire Station 33</t>
  </si>
  <si>
    <t>Armory Building</t>
  </si>
  <si>
    <t>Ballard Community Center</t>
  </si>
  <si>
    <t>Ballard Pool</t>
  </si>
  <si>
    <t>Fire Station 27</t>
  </si>
  <si>
    <t>Bitter Lake Community Center</t>
  </si>
  <si>
    <t>Alki Community Center</t>
  </si>
  <si>
    <t>CSC Materials Testing Lab (F)</t>
  </si>
  <si>
    <t>Package (oven)</t>
  </si>
  <si>
    <t>Miller Annex</t>
  </si>
  <si>
    <t>Colman Pool</t>
  </si>
  <si>
    <t>Conservatory and Upper Greenhouse</t>
  </si>
  <si>
    <t>Conservatory Campus</t>
  </si>
  <si>
    <t>CAMPUS</t>
  </si>
  <si>
    <t>NA campus</t>
  </si>
  <si>
    <t>Central East Headquarters</t>
  </si>
  <si>
    <t>may be done</t>
  </si>
  <si>
    <t>Fire Station 11</t>
  </si>
  <si>
    <t>Fire Station 41</t>
  </si>
  <si>
    <t>Fire Station 34</t>
  </si>
  <si>
    <t>Delridge Community Center</t>
  </si>
  <si>
    <t>Densmore/NW NC HQ</t>
  </si>
  <si>
    <t>Magnuson, Building 138</t>
  </si>
  <si>
    <t>The Seattle Public Library - Montlake Branch</t>
  </si>
  <si>
    <t>Fire Station 13</t>
  </si>
  <si>
    <t>Garfield Community Center</t>
  </si>
  <si>
    <t>Genesee/SC SE HQ</t>
  </si>
  <si>
    <t>Green Lake Community Center and Pool</t>
  </si>
  <si>
    <t>Fire Station 26</t>
  </si>
  <si>
    <t>Helene Madison Pool</t>
  </si>
  <si>
    <t>High Point Community Center</t>
  </si>
  <si>
    <t>Fire Station 29</t>
  </si>
  <si>
    <t>Interbay Soccer Stadium Complex</t>
  </si>
  <si>
    <t>International district/Chinatown CC</t>
  </si>
  <si>
    <t>Jefferson Community Center</t>
  </si>
  <si>
    <t>50/150 (2meters)</t>
  </si>
  <si>
    <t>West Seattle Shops</t>
  </si>
  <si>
    <t>Fire Station 24</t>
  </si>
  <si>
    <t>Lake City Community Center</t>
  </si>
  <si>
    <t>Langston Hughes Performing Arts Center</t>
  </si>
  <si>
    <t>Laurelhurst Community Center</t>
  </si>
  <si>
    <t>Landsburg LOC Building</t>
  </si>
  <si>
    <t>electric</t>
  </si>
  <si>
    <t>Loyal Heights Community Center</t>
  </si>
  <si>
    <t>Camp Long Environmental Learning Center</t>
  </si>
  <si>
    <t>South Service Center Apprenticeship Shop</t>
  </si>
  <si>
    <t>Magnolia Community Center</t>
  </si>
  <si>
    <t xml:space="preserve">wall </t>
  </si>
  <si>
    <t>Magnuson</t>
  </si>
  <si>
    <t>Magnuson, Building 11</t>
  </si>
  <si>
    <t>Fire Station 16</t>
  </si>
  <si>
    <t>Magnuson, Building 2, Conservation Corps</t>
  </si>
  <si>
    <t>Magnuson, Building 27, Arena sports</t>
  </si>
  <si>
    <t>Magnuson, Building 30</t>
  </si>
  <si>
    <t>Magnuson, Magnuson Community Center</t>
  </si>
  <si>
    <t>Meadowbrook Community Center/Pool</t>
  </si>
  <si>
    <t>Medgar Evers Pool</t>
  </si>
  <si>
    <t>Miller Community Center</t>
  </si>
  <si>
    <t>Montlake Community Center</t>
  </si>
  <si>
    <t>Seacrest Marina</t>
  </si>
  <si>
    <t>gas per jacob</t>
  </si>
  <si>
    <t>assume gas</t>
  </si>
  <si>
    <t>Northgate Campus</t>
  </si>
  <si>
    <t>see comm center, libaries is already  in estimate</t>
  </si>
  <si>
    <t>Northgate Community Center</t>
  </si>
  <si>
    <t>Gennessee Park Storage Shed</t>
  </si>
  <si>
    <t>Interbay Golf Center</t>
  </si>
  <si>
    <t>1 A.O. Smith DHW tank ( 100 gallon, 199900 BTU/HR max input)</t>
  </si>
  <si>
    <t>Package: 4 gas fired furnaces with cooling 10 gas fired radiant heater driving range</t>
  </si>
  <si>
    <t>Cascade Building YWCA</t>
  </si>
  <si>
    <t>Arboretum HQ Building</t>
  </si>
  <si>
    <t>Queen Anne Community Center</t>
  </si>
  <si>
    <t>Queen Anne Pool</t>
  </si>
  <si>
    <t>Rainier Beach Community Center and Pool</t>
  </si>
  <si>
    <t>Rainier Community Center</t>
  </si>
  <si>
    <t>Ravenna-Eckstein Community Center</t>
  </si>
  <si>
    <t>Seattle Asian Art Museum</t>
  </si>
  <si>
    <t>Equipment - Tolt Operations</t>
  </si>
  <si>
    <t>Madrona Park Bathhouse</t>
  </si>
  <si>
    <t>Southwest Teen Life Center and Pool</t>
  </si>
  <si>
    <t>Southwest Youth and Family Service Center</t>
  </si>
  <si>
    <t>Van Asselt Community Center</t>
  </si>
  <si>
    <t>Westbridge</t>
  </si>
  <si>
    <t>Yesler Community Center</t>
  </si>
  <si>
    <t>Madison Park Bathhouse</t>
  </si>
  <si>
    <t>West Seattle Golf Course Clubhouse</t>
  </si>
  <si>
    <t>OCC Complex</t>
  </si>
  <si>
    <t>OCC Complex - Administration</t>
  </si>
  <si>
    <t>OCC Complex - Fabrication Shop</t>
  </si>
  <si>
    <t>OCC Complex - MEB</t>
  </si>
  <si>
    <t>Mounger Pool</t>
  </si>
  <si>
    <t>Alki Beach Bathhouse</t>
  </si>
  <si>
    <t>Pritchard Beach Bathhouse</t>
  </si>
  <si>
    <t>Jefferson Golf Maintenance HQ</t>
  </si>
  <si>
    <t>West Seattle Golf Crew Quarters</t>
  </si>
  <si>
    <t>Bitter Lake Reservoir</t>
  </si>
  <si>
    <t>HLF SDOT Paint Shop (D)</t>
  </si>
  <si>
    <t>Dakota Place Building</t>
  </si>
  <si>
    <t>Seward Park Bathhouse</t>
  </si>
  <si>
    <t>Tilth Rainier Beach Urban Farm</t>
  </si>
  <si>
    <t>count fossil sites</t>
  </si>
  <si>
    <t>Ballard Operation Building (BOB)</t>
  </si>
  <si>
    <t>Victory Heights Community Center</t>
  </si>
  <si>
    <t>Seattle Municipal Tower Floor 14 and Evs</t>
  </si>
  <si>
    <t>Woodland Park Lawn Bowling Clubhouse</t>
  </si>
  <si>
    <t>The Seattle Public Library - North East Branch</t>
  </si>
  <si>
    <t>The Seattle Public Library - Broadview Branch</t>
  </si>
  <si>
    <t>Horticulture building</t>
  </si>
  <si>
    <t>done</t>
  </si>
  <si>
    <t>Old Treatment - Tolt</t>
  </si>
  <si>
    <t>Denny Way Substation</t>
  </si>
  <si>
    <t>SCL SSC Building B</t>
  </si>
  <si>
    <t>t</t>
  </si>
  <si>
    <t>Key Arena</t>
  </si>
  <si>
    <t>CEN</t>
  </si>
  <si>
    <t>Mercer Arena</t>
  </si>
  <si>
    <t>NA</t>
  </si>
  <si>
    <t>Armory</t>
  </si>
  <si>
    <t>Boiler?</t>
  </si>
  <si>
    <t>Exhibition Hall</t>
  </si>
  <si>
    <t>McCaw Hall</t>
  </si>
  <si>
    <t>Northwest Rooms</t>
  </si>
  <si>
    <t>Fisher Pavilion</t>
  </si>
  <si>
    <t>Bagley Wright Theatre</t>
  </si>
  <si>
    <t>Phelps Center</t>
  </si>
  <si>
    <t>Playhouse</t>
  </si>
  <si>
    <t>Seattle Children's Theatre</t>
  </si>
  <si>
    <t>Central Plant</t>
  </si>
  <si>
    <t>Seattle Program Center</t>
  </si>
  <si>
    <t>Pearl Warren Building</t>
  </si>
  <si>
    <t>TBD- Evan Cobb to confirm</t>
  </si>
  <si>
    <t>Mary's Place Seattle (PI Bank)</t>
  </si>
  <si>
    <t>The Seattle Public Library - Queen Anne Storage Facility</t>
  </si>
  <si>
    <t>Not Available</t>
  </si>
  <si>
    <t>SE Seattle Community Health Center</t>
  </si>
  <si>
    <t>Hutchinson Community Center</t>
  </si>
  <si>
    <t>Magnuson, Tennis Center Sand Point</t>
  </si>
  <si>
    <t>Tennis Center Sand Point</t>
  </si>
  <si>
    <t>TBD (ground lease)</t>
  </si>
  <si>
    <t>CSC Weights &amp; Measures (B)</t>
  </si>
  <si>
    <t>Amy Yee Tennis Center</t>
  </si>
  <si>
    <t>Central West HQ / Brown Bear</t>
  </si>
  <si>
    <t>-</t>
  </si>
  <si>
    <t>Seattle Municipal Tower</t>
  </si>
  <si>
    <t>The Seattle Public Library - Madrona Sally Goldmark</t>
  </si>
  <si>
    <t>System Operations Center</t>
  </si>
  <si>
    <t>Conservatory Cottage</t>
  </si>
  <si>
    <t>Watershed Headquarters Building</t>
  </si>
  <si>
    <t>Vista House - Tolt</t>
  </si>
  <si>
    <t>Pinehurst Playground</t>
  </si>
  <si>
    <t>Belltown Cottages</t>
  </si>
  <si>
    <t>South Transfer Station</t>
  </si>
  <si>
    <t>South Park Community Center</t>
  </si>
  <si>
    <t>The Seattle Public Library - Capitol Hill Branch</t>
  </si>
  <si>
    <t>Magnuson, The Brig</t>
  </si>
  <si>
    <t>Magnuson Park Gatehouse</t>
  </si>
  <si>
    <t>Hiawatha Community Center</t>
  </si>
  <si>
    <t>none</t>
  </si>
  <si>
    <t>Kent Highlands Landfill - Office</t>
  </si>
  <si>
    <t>n/a</t>
  </si>
  <si>
    <t>Haller Lake - DWW Building "C"</t>
  </si>
  <si>
    <t>2022-2023 Cap&lt;Load</t>
  </si>
  <si>
    <t>1 14.5kBtu tankless (per plans)</t>
  </si>
  <si>
    <t>Reroofing (2020)</t>
  </si>
  <si>
    <t>50 gal, 4.5 kW</t>
  </si>
  <si>
    <t>Capacity is Sufficient</t>
  </si>
  <si>
    <t>2028-2033 Cap&lt;Load</t>
  </si>
  <si>
    <t>Electric tank style hot water heater</t>
  </si>
  <si>
    <t>Magnolia Treatment Facility</t>
  </si>
  <si>
    <t>40 Gal,  40 kBTU/hr</t>
  </si>
  <si>
    <t>N/A</t>
  </si>
  <si>
    <t>7.5 Gal, 7.5 GPM and 180 kBTU/hr</t>
  </si>
  <si>
    <t>Lake Youngs - Office/Shop</t>
  </si>
  <si>
    <t>75 Gal     76 Kbtu/hr</t>
  </si>
  <si>
    <t>2024-2027 Cap&lt;Load</t>
  </si>
  <si>
    <t>Electric tank style hot water heater (2)</t>
  </si>
  <si>
    <t>Tolt/ Duvall</t>
  </si>
  <si>
    <t>Roof replacement (2021 - 2022)</t>
  </si>
  <si>
    <t>119 gal, 9 kW</t>
  </si>
  <si>
    <t>app</t>
  </si>
  <si>
    <t>2034+ Cap&lt;Load</t>
  </si>
  <si>
    <t>80 gal, 8 kW</t>
  </si>
  <si>
    <t>cook</t>
  </si>
  <si>
    <t>130 gal, 9 kW</t>
  </si>
  <si>
    <t>80 gal, 4.5 kW</t>
  </si>
  <si>
    <t>100 Gal and 199 kBTU/hr</t>
  </si>
  <si>
    <t>3 30 gal 3kW (per plans) tanks</t>
  </si>
  <si>
    <t>91 Gal and 199.9 kBTU/hr</t>
  </si>
  <si>
    <t>full</t>
  </si>
  <si>
    <t>100 gal, 199.9 kBTU/hr</t>
  </si>
  <si>
    <t>80 Gal and 75 kBTU/hr</t>
  </si>
  <si>
    <t>175 gal, 275 kBTU/hr</t>
  </si>
  <si>
    <t>220 gal, 150 kBTU/hr</t>
  </si>
  <si>
    <t xml:space="preserve">Beacon Hill Office (Old Water Lab) </t>
  </si>
  <si>
    <t>119 gal, 130 kBTU/hr</t>
  </si>
  <si>
    <t>1 50gal 4.5kW tank</t>
  </si>
  <si>
    <t>Dock replacement (2020)</t>
  </si>
  <si>
    <t>120 gal, unknown kW</t>
  </si>
  <si>
    <t>1 50 gal 38kBtu tank</t>
  </si>
  <si>
    <t>1 30 gal 4.5kW tank</t>
  </si>
  <si>
    <t>75 gal, 199.9 kBTU/hr</t>
  </si>
  <si>
    <t>1 60 gal unk kW tank</t>
  </si>
  <si>
    <t>1 unk electric tank</t>
  </si>
  <si>
    <t>Gas (1) tank, Electric Tank (1)</t>
  </si>
  <si>
    <t>1 50 gal 6kW tank</t>
  </si>
  <si>
    <t>Haller Lake - Trailer 3(CMD)</t>
  </si>
  <si>
    <t>80 Gal and 251 kBTU/hr</t>
  </si>
  <si>
    <t>Gas condensing hot water tank (80 gallons) in main building, electric in child-care</t>
  </si>
  <si>
    <t>100 Gal and 199.9 kBTU/hr</t>
  </si>
  <si>
    <t>130 Gal and 300 kBTU/hr</t>
  </si>
  <si>
    <t>Reroofing and plumbing renewal (2020)</t>
  </si>
  <si>
    <t>144 Gal and 152 kBTU/hr</t>
  </si>
  <si>
    <t>120 gal, 12 kW</t>
  </si>
  <si>
    <t>1 50 gal 9kW tank</t>
  </si>
  <si>
    <t>Cedar Falls - Education Center</t>
  </si>
  <si>
    <t>119 Gal and 199 kBTU/hr</t>
  </si>
  <si>
    <t>North Operations Center - Admin + Warehouse</t>
  </si>
  <si>
    <t>??</t>
  </si>
  <si>
    <t>100 Gal and 150 kBTU/hr</t>
  </si>
  <si>
    <t>heat exchanger from the space heat boiler, 30 gal tank</t>
  </si>
  <si>
    <t>Metal Roof Replacement (2023 - 2024)</t>
  </si>
  <si>
    <t>120 gal, 18 kW</t>
  </si>
  <si>
    <t>1 20 gal 2.5kW tanks 3 instahot 1.5 kW</t>
  </si>
  <si>
    <t>219 Gal and 199 kBTU/hr</t>
  </si>
  <si>
    <t>1 30 gal 9 kW tank</t>
  </si>
  <si>
    <t>Boiler (1), domestic hot water is provided by space heat boiler.</t>
  </si>
  <si>
    <t>1 50 gal 40kBtu tank</t>
  </si>
  <si>
    <t>Condensing gas instantaneous hot water heater, 399 MBH input</t>
  </si>
  <si>
    <t>Gas Tank style water heater (non-condensing), 74 gallons, 75 MBH</t>
  </si>
  <si>
    <t>1 50 gal 4.5kW tank</t>
  </si>
  <si>
    <t>1 50 gal 50kBtu tank (per plans)</t>
  </si>
  <si>
    <t>1 45 gal unk kBTU tank</t>
  </si>
  <si>
    <t>Electric Tanks</t>
  </si>
  <si>
    <t>Condensing gas hot water heater</t>
  </si>
  <si>
    <t>tank style gas dhw (1), 120 gal, 130 MBH, condensing</t>
  </si>
  <si>
    <t>Electric DHW (60 gallon, 9kW)</t>
  </si>
  <si>
    <t>1 40 gal 4.5kW tank</t>
  </si>
  <si>
    <t>71 gal, 120 kBTU/hr</t>
  </si>
  <si>
    <t>Electric dhw 50gal (2)</t>
  </si>
  <si>
    <t>Electric dhw 50gal</t>
  </si>
  <si>
    <t>Hot water provided by boilers (KN-4) and stored in storage tank.</t>
  </si>
  <si>
    <t>Gas, 80 gallons, &lt;6 years old, condensing</t>
  </si>
  <si>
    <t>238 Gal and 398 kBTU/hr</t>
  </si>
  <si>
    <t>240 Gal and 398 kBTU/hr</t>
  </si>
  <si>
    <t>2 66 gal 4.5kW tanks 3 instahot 0.75 kW</t>
  </si>
  <si>
    <t>NA - Electric hot water heater.</t>
  </si>
  <si>
    <t>Gas condensing hot water tank (80 gallons), 15 years old</t>
  </si>
  <si>
    <t>100 Gal 250 KBTU/hr</t>
  </si>
  <si>
    <t>100 gal, 4.5+ kW</t>
  </si>
  <si>
    <t>Sewer replacement (2021)</t>
  </si>
  <si>
    <t>200 Gal 300 kBTU/hr</t>
  </si>
  <si>
    <t>Natural Gas, 100 gallons, 200 MBH, non condensing</t>
  </si>
  <si>
    <t>100 Gal and 310 kBTU/hr</t>
  </si>
  <si>
    <t>1 118 gal18 kW tanks 1 instahot 0.75 kW</t>
  </si>
  <si>
    <t>120 Gallon NG tank, non condensing, 199 MBH</t>
  </si>
  <si>
    <t>75gal gas dhw (1)</t>
  </si>
  <si>
    <t>Natural Gas, 100 gallons, 150 MBH, condensing</t>
  </si>
  <si>
    <t>238 Gal and 399.8 kBTU/hr</t>
  </si>
  <si>
    <t>tank style gas dhw (2), 120 gal, 130 MBH each, condensing</t>
  </si>
  <si>
    <t>75 gal and 199.9 kBTU/hr</t>
  </si>
  <si>
    <t>200 gal, 400 kBTU/hr</t>
  </si>
  <si>
    <t>Electric dhw 120gal</t>
  </si>
  <si>
    <t>Exterior enclosure (2024 - 2025)
Pipe replacement (2020 - 2021)
Roof replacement (2023 - 2024)</t>
  </si>
  <si>
    <t>130 gallons; 291 MBH</t>
  </si>
  <si>
    <t>240 gal, 13.5 kW</t>
  </si>
  <si>
    <t>100gal gas dhw (1)
50gal gas dhw (1)</t>
  </si>
  <si>
    <t>Electric DHW tank (4kW, 120 Gallons)</t>
  </si>
  <si>
    <t>gas dhw (1) (showers)</t>
  </si>
  <si>
    <t>670 kBTU/hr</t>
  </si>
  <si>
    <t>DHW from Boilers, 
electric 80gal onsite but used for backup</t>
  </si>
  <si>
    <t>Skylight replacement (2026)</t>
  </si>
  <si>
    <t>85 Gal and 500 kBTU/hr</t>
  </si>
  <si>
    <t>South Operation Center - Main Building (Parking Lot)</t>
  </si>
  <si>
    <t>200 Gal and 720 kBTU/hr</t>
  </si>
  <si>
    <t>DHW from Boilers, 
electric 120gal onsite but shut off</t>
  </si>
  <si>
    <t>Combined boiler/tank 2,000 MBH input, likely less than 50% efficient.</t>
  </si>
  <si>
    <t>74 Gal and 75 kBTU/hr</t>
  </si>
  <si>
    <t>90 Gal and 230 kBTU/hr</t>
  </si>
  <si>
    <t>DHW from boiler w/ Solar Pre-heat</t>
  </si>
  <si>
    <t>Roof replacement (2023 - 2024)</t>
  </si>
  <si>
    <t>240 gal, 24 kW</t>
  </si>
  <si>
    <t>electric DHW per audit notes</t>
  </si>
  <si>
    <t>Repaint metal exterior (2024 - 2025)
Roof replacement (2023 - 2024)</t>
  </si>
  <si>
    <t>500 gal, 660 kBTU/hr</t>
  </si>
  <si>
    <t>250 gal, 600 kBTU/hr</t>
  </si>
  <si>
    <t>Exhaust Fan Replacement (2020 - 2022)</t>
  </si>
  <si>
    <t>300 Gal and 398 kBTU/hr</t>
  </si>
  <si>
    <t>1 natural gas (60 gallons) in Artist Studios, 1 Electric in SE offices, 1 gas in NE offices</t>
  </si>
  <si>
    <t>2x 90 gallons gas</t>
  </si>
  <si>
    <t>Elevator Rehab (2025 - 2026)</t>
  </si>
  <si>
    <t>75 gal, 370 kbtu/hr
50 gal, 9 kWh</t>
  </si>
  <si>
    <t>Fire Protection Renewal (2024 -2025)</t>
  </si>
  <si>
    <t>282 gal and 440.1 kBTU/hr</t>
  </si>
  <si>
    <t>Multiple gas tank style hot water heaters</t>
  </si>
  <si>
    <t>2 on-demand gas DHW heaters, washer for rubber goods</t>
  </si>
  <si>
    <t>Roof replacement (2021 - 2022)
Exterior Enclosure (2021 - 2022)
Conveying Renewal (2024 - 2025)
Electrical renewal (2024 - 2025)
Mezzanine, grand staircase, and plaza restoration (2020 - 2024)</t>
  </si>
  <si>
    <t>200 gal and 500 kBTU/hr (Natgas)
300 gal, 210 kW (Elec)</t>
  </si>
  <si>
    <t>DHW1: 100 Gal, 150kBTU/hr,  DHW2: 6 Gal, 18.8kBTU/hr, DHW3: 6 Gal, 18.8 kBTU/hr, DHW4: 6 Gal, 18.8 kBTU/hr, DHW5: Thankless, 5.6 kBTU/hr, DHW6: Tankless, 5.6 kBTU/hr</t>
  </si>
  <si>
    <t>SeaPark Garage</t>
  </si>
  <si>
    <t>Blinds repair/replace (2026 - 2027)
Exterior enclosure (2027)
Roof replacement (2022 - 2023)
Vestibule door replacement (2020 - 2021)</t>
  </si>
  <si>
    <t>500 gal and 2000 kBTU/hr</t>
  </si>
  <si>
    <t>Weatherization Phases 3-6 (2020 - 2026)
Outside Air damper (2025 - 2026)
Fire Protection Rehab (2024 - 2026)</t>
  </si>
  <si>
    <t>2294 gal, 405 kW</t>
  </si>
  <si>
    <t>Building Sq Ft</t>
  </si>
  <si>
    <t>gas 2019 weather norm (therms)</t>
  </si>
  <si>
    <t>steam 2019 weather norm (kBtu)</t>
  </si>
  <si>
    <t>electricity 2019 weather norm (kWh)</t>
  </si>
  <si>
    <t>electricity 
post electrification 
 (kWh)</t>
  </si>
  <si>
    <t>gas 
post electrification 
(therms)</t>
  </si>
  <si>
    <t>Similar to Comm Building Grants</t>
  </si>
  <si>
    <t>Yes</t>
  </si>
  <si>
    <t xml:space="preserve">https://portfoliomanager.energystar.gov/pdf/reference/Thermal%20Conversions.pdf </t>
  </si>
  <si>
    <t>GHG Savings per Unit</t>
  </si>
  <si>
    <t>From: NREL's ResStock Analysis</t>
  </si>
  <si>
    <t>State Level Residential Building Stock and Energy Efficiency &amp; Electrification Packages Analysis | Tableau Public</t>
  </si>
  <si>
    <t>State</t>
  </si>
  <si>
    <t>WA</t>
  </si>
  <si>
    <t xml:space="preserve">Climate Zone </t>
  </si>
  <si>
    <t>4C</t>
  </si>
  <si>
    <t>Enhanced enclosure upgrade with heat pump water heater and high efficiency heat pump with electric backup</t>
  </si>
  <si>
    <t>Multifamily with 5+ units</t>
  </si>
  <si>
    <t>AMI</t>
  </si>
  <si>
    <t>Under 80%</t>
  </si>
  <si>
    <t>NOAH Whole-building Decarbonization for Multifamily Buildings</t>
  </si>
  <si>
    <t>Emissions Savings Per Unit</t>
  </si>
  <si>
    <t>kgCO2e/yr</t>
  </si>
  <si>
    <t>MTCO2e/yr</t>
  </si>
  <si>
    <t>Electricity Savings Per Unit</t>
  </si>
  <si>
    <t>kWh/yr</t>
  </si>
  <si>
    <t>therms/yr</t>
  </si>
  <si>
    <t>Gas Savings Per Unit</t>
  </si>
  <si>
    <r>
      <t>Measure Implementation Assumptions</t>
    </r>
    <r>
      <rPr>
        <sz val="11"/>
        <color theme="1"/>
        <rFont val="Calibri"/>
        <family val="2"/>
        <scheme val="minor"/>
      </rPr>
      <t xml:space="preserve"> </t>
    </r>
  </si>
  <si>
    <t xml:space="preserve">GHG Reduction  Estimate Assumptions </t>
  </si>
  <si>
    <t>ResStock Intervention:</t>
  </si>
  <si>
    <t>Buildings Retrofitted</t>
  </si>
  <si>
    <t>Average Units/Building</t>
  </si>
  <si>
    <t>Units</t>
  </si>
  <si>
    <t>Retrofits by Program Year</t>
  </si>
  <si>
    <t>Year</t>
  </si>
  <si>
    <t>Program Year</t>
  </si>
  <si>
    <t>Cumulative Retrofits</t>
  </si>
  <si>
    <t>Cumulative Units</t>
  </si>
  <si>
    <t xml:space="preserve"> </t>
  </si>
  <si>
    <t>GHG Savings in Year (MTCO2e/yr)</t>
  </si>
  <si>
    <t>Cumulative GHG Savings (MTCO2e/yr)</t>
  </si>
  <si>
    <t>GHG Emissions Reduced</t>
  </si>
  <si>
    <t>2025-2030</t>
  </si>
  <si>
    <t>2025-2050</t>
  </si>
  <si>
    <t>Cumulative Reductions 2025-2050 
MT CO2e</t>
  </si>
  <si>
    <t>Multifamily Technical Assistance</t>
  </si>
  <si>
    <t xml:space="preserve">It is currently estimated that roughly 50 buildings would pursue decarbonization with this technical assistance. For GHG reduction estimates, this figure is reduced by roughly one-third (36%) to 32, under the assumption that some buildings would pursue decarbonization independently, but these buildings owners may use this technical assistance to guide decision-making. </t>
  </si>
  <si>
    <t>Whole Building</t>
  </si>
  <si>
    <t>Technical Assistance</t>
  </si>
  <si>
    <t>HPWH Replacement</t>
  </si>
  <si>
    <t>HPWH Installs</t>
  </si>
  <si>
    <t>Cumulative Installs</t>
  </si>
  <si>
    <t>Heat Pump Water Heater Installs</t>
  </si>
  <si>
    <t>Heat pump water heater</t>
  </si>
  <si>
    <t xml:space="preserve">Cumulative Units Served </t>
  </si>
  <si>
    <t xml:space="preserve">Effective Useful Life </t>
  </si>
  <si>
    <t>Years</t>
  </si>
  <si>
    <t>Savings claimed by program fall off as equipment replacements occur at 20 years</t>
  </si>
  <si>
    <t>Energy Efficiency and Electrification Upgrade</t>
  </si>
  <si>
    <t>Enhanced enclosure upgrade with heat pump water heater and high efficiency heat pump with electric back up</t>
  </si>
  <si>
    <t>Certainty of Results</t>
  </si>
  <si>
    <t>Very Good</t>
  </si>
  <si>
    <t>Bill Saving Average [USD]</t>
  </si>
  <si>
    <t>Emission Saving Average [kgCO2e]</t>
  </si>
  <si>
    <t>Energy Saving Average [MMBtu]</t>
  </si>
  <si>
    <t>ResStock Modeled Outcomes</t>
  </si>
  <si>
    <t xml:space="preserve">Source: https://public.tableau.com/app/profile/nrel.buildingstock/viz/StateLevelResidentialBuildingStockandEnergyEfficiencyElectrificationPackagesAnalysis/Introduction </t>
  </si>
  <si>
    <t>Inputs</t>
  </si>
  <si>
    <t>Climate Zone</t>
  </si>
  <si>
    <t>Single Family Detached</t>
  </si>
  <si>
    <t xml:space="preserve">Heating Fuel </t>
  </si>
  <si>
    <t>Natural Gas</t>
  </si>
  <si>
    <t>Gas furnace</t>
  </si>
  <si>
    <t>Gas storage DHW</t>
  </si>
  <si>
    <t>Emission Saving Average [MTCO2e]</t>
  </si>
  <si>
    <t>Life of Equipment</t>
  </si>
  <si>
    <t>years</t>
  </si>
  <si>
    <t>Reference Case</t>
  </si>
  <si>
    <t>Heating System</t>
  </si>
  <si>
    <t>Hot Water Heating</t>
  </si>
  <si>
    <t xml:space="preserve">MUNICIPAL 
Community Grants </t>
  </si>
  <si>
    <t xml:space="preserve">COMMUNITY ORGs
Community Grants </t>
  </si>
  <si>
    <t>Small Commercial Under 10k SF</t>
  </si>
  <si>
    <t>Uses actual existing energy use data from 23 community buildings in Seattle between 1,500 sf and 10K sf, along with engineering estimates and pricing from City of Seattle municipal electrification planning work.</t>
  </si>
  <si>
    <t>on demand or storage gas DHW ranging from 50 gal to 2x90 gal</t>
  </si>
  <si>
    <t>Gas-fired DHW 50 gallon tank</t>
  </si>
  <si>
    <t>Gas boiler and chiller</t>
  </si>
  <si>
    <t>Packaged roof top unit (PRTU) gas pack</t>
  </si>
  <si>
    <t>Replace PRTU gas packs with PRTU heat pumps</t>
  </si>
  <si>
    <t>Expected Useful Life</t>
  </si>
  <si>
    <t>Year 3 Total
MT CO2 (2027)</t>
  </si>
  <si>
    <t>Year 2
Total
MT CO2 (2026)</t>
  </si>
  <si>
    <t>% of Costs (and GHG savings) covered by program</t>
  </si>
  <si>
    <t>Community Grants</t>
  </si>
  <si>
    <t>15 grants covering an average of 40% of retrofits in buildings such as libraries, community cetners, senior centers</t>
  </si>
  <si>
    <t>40 grants covering between 75% and 100% of retrofits in small commercial buildings up to 10,000 sf</t>
  </si>
  <si>
    <t>150 retrofits with full cost coverage</t>
  </si>
  <si>
    <t>Community Grant Programs</t>
  </si>
  <si>
    <t>Community Grants - Municipal</t>
  </si>
  <si>
    <t>Community Grants - Community</t>
  </si>
  <si>
    <t>Post - PER BUILDING</t>
  </si>
  <si>
    <t># grants</t>
  </si>
  <si>
    <t>ResStock Model Inputs</t>
  </si>
  <si>
    <t>Heating Fuel</t>
  </si>
  <si>
    <t>Gas</t>
  </si>
  <si>
    <t>Total</t>
  </si>
  <si>
    <r>
      <t xml:space="preserve">Uses actual existing energy use data from libraries and engineering estimates and pricing from City of Seattle municipal electrification planning work. Use </t>
    </r>
    <r>
      <rPr>
        <b/>
        <sz val="11"/>
        <color theme="1"/>
        <rFont val="Calibri"/>
        <family val="2"/>
        <scheme val="minor"/>
      </rPr>
      <t>median</t>
    </r>
    <r>
      <rPr>
        <sz val="11"/>
        <color theme="1"/>
        <rFont val="Calibri"/>
        <family val="2"/>
        <scheme val="minor"/>
      </rPr>
      <t xml:space="preserve"> example of Seattle study of electrifying 20 libraries (Columbia Branch)</t>
    </r>
  </si>
  <si>
    <t>Total Measure Cost</t>
  </si>
  <si>
    <t>Cost Effectiveness of GHG Reductions ($/MTCO2e) </t>
  </si>
  <si>
    <t>Existing Multifamily Electrification and Efficiency</t>
  </si>
  <si>
    <t>Small Community Building Electrification and Efficiency</t>
  </si>
  <si>
    <t>Circular Economy Salvaged Lumber and Reuse</t>
  </si>
  <si>
    <t>Scaling Financing for Building Retrofits</t>
  </si>
  <si>
    <t>Greenhouse Gas Inventory and Tracking in Portfolio Manager (energystar.gov)</t>
  </si>
  <si>
    <t>kg/Mbtu</t>
  </si>
  <si>
    <t>Assumptions:</t>
  </si>
  <si>
    <t>Number of retrofit projects supported</t>
  </si>
  <si>
    <t>Multifamily 5+ units</t>
  </si>
  <si>
    <t>Small commercial</t>
  </si>
  <si>
    <t xml:space="preserve">Multifamily </t>
  </si>
  <si>
    <t>Measure</t>
  </si>
  <si>
    <t>Program Attribution</t>
  </si>
  <si>
    <t>2 years</t>
  </si>
  <si>
    <t>GHG Savings 2026</t>
  </si>
  <si>
    <t>GHG Savings 2027</t>
  </si>
  <si>
    <t>GHG Savings 2028</t>
  </si>
  <si>
    <t>GHG Savings 2029</t>
  </si>
  <si>
    <t>GHG Savings 2030</t>
  </si>
  <si>
    <t>After Intervention</t>
  </si>
  <si>
    <t>Commercial</t>
  </si>
  <si>
    <t>Emissions savings increase as clean electricity standard goes into effect</t>
  </si>
  <si>
    <t>COMMERCIAL Buildings Retrofitted</t>
  </si>
  <si>
    <t>Cumulative COMMERCIAL Buildings Retrofitted</t>
  </si>
  <si>
    <t>Program Savings Claimed</t>
  </si>
  <si>
    <t>MULTIFAMILY Buildings Retrofitted</t>
  </si>
  <si>
    <t>Cumulative MULTIFAMILY Units Retrofitted</t>
  </si>
  <si>
    <t>Program Savings Claimed (for 2 years)</t>
  </si>
  <si>
    <t>The Embodied CarbonCalculator used and adapated with permission from the Carbon Leadership Forum, based out of the University of Washington.</t>
  </si>
  <si>
    <t>Column Color Key:</t>
  </si>
  <si>
    <t>Data Provided By City</t>
  </si>
  <si>
    <t>User Input</t>
  </si>
  <si>
    <t>Caclulation Field</t>
  </si>
  <si>
    <t>Intenral CLF Assumption or Sourced from Other Data</t>
  </si>
  <si>
    <t>Row Color Key</t>
  </si>
  <si>
    <t>xx</t>
  </si>
  <si>
    <t>Fixed Field - CLF</t>
  </si>
  <si>
    <t>Fixed</t>
  </si>
  <si>
    <t>Variable</t>
  </si>
  <si>
    <t>Neutral</t>
  </si>
  <si>
    <t>User Input - User</t>
  </si>
  <si>
    <t xml:space="preserve">Placeholder field for review/feedbck - CLF </t>
  </si>
  <si>
    <t>Policy 1 - Low Carbon Concrete</t>
  </si>
  <si>
    <t>If GWP reduction or intensity limits are set on concrete for X building types, you could save XXX tons of carbon by 2050.</t>
  </si>
  <si>
    <t>2026-2030</t>
  </si>
  <si>
    <t>(KC Unincorporated)</t>
  </si>
  <si>
    <t>1-4 Family</t>
  </si>
  <si>
    <t>Multifamily</t>
  </si>
  <si>
    <t>2031-2050</t>
  </si>
  <si>
    <t>ALL King County</t>
  </si>
  <si>
    <t>Single Fam Residential</t>
  </si>
  <si>
    <t xml:space="preserve">Projected Growth (sqft): </t>
  </si>
  <si>
    <t xml:space="preserve">2030 Projected Growth (m2): </t>
  </si>
  <si>
    <t xml:space="preserve">Projected Growth (m2): </t>
  </si>
  <si>
    <t>1. Baseline Scenario 2026 - 2030</t>
  </si>
  <si>
    <t>2. Custom Reduction Percentage 2026-2030</t>
  </si>
  <si>
    <t>3. Baseline Scenario 2031 - 2050</t>
  </si>
  <si>
    <t>4. Custom Reduction Percentage 2031-2050</t>
  </si>
  <si>
    <t>City</t>
  </si>
  <si>
    <t>Primary Building Use</t>
  </si>
  <si>
    <t>Size Type</t>
  </si>
  <si>
    <t>Percentage of Total Primary Area</t>
  </si>
  <si>
    <t>2026-2030 Area of Growth (m2)</t>
  </si>
  <si>
    <t>"Low"
Total Volume of Concrete (yd3)</t>
  </si>
  <si>
    <t>"High"
Total Volume of Concrete (yd3)</t>
  </si>
  <si>
    <t>2031-2050 Area of Growth (m2)</t>
  </si>
  <si>
    <t>Concrete GWP Intensity (kgCO2e/yd3)</t>
  </si>
  <si>
    <t>"Low" Concrete GWP (kgCO2e)</t>
  </si>
  <si>
    <t>"Low" Concrete GWP Converted (mtCO2e)</t>
  </si>
  <si>
    <t>"High" Concrete GWP (kgCO2e)</t>
  </si>
  <si>
    <t>"High" Concrete GWP Converted (mtCO2e)</t>
  </si>
  <si>
    <t xml:space="preserve"> "Low" GWP Reduction Amount (mtCO2e)</t>
  </si>
  <si>
    <t>"Low" Total after Reduction (mtCO2e)</t>
  </si>
  <si>
    <t xml:space="preserve"> "High" GWP Reduction Amount (mtCO2e)</t>
  </si>
  <si>
    <t>"High" Total after Reduction (mtCO2e)</t>
  </si>
  <si>
    <t>Description:</t>
  </si>
  <si>
    <t># of Stories above grade and/or size in sqft based on city provided data</t>
  </si>
  <si>
    <t>% of projected new construction for primary use type broken down by size type</t>
  </si>
  <si>
    <t>projected growth (per size type) in m2</t>
  </si>
  <si>
    <t>total volume of concrete per size type (city-specific) with by Low-Impact construction type mix (yd3)</t>
  </si>
  <si>
    <t>total volume of concrete per size type (city-specific) with by High-Impact construction type mix (yd3)</t>
  </si>
  <si>
    <t xml:space="preserve">NRMCA Average regional concrete mix design GWP intensity averaged by PSI blend for each construciton type </t>
  </si>
  <si>
    <t>Total GWP of Low-impact construction concrete from Volume of Concrete (x) Concrete GWP Intensity</t>
  </si>
  <si>
    <t>kgCO2e converted to metric tons</t>
  </si>
  <si>
    <t>Total GWP of High-impact construction concrete from Volume of Concrete (x) Concrete GWP Intensity</t>
  </si>
  <si>
    <t>Custom user selected reduction percentage</t>
  </si>
  <si>
    <t>Baseline GWP (x) Reduction percentage</t>
  </si>
  <si>
    <t>Total Baseline GWP (-) the GWP Reduction amount</t>
  </si>
  <si>
    <t>Source:</t>
  </si>
  <si>
    <t>Citation #6</t>
  </si>
  <si>
    <t>King County</t>
  </si>
  <si>
    <t>Single Family</t>
  </si>
  <si>
    <t>Single Family Total:</t>
  </si>
  <si>
    <t>Low Rise 1-5</t>
  </si>
  <si>
    <t>Mid Rise 6-10</t>
  </si>
  <si>
    <t>High Rise &gt;10</t>
  </si>
  <si>
    <t>Mutlifamily Total:</t>
  </si>
  <si>
    <t>Commercial Total:</t>
  </si>
  <si>
    <t>KC Total:</t>
  </si>
  <si>
    <t>Total Baseline GWP "Low" (mtCO2e)</t>
  </si>
  <si>
    <t>mtCO2e</t>
  </si>
  <si>
    <t>Total Baseline GWP "High" (mtCO2e)</t>
  </si>
  <si>
    <t>Carbon Saved "Low" (mtCO2e):</t>
  </si>
  <si>
    <t>Carbon Saved "High" (mtCO2e):</t>
  </si>
  <si>
    <t>Notes/Questions:</t>
  </si>
  <si>
    <t>Final version of this tool could autopoulate concrete GWP intensities per region</t>
  </si>
  <si>
    <t>Another option would be to allow users to play around with the amount of growth per typology to see the impacts</t>
  </si>
  <si>
    <t>*Units on every cell</t>
  </si>
  <si>
    <t>** GWP time dependence</t>
  </si>
  <si>
    <t>Structural System Assumptions for Building Category and Volume Takeoff</t>
  </si>
  <si>
    <t xml:space="preserve">*Showing both "Low Range" and "High Range" scenarios for each typology. These are my assumptions based on building typology and city. </t>
  </si>
  <si>
    <t>KC - Multi Family Low Rise 1-5 (2025 - 2030)</t>
  </si>
  <si>
    <t>KC - Multi Family Mid Rise 6-10 (2025 - 2030)</t>
  </si>
  <si>
    <t>KC - Multi Family High Rise &gt;10 (2026 - 2030)</t>
  </si>
  <si>
    <t>Low Impact</t>
  </si>
  <si>
    <t>High Impact</t>
  </si>
  <si>
    <t>Percent of Total</t>
  </si>
  <si>
    <t>Area</t>
  </si>
  <si>
    <t>Total Volume</t>
  </si>
  <si>
    <t>Steel Framed</t>
  </si>
  <si>
    <t>Concrete</t>
  </si>
  <si>
    <t>Hybrid (High Rise)</t>
  </si>
  <si>
    <t>Wood Light Frame</t>
  </si>
  <si>
    <t>Wood Mass Timber</t>
  </si>
  <si>
    <t>Background Data:</t>
  </si>
  <si>
    <t>Concrete Volume Factors</t>
  </si>
  <si>
    <t>KC - Multi Family Low Rise 1-5 (2031 - 2050)</t>
  </si>
  <si>
    <t>KC - Multi Family Mid Rise 6-10 (2031 - 2050)</t>
  </si>
  <si>
    <t>KC - Multi Family High Rise &gt;10 (2031 - 2050)</t>
  </si>
  <si>
    <t>*From EPIC / Tally Averages</t>
  </si>
  <si>
    <t>Type</t>
  </si>
  <si>
    <t>yd3/m2</t>
  </si>
  <si>
    <t>KC Commercial - Low Rise 1-5 (2025 - 2030)</t>
  </si>
  <si>
    <t>KC Commercial - Mid Rise 6-10 (2025 - 2030)</t>
  </si>
  <si>
    <t>KC - High Rise &gt;10 (2025 - 2030)</t>
  </si>
  <si>
    <t xml:space="preserve"> Concrete GWP Factors Factors</t>
  </si>
  <si>
    <t>*NRMCA by region and averaged per CLF building type and PSI</t>
  </si>
  <si>
    <t>NRMCA PNW (kgCO2e/yd3)</t>
  </si>
  <si>
    <t>CLF Typologies</t>
  </si>
  <si>
    <t>Average</t>
  </si>
  <si>
    <t>1-7 Story</t>
  </si>
  <si>
    <t>&gt;7 Story</t>
  </si>
  <si>
    <t>Very Large (High Rise)</t>
  </si>
  <si>
    <t>KC Commercial - Low Rise 1-5 (2031 - 2050)</t>
  </si>
  <si>
    <t>KC Commercial - Mid Rise 6-10 (2031 - 2050)</t>
  </si>
  <si>
    <t>KC - High Rise &gt;10 (2031 - 2050)</t>
  </si>
  <si>
    <t>KC Single Family (2025 - 2030)</t>
  </si>
  <si>
    <t>KC Single Family (2031-2050)</t>
  </si>
  <si>
    <t>Drop Downs</t>
  </si>
  <si>
    <t>% Reduction</t>
  </si>
  <si>
    <t>Sensitivity Analysis</t>
  </si>
  <si>
    <t>Region</t>
  </si>
  <si>
    <t>Ratio Low to High</t>
  </si>
  <si>
    <t>PNW</t>
  </si>
  <si>
    <t>1 - 5</t>
  </si>
  <si>
    <t>6 - 10</t>
  </si>
  <si>
    <t>&gt; 10</t>
  </si>
  <si>
    <t>Model</t>
  </si>
  <si>
    <t>Structure</t>
  </si>
  <si>
    <t>A01</t>
  </si>
  <si>
    <t>Steel</t>
  </si>
  <si>
    <t>Volume of Concrete</t>
  </si>
  <si>
    <t>GWP of Concrete</t>
  </si>
  <si>
    <t>A02</t>
  </si>
  <si>
    <t>CLF Calculator</t>
  </si>
  <si>
    <t>Tally Results</t>
  </si>
  <si>
    <t>* on average over estimating concrete volume for steel structures</t>
  </si>
  <si>
    <t>A03</t>
  </si>
  <si>
    <t>volume yd3</t>
  </si>
  <si>
    <t>volume converted m3</t>
  </si>
  <si>
    <t>volume  m3</t>
  </si>
  <si>
    <t>% difference</t>
  </si>
  <si>
    <t>Conc GWP kgco2e</t>
  </si>
  <si>
    <t>* on average under estimating CECI for Steel structures</t>
  </si>
  <si>
    <t>A05</t>
  </si>
  <si>
    <t>A06</t>
  </si>
  <si>
    <t>A07</t>
  </si>
  <si>
    <t>A18</t>
  </si>
  <si>
    <t>Steel conc hyb</t>
  </si>
  <si>
    <t>A09</t>
  </si>
  <si>
    <t>A17</t>
  </si>
  <si>
    <t>* on average over estimating concrete volume for concrete structures</t>
  </si>
  <si>
    <t>A19</t>
  </si>
  <si>
    <t>* on average under estimating CECI for concrete structures</t>
  </si>
  <si>
    <t>A20</t>
  </si>
  <si>
    <t>A34</t>
  </si>
  <si>
    <t>A45</t>
  </si>
  <si>
    <t>A65</t>
  </si>
  <si>
    <t>A13</t>
  </si>
  <si>
    <t>LWF</t>
  </si>
  <si>
    <t>A36</t>
  </si>
  <si>
    <t>A48</t>
  </si>
  <si>
    <t>* on average under estimating concrete volume for LWF structures</t>
  </si>
  <si>
    <t>A51</t>
  </si>
  <si>
    <t>* on average under estimating CECI for LWF structures</t>
  </si>
  <si>
    <t>A57</t>
  </si>
  <si>
    <t>A58</t>
  </si>
  <si>
    <t>A63</t>
  </si>
  <si>
    <t>Low Carbon Concrete</t>
  </si>
  <si>
    <t>Seattle</t>
  </si>
  <si>
    <t>Seattle - Multi Family Low Rise 1-5 (2025 - 2030)</t>
  </si>
  <si>
    <t>Seattle - Multi Family Mid Rise 6-10 (2025 - 2030)</t>
  </si>
  <si>
    <t>Seattle - Multi Family High Rise &gt;10 (2026 - 2030)</t>
  </si>
  <si>
    <t>Seattle - Multi Family Low Rise 1-5 (2031 - 2050)</t>
  </si>
  <si>
    <t>Seattle - Multi Family Mid Rise 6-10 (2031 - 2050)</t>
  </si>
  <si>
    <t>Seattle - Multi Family High Rise &gt;10 (2031 - 2050)</t>
  </si>
  <si>
    <t>Seattle Commercial - Low Rise 1-5 (2025 - 2030)</t>
  </si>
  <si>
    <t>Seattle Commercial - Mid Rise 6-10 (2025 - 2030)</t>
  </si>
  <si>
    <t>Seattle - High Rise &gt;10 (2025 - 2030)</t>
  </si>
  <si>
    <t>Concrete GWP Factors Factors</t>
  </si>
  <si>
    <t>Seattle Commercial - Low Rise 1-5 (2031 - 2050)</t>
  </si>
  <si>
    <t>Seattle Commercial - Mid Rise 6-10 (2031 - 2050)</t>
  </si>
  <si>
    <t>Seattle - High Rise &gt;10 (2031 - 2050)</t>
  </si>
  <si>
    <t>Seattle Single Family (2025 - 2030)</t>
  </si>
  <si>
    <t>Seattle Single Family (2031-2050)</t>
  </si>
  <si>
    <t>Assumption: there are 101,000 tons of salvaged lumber under KC flow control  - which is the only salvaged lumber for which KC can probably claim ghg credits</t>
  </si>
  <si>
    <t>Percentage of outputs yielded from WARM v16 calculations</t>
  </si>
  <si>
    <r>
      <t xml:space="preserve">Annual Diversion to Reuse     </t>
    </r>
    <r>
      <rPr>
        <sz val="11"/>
        <color theme="1"/>
        <rFont val="Calibri"/>
        <family val="2"/>
        <scheme val="minor"/>
      </rPr>
      <t>a</t>
    </r>
    <r>
      <rPr>
        <i/>
        <sz val="11"/>
        <color theme="1"/>
        <rFont val="Calibri"/>
        <family val="2"/>
        <scheme val="minor"/>
      </rPr>
      <t xml:space="preserve">ttributed to CPRG funds only </t>
    </r>
  </si>
  <si>
    <t>50% of KC FLOW CONTROL TONS ONLY  (i.e., 51,000 tons)</t>
  </si>
  <si>
    <t xml:space="preserve">Scenario: 50% recycled </t>
  </si>
  <si>
    <t xml:space="preserve">Scenario: 50% source reduced </t>
  </si>
  <si>
    <t>Sources: WARM v16 template, using wood 51,000 tons recycled + 51,000 source reduced. This assumes that the 51,000 recycled goal by 2050 will also, after being refurbished into new products, effectively replace 51,000 tons of virgin lumber materials in the market.</t>
  </si>
  <si>
    <t>ESTIMATED ENVIRONMENTAL &amp; HUMAN HEALTH IMPACTS FROM EIGHT METHODS FOR MANAGING CLEAN WOOD WASTES</t>
  </si>
  <si>
    <t>Life Cycle Environmental &amp; Human Health Impact Potentials from Pollutant Emissions                                                               Associated with Managing Clean Wood Waste Discards [pounds per short ton wood waste]</t>
  </si>
  <si>
    <t>Estimated Damage Cost Per Ton of Discarded Wood Waste</t>
  </si>
  <si>
    <t>Climate</t>
  </si>
  <si>
    <t>Human Health</t>
  </si>
  <si>
    <t>Water Eutrophication</t>
  </si>
  <si>
    <t>Acidification</t>
  </si>
  <si>
    <t>Ecosystem Toxicity</t>
  </si>
  <si>
    <t>Ozone Depletion</t>
  </si>
  <si>
    <t>Smog Formation</t>
  </si>
  <si>
    <t>Respiratory</t>
  </si>
  <si>
    <t>Non-Cancer</t>
  </si>
  <si>
    <t>Cancer</t>
  </si>
  <si>
    <t>Impact Characterization Pollutant</t>
  </si>
  <si>
    <r>
      <t>CO</t>
    </r>
    <r>
      <rPr>
        <b/>
        <vertAlign val="subscript"/>
        <sz val="11"/>
        <color theme="1"/>
        <rFont val="Calibri"/>
        <family val="2"/>
        <scheme val="minor"/>
      </rPr>
      <t>2</t>
    </r>
    <r>
      <rPr>
        <b/>
        <sz val="11"/>
        <color theme="1"/>
        <rFont val="Calibri"/>
        <family val="2"/>
        <scheme val="minor"/>
      </rPr>
      <t xml:space="preserve"> equivalents</t>
    </r>
  </si>
  <si>
    <r>
      <t>PM</t>
    </r>
    <r>
      <rPr>
        <b/>
        <vertAlign val="subscript"/>
        <sz val="11"/>
        <color theme="1"/>
        <rFont val="Calibri"/>
        <family val="2"/>
        <scheme val="minor"/>
      </rPr>
      <t>2.5</t>
    </r>
    <r>
      <rPr>
        <b/>
        <sz val="11"/>
        <color theme="1"/>
        <rFont val="Calibri"/>
        <family val="2"/>
        <scheme val="minor"/>
      </rPr>
      <t xml:space="preserve"> equivalents</t>
    </r>
  </si>
  <si>
    <t>Toluene (T) equivalents</t>
  </si>
  <si>
    <t>Benzene (B) equivalents</t>
  </si>
  <si>
    <t>Nitrogen (N) equivalents</t>
  </si>
  <si>
    <r>
      <t>SO</t>
    </r>
    <r>
      <rPr>
        <b/>
        <vertAlign val="subscript"/>
        <sz val="11"/>
        <color theme="1"/>
        <rFont val="Calibri"/>
        <family val="2"/>
        <scheme val="minor"/>
      </rPr>
      <t>2</t>
    </r>
    <r>
      <rPr>
        <b/>
        <sz val="11"/>
        <color theme="1"/>
        <rFont val="Calibri"/>
        <family val="2"/>
        <scheme val="minor"/>
      </rPr>
      <t xml:space="preserve"> equivalents</t>
    </r>
  </si>
  <si>
    <t>2,4-D equivalents</t>
  </si>
  <si>
    <t>CFC-11 equivalents</t>
  </si>
  <si>
    <r>
      <t>O</t>
    </r>
    <r>
      <rPr>
        <b/>
        <vertAlign val="subscript"/>
        <sz val="11"/>
        <color theme="1"/>
        <rFont val="Calibri"/>
        <family val="2"/>
        <scheme val="minor"/>
      </rPr>
      <t>3</t>
    </r>
    <r>
      <rPr>
        <b/>
        <sz val="11"/>
        <color theme="1"/>
        <rFont val="Calibri"/>
        <family val="2"/>
        <scheme val="minor"/>
      </rPr>
      <t xml:space="preserve"> equivalents</t>
    </r>
  </si>
  <si>
    <t>Damage Cost per Pound Emitted</t>
  </si>
  <si>
    <t>Management Method</t>
  </si>
  <si>
    <t>Reuse</t>
  </si>
  <si>
    <t xml:space="preserve">  -Sorting/Processing</t>
  </si>
  <si>
    <t>Reconstituted Wood</t>
  </si>
  <si>
    <t xml:space="preserve">  - Lumber/Plywood Production Offsets</t>
  </si>
  <si>
    <t>Papermaking Pulp</t>
  </si>
  <si>
    <t xml:space="preserve">          Net</t>
  </si>
  <si>
    <t>Landfill-75% LFG Capture</t>
  </si>
  <si>
    <t>WTE</t>
  </si>
  <si>
    <t>Recycling into Reconstituted Wood Products</t>
  </si>
  <si>
    <t>Composting</t>
  </si>
  <si>
    <t>Landfill-No LFG Capture</t>
  </si>
  <si>
    <t xml:space="preserve">  -Offsets for Virgin Wood Inputs</t>
  </si>
  <si>
    <t>Hog Fuel</t>
  </si>
  <si>
    <t>Recycling into Papermaking Pulp</t>
  </si>
  <si>
    <t xml:space="preserve">  -Offsets for Virgin Pulping Wood Inputs</t>
  </si>
  <si>
    <t>Aerobic Composting</t>
  </si>
  <si>
    <t xml:space="preserve">  -Composting Operations</t>
  </si>
  <si>
    <t xml:space="preserve">  -Biodegradation during Composting &amp; in Soils</t>
  </si>
  <si>
    <t>needs additional research</t>
  </si>
  <si>
    <t xml:space="preserve">  -Offsets for Increased Soil Quality</t>
  </si>
  <si>
    <t xml:space="preserve">  -Offsets for Avoided Fertilizer/Pesticides</t>
  </si>
  <si>
    <t>Landfill with 75% Landfill Gas Capture &amp; Power Generation</t>
  </si>
  <si>
    <t xml:space="preserve">  -Disposal Operations</t>
  </si>
  <si>
    <t xml:space="preserve">  -Biodegradation</t>
  </si>
  <si>
    <t xml:space="preserve">  -LFG Combustion</t>
  </si>
  <si>
    <t xml:space="preserve">  -Offsets for Electricity from Natural Gas</t>
  </si>
  <si>
    <t>Industrial Boiler/Furnace Combustion</t>
  </si>
  <si>
    <t xml:space="preserve">  -Combustion</t>
  </si>
  <si>
    <t xml:space="preserve">  -Offsets for Heat Energy from Natural Gas</t>
  </si>
  <si>
    <t>MSW Waste-to-Energy (WTE) Combustion</t>
  </si>
  <si>
    <t>Landfill with No Landfill Gas Capture</t>
  </si>
  <si>
    <t>Reference: "Morris-impacts-of-wood-waste-mgmt-methods-2019-05-01"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</si>
</sst>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_);\(&quot;$&quot;#,##0\)"/>
    <numFmt numFmtId="7" formatCode="&quot;$&quot;#,##0.00_);\(&quot;$&quot;#,##0.00\)"/>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00000"/>
    <numFmt numFmtId="168" formatCode="#,##0.000"/>
    <numFmt numFmtId="169" formatCode="&quot;$&quot;#,##0"/>
    <numFmt numFmtId="170" formatCode="0.0"/>
    <numFmt numFmtId="171" formatCode="0.0000"/>
    <numFmt numFmtId="172" formatCode="0.0%"/>
    <numFmt numFmtId="173" formatCode="#,##0.00000"/>
  </numFmts>
  <fonts count="29" x14ac:knownFonts="1">
    <font>
      <sz val="11"/>
      <color theme="1"/>
      <name val="Calibri"/>
      <family val="2"/>
      <scheme val="minor"/>
    </font>
    <font>
      <sz val="11"/>
      <color theme="1"/>
      <name val="Calibri"/>
      <family val="2"/>
      <scheme val="minor"/>
    </font>
    <font>
      <sz val="11"/>
      <color rgb="FFFF0000"/>
      <name val="Calibri"/>
      <family val="2"/>
      <scheme val="minor"/>
    </font>
    <font>
      <u/>
      <sz val="11"/>
      <color theme="10"/>
      <name val="Calibri"/>
      <family val="2"/>
      <scheme val="minor"/>
    </font>
    <font>
      <sz val="11"/>
      <color rgb="FF000000"/>
      <name val="Calibri"/>
      <family val="2"/>
      <scheme val="minor"/>
    </font>
    <font>
      <b/>
      <sz val="11"/>
      <color theme="1"/>
      <name val="Calibri"/>
      <family val="2"/>
      <scheme val="minor"/>
    </font>
    <font>
      <sz val="14"/>
      <color theme="1"/>
      <name val="Calibri"/>
      <family val="2"/>
      <scheme val="minor"/>
    </font>
    <font>
      <sz val="10"/>
      <color theme="2" tint="-0.499984740745262"/>
      <name val="Calibri"/>
      <family val="2"/>
      <scheme val="minor"/>
    </font>
    <font>
      <i/>
      <sz val="11"/>
      <color theme="1"/>
      <name val="Calibri"/>
      <family val="2"/>
      <scheme val="minor"/>
    </font>
    <font>
      <sz val="10"/>
      <color theme="1"/>
      <name val="Calibri"/>
      <family val="2"/>
      <scheme val="minor"/>
    </font>
    <font>
      <sz val="10"/>
      <color rgb="FF000000"/>
      <name val="Calibri"/>
      <family val="2"/>
      <scheme val="minor"/>
    </font>
    <font>
      <b/>
      <sz val="24"/>
      <color rgb="FF000000"/>
      <name val="Calibri"/>
      <family val="2"/>
    </font>
    <font>
      <b/>
      <sz val="10"/>
      <color theme="1"/>
      <name val="Calibri"/>
      <family val="2"/>
      <scheme val="minor"/>
    </font>
    <font>
      <b/>
      <sz val="9"/>
      <color theme="1"/>
      <name val="Calibri"/>
      <family val="2"/>
      <scheme val="minor"/>
    </font>
    <font>
      <sz val="9"/>
      <color theme="1"/>
      <name val="Calibri"/>
      <family val="2"/>
      <scheme val="minor"/>
    </font>
    <font>
      <b/>
      <u/>
      <sz val="12"/>
      <color theme="1"/>
      <name val="Calibri"/>
      <family val="2"/>
      <scheme val="minor"/>
    </font>
    <font>
      <i/>
      <sz val="10"/>
      <color theme="1"/>
      <name val="Calibri"/>
      <family val="2"/>
      <scheme val="minor"/>
    </font>
    <font>
      <sz val="10"/>
      <name val="Arial"/>
      <family val="2"/>
    </font>
    <font>
      <b/>
      <sz val="9"/>
      <color rgb="FFFFFFFF"/>
      <name val="Calibri"/>
      <family val="2"/>
      <scheme val="minor"/>
    </font>
    <font>
      <i/>
      <sz val="9"/>
      <color theme="1"/>
      <name val="Calibri"/>
      <family val="2"/>
      <scheme val="minor"/>
    </font>
    <font>
      <sz val="7"/>
      <color theme="1"/>
      <name val="Calibri"/>
      <family val="2"/>
      <scheme val="minor"/>
    </font>
    <font>
      <i/>
      <sz val="7"/>
      <color theme="1"/>
      <name val="Calibri"/>
      <family val="2"/>
      <scheme val="minor"/>
    </font>
    <font>
      <b/>
      <sz val="12"/>
      <color theme="1"/>
      <name val="Calibri"/>
      <family val="2"/>
      <scheme val="minor"/>
    </font>
    <font>
      <sz val="8"/>
      <color theme="1"/>
      <name val="Calibri"/>
      <family val="2"/>
      <scheme val="minor"/>
    </font>
    <font>
      <b/>
      <sz val="10"/>
      <color theme="1"/>
      <name val="Arial"/>
      <family val="2"/>
    </font>
    <font>
      <sz val="10"/>
      <color theme="1"/>
      <name val="Arial"/>
      <family val="2"/>
    </font>
    <font>
      <sz val="11"/>
      <color rgb="FFC00000"/>
      <name val="Calibri"/>
      <family val="2"/>
      <scheme val="minor"/>
    </font>
    <font>
      <b/>
      <vertAlign val="subscript"/>
      <sz val="11"/>
      <color theme="1"/>
      <name val="Calibri"/>
      <family val="2"/>
      <scheme val="minor"/>
    </font>
    <font>
      <u/>
      <sz val="11"/>
      <color theme="1"/>
      <name val="Calibri"/>
      <family val="2"/>
      <scheme val="minor"/>
    </font>
  </fonts>
  <fills count="35">
    <fill>
      <patternFill patternType="none"/>
    </fill>
    <fill>
      <patternFill patternType="gray125"/>
    </fill>
    <fill>
      <patternFill patternType="solid">
        <fgColor theme="2" tint="-0.249977111117893"/>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6FCCF"/>
        <bgColor rgb="FFF6FCCF"/>
      </patternFill>
    </fill>
    <fill>
      <patternFill patternType="solid">
        <fgColor rgb="FFF4CCCC"/>
        <bgColor rgb="FFF4CCCC"/>
      </patternFill>
    </fill>
    <fill>
      <patternFill patternType="solid">
        <fgColor theme="9"/>
        <bgColor theme="9"/>
      </patternFill>
    </fill>
    <fill>
      <patternFill patternType="solid">
        <fgColor theme="6"/>
        <bgColor theme="6"/>
      </patternFill>
    </fill>
    <fill>
      <patternFill patternType="solid">
        <fgColor rgb="FFD9D9D9"/>
        <bgColor rgb="FFD9D9D9"/>
      </patternFill>
    </fill>
    <fill>
      <patternFill patternType="solid">
        <fgColor rgb="FFF3F3F3"/>
        <bgColor rgb="FFF3F3F3"/>
      </patternFill>
    </fill>
    <fill>
      <patternFill patternType="solid">
        <fgColor rgb="FFFFFFFF"/>
        <bgColor rgb="FFFFFFFF"/>
      </patternFill>
    </fill>
    <fill>
      <patternFill patternType="solid">
        <fgColor rgb="FFE6B8AF"/>
        <bgColor rgb="FFE6B8AF"/>
      </patternFill>
    </fill>
    <fill>
      <patternFill patternType="solid">
        <fgColor rgb="FF666666"/>
        <bgColor rgb="FF666666"/>
      </patternFill>
    </fill>
    <fill>
      <patternFill patternType="solid">
        <fgColor rgb="FF00FFFF"/>
        <bgColor rgb="FF00FFFF"/>
      </patternFill>
    </fill>
    <fill>
      <patternFill patternType="solid">
        <fgColor rgb="FFB7B7B7"/>
        <bgColor rgb="FFB7B7B7"/>
      </patternFill>
    </fill>
    <fill>
      <patternFill patternType="solid">
        <fgColor theme="5" tint="0.79998168889431442"/>
        <bgColor rgb="FFCFE2F3"/>
      </patternFill>
    </fill>
    <fill>
      <patternFill patternType="solid">
        <fgColor theme="5" tint="0.79998168889431442"/>
        <bgColor indexed="64"/>
      </patternFill>
    </fill>
    <fill>
      <patternFill patternType="solid">
        <fgColor theme="7" tint="0.79998168889431442"/>
        <bgColor rgb="FFCFE2F3"/>
      </patternFill>
    </fill>
    <fill>
      <patternFill patternType="solid">
        <fgColor theme="7" tint="0.79998168889431442"/>
        <bgColor indexed="64"/>
      </patternFill>
    </fill>
    <fill>
      <patternFill patternType="solid">
        <fgColor rgb="FFCFE2F3"/>
        <bgColor rgb="FFCFE2F3"/>
      </patternFill>
    </fill>
    <fill>
      <patternFill patternType="solid">
        <fgColor rgb="FFEFEFEF"/>
        <bgColor rgb="FFEFEFEF"/>
      </patternFill>
    </fill>
    <fill>
      <patternFill patternType="solid">
        <fgColor rgb="FFFFF2CC"/>
        <bgColor rgb="FFFFF2CC"/>
      </patternFill>
    </fill>
    <fill>
      <patternFill patternType="solid">
        <fgColor rgb="FFFCE5CD"/>
        <bgColor rgb="FFFCE5CD"/>
      </patternFill>
    </fill>
    <fill>
      <patternFill patternType="solid">
        <fgColor rgb="FFFFFF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top style="thick">
        <color auto="1"/>
      </top>
      <bottom/>
      <diagonal/>
    </border>
    <border>
      <left style="thick">
        <color auto="1"/>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auto="1"/>
      </left>
      <right/>
      <top/>
      <bottom/>
      <diagonal/>
    </border>
    <border>
      <left style="medium">
        <color indexed="64"/>
      </left>
      <right/>
      <top style="medium">
        <color indexed="64"/>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top/>
      <bottom style="thick">
        <color rgb="FF000000"/>
      </bottom>
      <diagonal/>
    </border>
    <border>
      <left style="thick">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style="thick">
        <color rgb="FF000000"/>
      </top>
      <bottom/>
      <diagonal/>
    </border>
    <border>
      <left/>
      <right style="thick">
        <color rgb="FF000000"/>
      </right>
      <top style="thick">
        <color rgb="FF000000"/>
      </top>
      <bottom/>
      <diagonal/>
    </border>
    <border>
      <left style="thick">
        <color rgb="FF000000"/>
      </left>
      <right/>
      <top style="thin">
        <color rgb="FF000000"/>
      </top>
      <bottom/>
      <diagonal/>
    </border>
    <border>
      <left/>
      <right style="medium">
        <color rgb="FF000000"/>
      </right>
      <top style="thin">
        <color rgb="FF000000"/>
      </top>
      <bottom/>
      <diagonal/>
    </border>
    <border>
      <left style="thick">
        <color rgb="FF000000"/>
      </left>
      <right/>
      <top/>
      <bottom/>
      <diagonal/>
    </border>
    <border>
      <left/>
      <right style="thick">
        <color rgb="FF000000"/>
      </right>
      <top/>
      <bottom/>
      <diagonal/>
    </border>
    <border>
      <left style="thick">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ck">
        <color rgb="FF000000"/>
      </left>
      <right/>
      <top/>
      <bottom style="thick">
        <color rgb="FF000000"/>
      </bottom>
      <diagonal/>
    </border>
    <border>
      <left/>
      <right style="thin">
        <color rgb="FF000000"/>
      </right>
      <top/>
      <bottom style="thick">
        <color rgb="FF000000"/>
      </bottom>
      <diagonal/>
    </border>
    <border>
      <left style="thin">
        <color rgb="FF000000"/>
      </left>
      <right/>
      <top/>
      <bottom style="thick">
        <color rgb="FF000000"/>
      </bottom>
      <diagonal/>
    </border>
    <border>
      <left/>
      <right style="medium">
        <color rgb="FF000000"/>
      </right>
      <top/>
      <bottom style="thick">
        <color rgb="FF000000"/>
      </bottom>
      <diagonal/>
    </border>
    <border>
      <left style="medium">
        <color rgb="FF000000"/>
      </left>
      <right/>
      <top/>
      <bottom style="thick">
        <color rgb="FF000000"/>
      </bottom>
      <diagonal/>
    </border>
    <border>
      <left/>
      <right style="thick">
        <color rgb="FF000000"/>
      </right>
      <top/>
      <bottom style="thick">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medium">
        <color auto="1"/>
      </right>
      <top/>
      <bottom style="medium">
        <color auto="1"/>
      </bottom>
      <diagonal/>
    </border>
    <border>
      <left style="medium">
        <color auto="1"/>
      </left>
      <right style="medium">
        <color auto="1"/>
      </right>
      <top/>
      <bottom style="medium">
        <color auto="1"/>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0" fillId="0" borderId="0"/>
  </cellStyleXfs>
  <cellXfs count="453">
    <xf numFmtId="0" fontId="0" fillId="0" borderId="0" xfId="0"/>
    <xf numFmtId="0" fontId="0" fillId="0" borderId="0" xfId="0" applyAlignment="1">
      <alignment wrapText="1"/>
    </xf>
    <xf numFmtId="0" fontId="0" fillId="5" borderId="0" xfId="0" applyFill="1" applyAlignment="1">
      <alignment horizontal="center" wrapText="1"/>
    </xf>
    <xf numFmtId="0" fontId="0" fillId="6" borderId="0" xfId="0" applyFill="1" applyAlignment="1">
      <alignment horizontal="center" wrapText="1"/>
    </xf>
    <xf numFmtId="0" fontId="0" fillId="7" borderId="0" xfId="0" applyFill="1" applyAlignment="1">
      <alignment horizontal="center" wrapText="1"/>
    </xf>
    <xf numFmtId="165" fontId="0" fillId="0" borderId="0" xfId="1" applyNumberFormat="1" applyFont="1" applyAlignment="1">
      <alignment horizontal="center"/>
    </xf>
    <xf numFmtId="166" fontId="0" fillId="0" borderId="0" xfId="2" applyNumberFormat="1" applyFont="1"/>
    <xf numFmtId="0" fontId="0" fillId="0" borderId="0" xfId="0" applyFont="1"/>
    <xf numFmtId="2" fontId="0" fillId="0" borderId="0" xfId="0" applyNumberFormat="1" applyFont="1"/>
    <xf numFmtId="0" fontId="0" fillId="0" borderId="0" xfId="0"/>
    <xf numFmtId="0" fontId="0" fillId="0" borderId="0" xfId="0" applyAlignment="1">
      <alignment wrapText="1"/>
    </xf>
    <xf numFmtId="0" fontId="0" fillId="5" borderId="0" xfId="0" applyFill="1"/>
    <xf numFmtId="0" fontId="2" fillId="0" borderId="1" xfId="0" applyFont="1" applyBorder="1"/>
    <xf numFmtId="43" fontId="0" fillId="0" borderId="0" xfId="0" applyNumberFormat="1"/>
    <xf numFmtId="0" fontId="3" fillId="0" borderId="0" xfId="4" applyFont="1"/>
    <xf numFmtId="0" fontId="0" fillId="0" borderId="1" xfId="0" applyFont="1" applyBorder="1"/>
    <xf numFmtId="165" fontId="0" fillId="0" borderId="0" xfId="1" applyNumberFormat="1" applyFont="1" applyAlignment="1">
      <alignment horizontal="left" vertical="center" wrapText="1"/>
    </xf>
    <xf numFmtId="164" fontId="0" fillId="0" borderId="0" xfId="1" applyNumberFormat="1" applyFont="1" applyAlignment="1">
      <alignment horizontal="center"/>
    </xf>
    <xf numFmtId="9" fontId="0" fillId="0" borderId="0" xfId="0" applyNumberFormat="1" applyFont="1"/>
    <xf numFmtId="167" fontId="0" fillId="0" borderId="0" xfId="0" applyNumberFormat="1" applyFont="1"/>
    <xf numFmtId="167" fontId="4" fillId="0" borderId="1" xfId="0" applyNumberFormat="1" applyFont="1" applyBorder="1"/>
    <xf numFmtId="0" fontId="0" fillId="0" borderId="0" xfId="3" applyNumberFormat="1" applyFont="1"/>
    <xf numFmtId="0" fontId="0" fillId="9" borderId="0" xfId="0" applyFill="1"/>
    <xf numFmtId="165" fontId="0" fillId="0" borderId="2" xfId="1" applyNumberFormat="1" applyFont="1" applyBorder="1" applyAlignment="1">
      <alignment horizontal="center"/>
    </xf>
    <xf numFmtId="0" fontId="0" fillId="0" borderId="2" xfId="0" applyBorder="1" applyAlignment="1">
      <alignment wrapText="1"/>
    </xf>
    <xf numFmtId="164" fontId="0" fillId="0" borderId="2" xfId="1" applyNumberFormat="1" applyFont="1" applyBorder="1" applyAlignment="1">
      <alignment horizontal="center"/>
    </xf>
    <xf numFmtId="166" fontId="0" fillId="0" borderId="2" xfId="2" applyNumberFormat="1" applyFont="1" applyBorder="1"/>
    <xf numFmtId="0" fontId="0" fillId="0" borderId="2" xfId="0" applyBorder="1" applyAlignment="1">
      <alignment horizontal="center" vertical="center" textRotation="90" wrapText="1"/>
    </xf>
    <xf numFmtId="165" fontId="0" fillId="0" borderId="0" xfId="1" applyNumberFormat="1" applyFont="1" applyAlignment="1">
      <alignment horizontal="center" vertical="center" wrapText="1"/>
    </xf>
    <xf numFmtId="165" fontId="0" fillId="0" borderId="2" xfId="1" applyNumberFormat="1" applyFont="1" applyBorder="1" applyAlignment="1">
      <alignment horizontal="center" vertical="center" wrapText="1"/>
    </xf>
    <xf numFmtId="0" fontId="0" fillId="5" borderId="0" xfId="0" applyFill="1" applyBorder="1" applyAlignment="1">
      <alignment horizontal="center" wrapText="1"/>
    </xf>
    <xf numFmtId="43" fontId="0" fillId="0" borderId="0" xfId="0" applyNumberFormat="1" applyBorder="1"/>
    <xf numFmtId="0" fontId="0" fillId="0" borderId="0" xfId="0" applyBorder="1"/>
    <xf numFmtId="1" fontId="0" fillId="0" borderId="3" xfId="0" applyNumberFormat="1" applyBorder="1" applyAlignment="1">
      <alignment horizontal="center"/>
    </xf>
    <xf numFmtId="43" fontId="0" fillId="0" borderId="2" xfId="1" applyNumberFormat="1" applyFont="1" applyBorder="1" applyAlignment="1">
      <alignment horizontal="center"/>
    </xf>
    <xf numFmtId="1" fontId="0" fillId="0" borderId="0" xfId="0" applyNumberFormat="1" applyBorder="1" applyAlignment="1">
      <alignment horizontal="center"/>
    </xf>
    <xf numFmtId="1" fontId="0" fillId="0" borderId="2" xfId="0" applyNumberFormat="1" applyBorder="1" applyAlignment="1">
      <alignment horizontal="center"/>
    </xf>
    <xf numFmtId="0" fontId="0" fillId="9" borderId="0" xfId="0" applyFill="1" applyAlignment="1">
      <alignment horizontal="center" vertical="center"/>
    </xf>
    <xf numFmtId="0" fontId="0" fillId="9" borderId="1" xfId="0" applyFill="1" applyBorder="1"/>
    <xf numFmtId="0" fontId="0" fillId="10" borderId="1" xfId="0" applyFill="1" applyBorder="1"/>
    <xf numFmtId="0" fontId="0" fillId="9" borderId="1" xfId="0" applyFill="1" applyBorder="1" applyAlignment="1">
      <alignment horizontal="center" wrapText="1"/>
    </xf>
    <xf numFmtId="0" fontId="0" fillId="10" borderId="6" xfId="0" applyFill="1" applyBorder="1"/>
    <xf numFmtId="0" fontId="0" fillId="9" borderId="0" xfId="0" applyFill="1" applyBorder="1"/>
    <xf numFmtId="0" fontId="0" fillId="9" borderId="8" xfId="0" applyFill="1" applyBorder="1"/>
    <xf numFmtId="0" fontId="0" fillId="9" borderId="9" xfId="0" applyFill="1" applyBorder="1"/>
    <xf numFmtId="0" fontId="0" fillId="9" borderId="10" xfId="0" applyFill="1" applyBorder="1"/>
    <xf numFmtId="0" fontId="0" fillId="9" borderId="11" xfId="0" applyFill="1" applyBorder="1"/>
    <xf numFmtId="0" fontId="0" fillId="9" borderId="12" xfId="0" applyFill="1" applyBorder="1"/>
    <xf numFmtId="0" fontId="0" fillId="9" borderId="13" xfId="0" applyFill="1" applyBorder="1"/>
    <xf numFmtId="3" fontId="0" fillId="9" borderId="15" xfId="0" applyNumberFormat="1" applyFill="1" applyBorder="1" applyAlignment="1">
      <alignment horizontal="center" vertical="center"/>
    </xf>
    <xf numFmtId="0" fontId="0" fillId="9" borderId="14" xfId="0" applyFill="1" applyBorder="1"/>
    <xf numFmtId="0" fontId="0" fillId="9" borderId="4" xfId="0" applyFill="1" applyBorder="1" applyAlignment="1">
      <alignment horizontal="right"/>
    </xf>
    <xf numFmtId="0" fontId="5" fillId="0" borderId="0" xfId="0" applyFont="1"/>
    <xf numFmtId="0" fontId="0" fillId="0" borderId="1" xfId="0" applyBorder="1"/>
    <xf numFmtId="3" fontId="0" fillId="0" borderId="1" xfId="0" applyNumberFormat="1" applyBorder="1"/>
    <xf numFmtId="168" fontId="0" fillId="0" borderId="1" xfId="0" applyNumberFormat="1" applyBorder="1"/>
    <xf numFmtId="1" fontId="0" fillId="0" borderId="1" xfId="0" applyNumberFormat="1" applyBorder="1"/>
    <xf numFmtId="3" fontId="0" fillId="9" borderId="1" xfId="0" applyNumberFormat="1" applyFill="1" applyBorder="1"/>
    <xf numFmtId="169" fontId="0" fillId="9" borderId="1" xfId="0" applyNumberFormat="1" applyFill="1" applyBorder="1"/>
    <xf numFmtId="169" fontId="0" fillId="0" borderId="1" xfId="0" applyNumberFormat="1" applyBorder="1"/>
    <xf numFmtId="3" fontId="0" fillId="0" borderId="0" xfId="0" applyNumberFormat="1"/>
    <xf numFmtId="9" fontId="0" fillId="0" borderId="0" xfId="0" applyNumberFormat="1"/>
    <xf numFmtId="0" fontId="0" fillId="0" borderId="0" xfId="0" applyAlignment="1">
      <alignment horizontal="right"/>
    </xf>
    <xf numFmtId="4" fontId="0" fillId="0" borderId="0" xfId="0" applyNumberFormat="1"/>
    <xf numFmtId="0" fontId="0" fillId="0" borderId="0" xfId="0" applyAlignment="1">
      <alignment horizontal="left"/>
    </xf>
    <xf numFmtId="0" fontId="5" fillId="0" borderId="0" xfId="0" applyFont="1" applyAlignment="1">
      <alignment horizontal="left"/>
    </xf>
    <xf numFmtId="9" fontId="5" fillId="0" borderId="0" xfId="0" applyNumberFormat="1" applyFont="1"/>
    <xf numFmtId="4" fontId="5" fillId="0" borderId="0" xfId="0" applyNumberFormat="1" applyFont="1"/>
    <xf numFmtId="3" fontId="5" fillId="0" borderId="0" xfId="0" applyNumberFormat="1" applyFont="1"/>
    <xf numFmtId="0" fontId="5" fillId="0" borderId="0" xfId="0" applyFont="1" applyAlignment="1">
      <alignment horizontal="right"/>
    </xf>
    <xf numFmtId="0" fontId="5" fillId="9" borderId="16" xfId="0" applyFont="1" applyFill="1" applyBorder="1" applyAlignment="1">
      <alignment horizontal="right" wrapText="1"/>
    </xf>
    <xf numFmtId="0" fontId="0" fillId="9" borderId="16" xfId="0" applyFill="1" applyBorder="1" applyAlignment="1">
      <alignment wrapText="1"/>
    </xf>
    <xf numFmtId="0" fontId="5" fillId="0" borderId="1" xfId="0" applyFont="1" applyBorder="1" applyAlignment="1">
      <alignment horizontal="right" wrapText="1"/>
    </xf>
    <xf numFmtId="0" fontId="0" fillId="0" borderId="1" xfId="0" applyBorder="1" applyAlignment="1">
      <alignment wrapText="1"/>
    </xf>
    <xf numFmtId="0" fontId="0" fillId="9" borderId="16" xfId="0" applyFill="1" applyBorder="1"/>
    <xf numFmtId="3" fontId="0" fillId="9" borderId="16" xfId="0" applyNumberFormat="1" applyFill="1" applyBorder="1"/>
    <xf numFmtId="3" fontId="5" fillId="9" borderId="16" xfId="0" applyNumberFormat="1" applyFont="1" applyFill="1" applyBorder="1"/>
    <xf numFmtId="3" fontId="5" fillId="0" borderId="1" xfId="0" applyNumberFormat="1" applyFont="1" applyBorder="1"/>
    <xf numFmtId="0" fontId="5" fillId="0" borderId="16" xfId="0" applyFont="1" applyBorder="1" applyAlignment="1">
      <alignment horizontal="right" wrapText="1"/>
    </xf>
    <xf numFmtId="0" fontId="0" fillId="0" borderId="16" xfId="0" applyBorder="1" applyAlignment="1">
      <alignment wrapText="1"/>
    </xf>
    <xf numFmtId="0" fontId="0" fillId="0" borderId="16" xfId="0" applyBorder="1"/>
    <xf numFmtId="3" fontId="0" fillId="0" borderId="16" xfId="0" applyNumberFormat="1" applyBorder="1"/>
    <xf numFmtId="3" fontId="5" fillId="0" borderId="16" xfId="0" applyNumberFormat="1" applyFont="1" applyBorder="1"/>
    <xf numFmtId="169" fontId="0" fillId="0" borderId="0" xfId="0" applyNumberFormat="1"/>
    <xf numFmtId="169" fontId="5" fillId="0" borderId="0" xfId="0" applyNumberFormat="1" applyFont="1"/>
    <xf numFmtId="0" fontId="0" fillId="0" borderId="0" xfId="0" applyAlignment="1">
      <alignment horizontal="right" wrapText="1"/>
    </xf>
    <xf numFmtId="3" fontId="7" fillId="9" borderId="1" xfId="1" applyNumberFormat="1" applyFont="1" applyFill="1" applyBorder="1" applyAlignment="1">
      <alignment horizontal="center" vertical="center"/>
    </xf>
    <xf numFmtId="0" fontId="5" fillId="11" borderId="0" xfId="0" applyFont="1" applyFill="1" applyAlignment="1">
      <alignment horizontal="center" wrapText="1"/>
    </xf>
    <xf numFmtId="0" fontId="3" fillId="0" borderId="0" xfId="4"/>
    <xf numFmtId="0" fontId="0" fillId="0" borderId="0" xfId="0" applyFont="1" applyAlignment="1">
      <alignment horizontal="center" vertical="center"/>
    </xf>
    <xf numFmtId="165" fontId="0" fillId="0" borderId="0" xfId="1" applyNumberFormat="1" applyFont="1" applyAlignment="1">
      <alignment horizontal="center" vertical="center"/>
    </xf>
    <xf numFmtId="165" fontId="0" fillId="0" borderId="2" xfId="1" applyNumberFormat="1" applyFont="1" applyBorder="1" applyAlignment="1">
      <alignment horizontal="center" vertical="center"/>
    </xf>
    <xf numFmtId="0" fontId="8" fillId="3" borderId="0" xfId="0" applyFont="1" applyFill="1"/>
    <xf numFmtId="0" fontId="0" fillId="3" borderId="0" xfId="0" applyFill="1"/>
    <xf numFmtId="0" fontId="0" fillId="0" borderId="0" xfId="0" applyAlignment="1">
      <alignment horizontal="center" wrapText="1"/>
    </xf>
    <xf numFmtId="0" fontId="0" fillId="13" borderId="0" xfId="0" applyFill="1"/>
    <xf numFmtId="0" fontId="8" fillId="13" borderId="0" xfId="0" applyFont="1" applyFill="1"/>
    <xf numFmtId="1" fontId="0" fillId="0" borderId="0" xfId="0" applyNumberFormat="1"/>
    <xf numFmtId="1" fontId="0" fillId="0" borderId="15" xfId="0" applyNumberFormat="1" applyBorder="1"/>
    <xf numFmtId="0" fontId="0" fillId="0" borderId="1" xfId="0" applyBorder="1" applyAlignment="1">
      <alignment horizontal="center"/>
    </xf>
    <xf numFmtId="0" fontId="0" fillId="14" borderId="0" xfId="0" applyFill="1"/>
    <xf numFmtId="0" fontId="8" fillId="14" borderId="0" xfId="0" applyFont="1" applyFill="1"/>
    <xf numFmtId="0" fontId="0" fillId="0" borderId="0" xfId="0" applyFont="1" applyAlignment="1">
      <alignment vertical="center" wrapText="1"/>
    </xf>
    <xf numFmtId="1" fontId="0" fillId="14" borderId="0" xfId="0" applyNumberFormat="1" applyFill="1"/>
    <xf numFmtId="1" fontId="0" fillId="14" borderId="15" xfId="0" applyNumberFormat="1" applyFill="1" applyBorder="1"/>
    <xf numFmtId="44" fontId="0" fillId="0" borderId="0" xfId="2" applyFont="1"/>
    <xf numFmtId="170" fontId="0" fillId="0" borderId="0" xfId="0" applyNumberFormat="1"/>
    <xf numFmtId="0" fontId="0" fillId="9" borderId="2" xfId="0" applyFill="1" applyBorder="1" applyAlignment="1">
      <alignment wrapText="1"/>
    </xf>
    <xf numFmtId="0" fontId="0" fillId="9" borderId="0" xfId="0" applyFill="1" applyAlignment="1">
      <alignment wrapText="1"/>
    </xf>
    <xf numFmtId="0" fontId="0" fillId="12" borderId="0" xfId="0" applyFill="1" applyBorder="1" applyAlignment="1">
      <alignment vertical="center"/>
    </xf>
    <xf numFmtId="165" fontId="0" fillId="0" borderId="0" xfId="0" applyNumberFormat="1" applyBorder="1"/>
    <xf numFmtId="165" fontId="0" fillId="0" borderId="0" xfId="0" applyNumberFormat="1"/>
    <xf numFmtId="9" fontId="0" fillId="0" borderId="0" xfId="3" applyFont="1"/>
    <xf numFmtId="3" fontId="0" fillId="10" borderId="1" xfId="1" applyNumberFormat="1" applyFont="1" applyFill="1" applyBorder="1" applyAlignment="1">
      <alignment horizontal="center" vertical="center"/>
    </xf>
    <xf numFmtId="3" fontId="0" fillId="10" borderId="5" xfId="1" applyNumberFormat="1" applyFont="1" applyFill="1" applyBorder="1" applyAlignment="1">
      <alignment horizontal="center" vertical="center"/>
    </xf>
    <xf numFmtId="0" fontId="0" fillId="9" borderId="7" xfId="0" applyFill="1" applyBorder="1"/>
    <xf numFmtId="0" fontId="0" fillId="10" borderId="0" xfId="0" applyFill="1" applyBorder="1" applyAlignment="1">
      <alignment horizontal="center" wrapText="1"/>
    </xf>
    <xf numFmtId="165" fontId="0" fillId="10" borderId="0" xfId="0" applyNumberFormat="1" applyFill="1"/>
    <xf numFmtId="165" fontId="0" fillId="10" borderId="0" xfId="0" applyNumberFormat="1" applyFill="1" applyBorder="1"/>
    <xf numFmtId="1" fontId="0" fillId="10" borderId="2" xfId="0" applyNumberFormat="1" applyFill="1" applyBorder="1" applyAlignment="1">
      <alignment horizontal="center"/>
    </xf>
    <xf numFmtId="0" fontId="9" fillId="5" borderId="3" xfId="0" applyFont="1" applyFill="1" applyBorder="1" applyAlignment="1">
      <alignment horizontal="center" wrapText="1"/>
    </xf>
    <xf numFmtId="0" fontId="9" fillId="5" borderId="0" xfId="0" applyFont="1" applyFill="1" applyBorder="1" applyAlignment="1">
      <alignment horizontal="center" wrapText="1"/>
    </xf>
    <xf numFmtId="0" fontId="0" fillId="0" borderId="0" xfId="0" applyAlignment="1">
      <alignment horizontal="center" wrapText="1"/>
    </xf>
    <xf numFmtId="0" fontId="0" fillId="0" borderId="1" xfId="0" applyFill="1" applyBorder="1"/>
    <xf numFmtId="1" fontId="0" fillId="0" borderId="1" xfId="0" applyNumberFormat="1" applyBorder="1" applyAlignment="1">
      <alignment horizontal="center"/>
    </xf>
    <xf numFmtId="0" fontId="0" fillId="0" borderId="20" xfId="0" applyFill="1" applyBorder="1" applyAlignment="1">
      <alignment horizontal="right"/>
    </xf>
    <xf numFmtId="3" fontId="0" fillId="0" borderId="1" xfId="0" applyNumberFormat="1" applyBorder="1" applyAlignment="1">
      <alignment horizontal="center"/>
    </xf>
    <xf numFmtId="169" fontId="0" fillId="10" borderId="1" xfId="2" applyNumberFormat="1" applyFont="1" applyFill="1" applyBorder="1" applyAlignment="1">
      <alignment horizontal="center" vertical="center"/>
    </xf>
    <xf numFmtId="169" fontId="7" fillId="9" borderId="1" xfId="2" applyNumberFormat="1" applyFont="1" applyFill="1" applyBorder="1" applyAlignment="1">
      <alignment horizontal="center" vertical="center"/>
    </xf>
    <xf numFmtId="169" fontId="0" fillId="10" borderId="5" xfId="2" applyNumberFormat="1" applyFont="1" applyFill="1" applyBorder="1" applyAlignment="1">
      <alignment horizontal="center" vertical="center"/>
    </xf>
    <xf numFmtId="169" fontId="0" fillId="9" borderId="15" xfId="2" applyNumberFormat="1" applyFont="1" applyFill="1" applyBorder="1" applyAlignment="1">
      <alignment horizontal="center" vertical="center"/>
    </xf>
    <xf numFmtId="0" fontId="0" fillId="0" borderId="1" xfId="0" applyBorder="1" applyAlignment="1">
      <alignment horizontal="center"/>
    </xf>
    <xf numFmtId="0" fontId="0" fillId="0" borderId="20" xfId="0" applyFill="1" applyBorder="1"/>
    <xf numFmtId="0" fontId="0" fillId="0" borderId="0" xfId="0" applyAlignment="1"/>
    <xf numFmtId="0" fontId="0" fillId="0" borderId="1" xfId="0" applyBorder="1" applyAlignment="1"/>
    <xf numFmtId="0" fontId="0" fillId="0" borderId="1" xfId="0" applyFill="1" applyBorder="1" applyAlignment="1"/>
    <xf numFmtId="0" fontId="0" fillId="10" borderId="0" xfId="0" applyFill="1"/>
    <xf numFmtId="0" fontId="0" fillId="10" borderId="0" xfId="0" applyFill="1" applyAlignment="1"/>
    <xf numFmtId="0" fontId="0" fillId="0" borderId="1" xfId="0" applyBorder="1" applyAlignment="1">
      <alignment vertical="top" wrapText="1"/>
    </xf>
    <xf numFmtId="0" fontId="0" fillId="0" borderId="1" xfId="0" applyBorder="1" applyAlignment="1">
      <alignment horizontal="left" wrapText="1"/>
    </xf>
    <xf numFmtId="170" fontId="0" fillId="0" borderId="1" xfId="0" applyNumberFormat="1" applyBorder="1" applyAlignment="1">
      <alignment horizontal="left" wrapText="1"/>
    </xf>
    <xf numFmtId="1" fontId="0" fillId="0" borderId="1" xfId="0" applyNumberFormat="1" applyBorder="1" applyAlignment="1">
      <alignment horizontal="left" wrapText="1"/>
    </xf>
    <xf numFmtId="166" fontId="0" fillId="0" borderId="1" xfId="2" applyNumberFormat="1" applyFont="1" applyBorder="1" applyAlignment="1">
      <alignment horizontal="left" wrapText="1"/>
    </xf>
    <xf numFmtId="43" fontId="0" fillId="0" borderId="1" xfId="0" applyNumberFormat="1" applyBorder="1" applyAlignment="1">
      <alignment horizontal="left" wrapText="1"/>
    </xf>
    <xf numFmtId="0" fontId="0" fillId="0" borderId="0" xfId="0" applyFill="1"/>
    <xf numFmtId="1" fontId="0" fillId="0" borderId="0" xfId="0" applyNumberFormat="1" applyFill="1"/>
    <xf numFmtId="1" fontId="0" fillId="0" borderId="22" xfId="0" applyNumberFormat="1" applyFill="1" applyBorder="1"/>
    <xf numFmtId="0" fontId="0" fillId="0" borderId="21" xfId="0" applyBorder="1" applyAlignment="1">
      <alignment horizontal="center" wrapText="1"/>
    </xf>
    <xf numFmtId="0" fontId="0" fillId="0" borderId="0" xfId="0" applyBorder="1" applyAlignment="1">
      <alignment horizontal="center" wrapText="1"/>
    </xf>
    <xf numFmtId="0" fontId="0" fillId="0" borderId="21" xfId="0" applyBorder="1"/>
    <xf numFmtId="0" fontId="0" fillId="0" borderId="0" xfId="0" applyBorder="1" applyAlignment="1"/>
    <xf numFmtId="1" fontId="0" fillId="0" borderId="0" xfId="0" applyNumberFormat="1" applyFill="1" applyBorder="1"/>
    <xf numFmtId="0" fontId="8" fillId="0" borderId="0" xfId="0" applyFont="1" applyFill="1" applyBorder="1" applyAlignment="1">
      <alignment horizontal="center"/>
    </xf>
    <xf numFmtId="1" fontId="0" fillId="0" borderId="0" xfId="0" applyNumberFormat="1" applyBorder="1"/>
    <xf numFmtId="0" fontId="10" fillId="0" borderId="0" xfId="8"/>
    <xf numFmtId="0" fontId="9" fillId="0" borderId="0" xfId="8" applyFont="1"/>
    <xf numFmtId="0" fontId="13" fillId="15" borderId="23" xfId="8" applyFont="1" applyFill="1" applyBorder="1" applyAlignment="1">
      <alignment horizontal="center" wrapText="1"/>
    </xf>
    <xf numFmtId="0" fontId="13" fillId="16" borderId="23" xfId="8" applyFont="1" applyFill="1" applyBorder="1" applyAlignment="1">
      <alignment horizontal="center" wrapText="1"/>
    </xf>
    <xf numFmtId="0" fontId="13" fillId="17" borderId="23" xfId="8" applyFont="1" applyFill="1" applyBorder="1" applyAlignment="1">
      <alignment horizontal="center" wrapText="1"/>
    </xf>
    <xf numFmtId="0" fontId="13" fillId="18" borderId="23" xfId="8" applyFont="1" applyFill="1" applyBorder="1" applyAlignment="1">
      <alignment horizontal="center" wrapText="1"/>
    </xf>
    <xf numFmtId="0" fontId="14" fillId="19" borderId="24" xfId="8" applyFont="1" applyFill="1" applyBorder="1" applyAlignment="1">
      <alignment horizontal="center" vertical="top"/>
    </xf>
    <xf numFmtId="0" fontId="9" fillId="20" borderId="0" xfId="8" applyFont="1" applyFill="1" applyAlignment="1">
      <alignment horizontal="center"/>
    </xf>
    <xf numFmtId="0" fontId="14" fillId="21" borderId="24" xfId="8" applyFont="1" applyFill="1" applyBorder="1" applyAlignment="1">
      <alignment horizontal="center" vertical="top"/>
    </xf>
    <xf numFmtId="0" fontId="14" fillId="22" borderId="24" xfId="8" applyFont="1" applyFill="1" applyBorder="1" applyAlignment="1">
      <alignment horizontal="center"/>
    </xf>
    <xf numFmtId="0" fontId="15" fillId="19" borderId="0" xfId="8" applyFont="1" applyFill="1"/>
    <xf numFmtId="0" fontId="9" fillId="19" borderId="0" xfId="8" applyFont="1" applyFill="1"/>
    <xf numFmtId="0" fontId="16" fillId="19" borderId="0" xfId="8" applyFont="1" applyFill="1"/>
    <xf numFmtId="0" fontId="12" fillId="19" borderId="0" xfId="8" applyFont="1" applyFill="1"/>
    <xf numFmtId="0" fontId="12" fillId="19" borderId="25" xfId="8" applyFont="1" applyFill="1" applyBorder="1" applyAlignment="1">
      <alignment horizontal="center" wrapText="1"/>
    </xf>
    <xf numFmtId="0" fontId="13" fillId="19" borderId="26" xfId="8" applyFont="1" applyFill="1" applyBorder="1" applyAlignment="1">
      <alignment horizontal="center" wrapText="1"/>
    </xf>
    <xf numFmtId="0" fontId="13" fillId="19" borderId="27" xfId="8" applyFont="1" applyFill="1" applyBorder="1" applyAlignment="1">
      <alignment horizontal="center" wrapText="1"/>
    </xf>
    <xf numFmtId="0" fontId="14" fillId="19" borderId="0" xfId="8" applyFont="1" applyFill="1" applyAlignment="1">
      <alignment horizontal="center" wrapText="1"/>
    </xf>
    <xf numFmtId="3" fontId="14" fillId="19" borderId="0" xfId="8" applyNumberFormat="1" applyFont="1" applyFill="1" applyAlignment="1">
      <alignment horizontal="right" vertical="top"/>
    </xf>
    <xf numFmtId="3" fontId="14" fillId="19" borderId="29" xfId="8" applyNumberFormat="1" applyFont="1" applyFill="1" applyBorder="1" applyAlignment="1">
      <alignment horizontal="right" vertical="top"/>
    </xf>
    <xf numFmtId="3" fontId="18" fillId="23" borderId="31" xfId="8" applyNumberFormat="1" applyFont="1" applyFill="1" applyBorder="1" applyAlignment="1">
      <alignment horizontal="right" wrapText="1"/>
    </xf>
    <xf numFmtId="3" fontId="18" fillId="23" borderId="32" xfId="8" applyNumberFormat="1" applyFont="1" applyFill="1" applyBorder="1" applyAlignment="1">
      <alignment horizontal="right" wrapText="1"/>
    </xf>
    <xf numFmtId="0" fontId="9" fillId="19" borderId="33" xfId="8" applyFont="1" applyFill="1" applyBorder="1"/>
    <xf numFmtId="0" fontId="13" fillId="19" borderId="33" xfId="8" applyFont="1" applyFill="1" applyBorder="1" applyAlignment="1">
      <alignment horizontal="center" wrapText="1"/>
    </xf>
    <xf numFmtId="0" fontId="14" fillId="19" borderId="33" xfId="8" applyFont="1" applyFill="1" applyBorder="1" applyAlignment="1">
      <alignment horizontal="center" wrapText="1"/>
    </xf>
    <xf numFmtId="0" fontId="9" fillId="20" borderId="0" xfId="8" applyFont="1" applyFill="1"/>
    <xf numFmtId="0" fontId="13" fillId="20" borderId="0" xfId="8" applyFont="1" applyFill="1" applyAlignment="1">
      <alignment horizontal="center" wrapText="1"/>
    </xf>
    <xf numFmtId="0" fontId="14" fillId="20" borderId="0" xfId="8" applyFont="1" applyFill="1" applyAlignment="1">
      <alignment horizontal="center" wrapText="1"/>
    </xf>
    <xf numFmtId="0" fontId="14" fillId="20" borderId="0" xfId="8" applyFont="1" applyFill="1" applyAlignment="1">
      <alignment horizontal="left" vertical="top"/>
    </xf>
    <xf numFmtId="0" fontId="13" fillId="18" borderId="34" xfId="8" applyFont="1" applyFill="1" applyBorder="1" applyAlignment="1">
      <alignment horizontal="center" wrapText="1"/>
    </xf>
    <xf numFmtId="0" fontId="13" fillId="17" borderId="35" xfId="8" applyFont="1" applyFill="1" applyBorder="1" applyAlignment="1">
      <alignment horizontal="center" wrapText="1"/>
    </xf>
    <xf numFmtId="0" fontId="13" fillId="17" borderId="36" xfId="8" applyFont="1" applyFill="1" applyBorder="1" applyAlignment="1">
      <alignment horizontal="center" wrapText="1"/>
    </xf>
    <xf numFmtId="0" fontId="13" fillId="16" borderId="34" xfId="8" applyFont="1" applyFill="1" applyBorder="1" applyAlignment="1">
      <alignment horizontal="center" wrapText="1"/>
    </xf>
    <xf numFmtId="0" fontId="19" fillId="20" borderId="0" xfId="8" applyFont="1" applyFill="1" applyAlignment="1">
      <alignment horizontal="right" vertical="center"/>
    </xf>
    <xf numFmtId="0" fontId="20" fillId="20" borderId="0" xfId="8" applyFont="1" applyFill="1" applyAlignment="1">
      <alignment horizontal="left" vertical="top" wrapText="1"/>
    </xf>
    <xf numFmtId="0" fontId="21" fillId="20" borderId="0" xfId="8" applyFont="1" applyFill="1" applyAlignment="1">
      <alignment horizontal="left" vertical="top" wrapText="1"/>
    </xf>
    <xf numFmtId="0" fontId="20" fillId="20" borderId="28" xfId="8" applyFont="1" applyFill="1" applyBorder="1" applyAlignment="1">
      <alignment horizontal="left" vertical="top" wrapText="1"/>
    </xf>
    <xf numFmtId="0" fontId="20" fillId="20" borderId="29" xfId="8" applyFont="1" applyFill="1" applyBorder="1" applyAlignment="1">
      <alignment horizontal="left" vertical="top" wrapText="1"/>
    </xf>
    <xf numFmtId="0" fontId="20" fillId="20" borderId="0" xfId="8" applyFont="1" applyFill="1" applyAlignment="1">
      <alignment horizontal="left" vertical="top"/>
    </xf>
    <xf numFmtId="0" fontId="21" fillId="20" borderId="28" xfId="8" applyFont="1" applyFill="1" applyBorder="1" applyAlignment="1">
      <alignment horizontal="left" vertical="top" wrapText="1"/>
    </xf>
    <xf numFmtId="0" fontId="21" fillId="20" borderId="29" xfId="8" applyFont="1" applyFill="1" applyBorder="1" applyAlignment="1">
      <alignment horizontal="left" vertical="top" wrapText="1"/>
    </xf>
    <xf numFmtId="9" fontId="14" fillId="19" borderId="37" xfId="8" applyNumberFormat="1" applyFont="1" applyFill="1" applyBorder="1" applyAlignment="1">
      <alignment horizontal="center" vertical="top"/>
    </xf>
    <xf numFmtId="3" fontId="14" fillId="20" borderId="0" xfId="8" applyNumberFormat="1" applyFont="1" applyFill="1" applyAlignment="1">
      <alignment wrapText="1"/>
    </xf>
    <xf numFmtId="3" fontId="21" fillId="20" borderId="0" xfId="8" applyNumberFormat="1" applyFont="1" applyFill="1" applyAlignment="1">
      <alignment horizontal="left" vertical="top" wrapText="1"/>
    </xf>
    <xf numFmtId="1" fontId="14" fillId="19" borderId="24" xfId="8" applyNumberFormat="1" applyFont="1" applyFill="1" applyBorder="1" applyAlignment="1">
      <alignment horizontal="center" vertical="top" wrapText="1"/>
    </xf>
    <xf numFmtId="3" fontId="14" fillId="20" borderId="26" xfId="8" applyNumberFormat="1" applyFont="1" applyFill="1" applyBorder="1" applyAlignment="1">
      <alignment horizontal="right" vertical="top"/>
    </xf>
    <xf numFmtId="3" fontId="14" fillId="20" borderId="27" xfId="8" applyNumberFormat="1" applyFont="1" applyFill="1" applyBorder="1" applyAlignment="1">
      <alignment horizontal="right" vertical="top"/>
    </xf>
    <xf numFmtId="9" fontId="14" fillId="0" borderId="24" xfId="8" applyNumberFormat="1" applyFont="1" applyBorder="1" applyAlignment="1">
      <alignment horizontal="center" vertical="top" wrapText="1"/>
    </xf>
    <xf numFmtId="3" fontId="14" fillId="20" borderId="26" xfId="8" applyNumberFormat="1" applyFont="1" applyFill="1" applyBorder="1" applyAlignment="1">
      <alignment wrapText="1"/>
    </xf>
    <xf numFmtId="3" fontId="14" fillId="20" borderId="27" xfId="8" applyNumberFormat="1" applyFont="1" applyFill="1" applyBorder="1" applyAlignment="1">
      <alignment wrapText="1"/>
    </xf>
    <xf numFmtId="0" fontId="14" fillId="19" borderId="0" xfId="8" applyFont="1" applyFill="1" applyAlignment="1">
      <alignment horizontal="left" vertical="top"/>
    </xf>
    <xf numFmtId="3" fontId="14" fillId="19" borderId="28" xfId="8" applyNumberFormat="1" applyFont="1" applyFill="1" applyBorder="1" applyAlignment="1">
      <alignment horizontal="right" vertical="top"/>
    </xf>
    <xf numFmtId="1" fontId="14" fillId="20" borderId="28" xfId="8" applyNumberFormat="1" applyFont="1" applyFill="1" applyBorder="1" applyAlignment="1">
      <alignment horizontal="left" vertical="top"/>
    </xf>
    <xf numFmtId="0" fontId="14" fillId="20" borderId="29" xfId="8" applyFont="1" applyFill="1" applyBorder="1" applyAlignment="1">
      <alignment horizontal="left" vertical="top"/>
    </xf>
    <xf numFmtId="0" fontId="14" fillId="20" borderId="28" xfId="8" applyFont="1" applyFill="1" applyBorder="1" applyAlignment="1">
      <alignment horizontal="left" vertical="top"/>
    </xf>
    <xf numFmtId="0" fontId="9" fillId="20" borderId="29" xfId="8" applyFont="1" applyFill="1" applyBorder="1"/>
    <xf numFmtId="1" fontId="14" fillId="19" borderId="34" xfId="8" applyNumberFormat="1" applyFont="1" applyFill="1" applyBorder="1" applyAlignment="1">
      <alignment horizontal="center" vertical="top" wrapText="1"/>
    </xf>
    <xf numFmtId="3" fontId="14" fillId="20" borderId="0" xfId="8" applyNumberFormat="1" applyFont="1" applyFill="1" applyAlignment="1">
      <alignment horizontal="right" vertical="top"/>
    </xf>
    <xf numFmtId="3" fontId="14" fillId="20" borderId="29" xfId="8" applyNumberFormat="1" applyFont="1" applyFill="1" applyBorder="1" applyAlignment="1">
      <alignment horizontal="right" vertical="top"/>
    </xf>
    <xf numFmtId="9" fontId="14" fillId="0" borderId="34" xfId="8" applyNumberFormat="1" applyFont="1" applyBorder="1" applyAlignment="1">
      <alignment horizontal="center" vertical="top" wrapText="1"/>
    </xf>
    <xf numFmtId="3" fontId="14" fillId="20" borderId="29" xfId="8" applyNumberFormat="1" applyFont="1" applyFill="1" applyBorder="1" applyAlignment="1">
      <alignment wrapText="1"/>
    </xf>
    <xf numFmtId="9" fontId="14" fillId="19" borderId="0" xfId="8" applyNumberFormat="1" applyFont="1" applyFill="1" applyAlignment="1">
      <alignment horizontal="center" vertical="top"/>
    </xf>
    <xf numFmtId="1" fontId="14" fillId="19" borderId="28" xfId="8" applyNumberFormat="1" applyFont="1" applyFill="1" applyBorder="1" applyAlignment="1">
      <alignment horizontal="right" vertical="top"/>
    </xf>
    <xf numFmtId="0" fontId="14" fillId="20" borderId="0" xfId="8" applyFont="1" applyFill="1" applyAlignment="1">
      <alignment horizontal="left" vertical="top" wrapText="1"/>
    </xf>
    <xf numFmtId="0" fontId="14" fillId="20" borderId="29" xfId="8" applyFont="1" applyFill="1" applyBorder="1" applyAlignment="1">
      <alignment horizontal="left" vertical="top" wrapText="1"/>
    </xf>
    <xf numFmtId="0" fontId="13" fillId="25" borderId="0" xfId="8" applyFont="1" applyFill="1" applyAlignment="1">
      <alignment horizontal="left" vertical="top"/>
    </xf>
    <xf numFmtId="0" fontId="14" fillId="25" borderId="0" xfId="8" applyFont="1" applyFill="1" applyAlignment="1">
      <alignment horizontal="left" vertical="top"/>
    </xf>
    <xf numFmtId="172" fontId="14" fillId="25" borderId="0" xfId="8" applyNumberFormat="1" applyFont="1" applyFill="1" applyAlignment="1">
      <alignment horizontal="center" vertical="top"/>
    </xf>
    <xf numFmtId="3" fontId="14" fillId="25" borderId="0" xfId="8" applyNumberFormat="1" applyFont="1" applyFill="1" applyAlignment="1">
      <alignment horizontal="right" vertical="top"/>
    </xf>
    <xf numFmtId="1" fontId="14" fillId="25" borderId="28" xfId="8" applyNumberFormat="1" applyFont="1" applyFill="1" applyBorder="1" applyAlignment="1">
      <alignment horizontal="right" vertical="top"/>
    </xf>
    <xf numFmtId="3" fontId="14" fillId="25" borderId="29" xfId="8" applyNumberFormat="1" applyFont="1" applyFill="1" applyBorder="1" applyAlignment="1">
      <alignment horizontal="right" vertical="top"/>
    </xf>
    <xf numFmtId="3" fontId="14" fillId="25" borderId="28" xfId="8" applyNumberFormat="1" applyFont="1" applyFill="1" applyBorder="1" applyAlignment="1">
      <alignment horizontal="right" vertical="top"/>
    </xf>
    <xf numFmtId="3" fontId="13" fillId="25" borderId="0" xfId="8" applyNumberFormat="1" applyFont="1" applyFill="1" applyAlignment="1">
      <alignment horizontal="right" vertical="top"/>
    </xf>
    <xf numFmtId="3" fontId="13" fillId="25" borderId="29" xfId="8" applyNumberFormat="1" applyFont="1" applyFill="1" applyBorder="1" applyAlignment="1">
      <alignment horizontal="right" vertical="top"/>
    </xf>
    <xf numFmtId="1" fontId="13" fillId="22" borderId="38" xfId="8" applyNumberFormat="1" applyFont="1" applyFill="1" applyBorder="1" applyAlignment="1">
      <alignment horizontal="left" vertical="top"/>
    </xf>
    <xf numFmtId="0" fontId="14" fillId="22" borderId="39" xfId="8" applyFont="1" applyFill="1" applyBorder="1" applyAlignment="1">
      <alignment horizontal="left" vertical="top"/>
    </xf>
    <xf numFmtId="0" fontId="14" fillId="22" borderId="39" xfId="8" applyFont="1" applyFill="1" applyBorder="1" applyAlignment="1">
      <alignment horizontal="right" vertical="top"/>
    </xf>
    <xf numFmtId="3" fontId="14" fillId="22" borderId="40" xfId="8" applyNumberFormat="1" applyFont="1" applyFill="1" applyBorder="1" applyAlignment="1">
      <alignment horizontal="right" vertical="top"/>
    </xf>
    <xf numFmtId="0" fontId="13" fillId="24" borderId="38" xfId="8" applyFont="1" applyFill="1" applyBorder="1" applyAlignment="1">
      <alignment horizontal="left" vertical="top"/>
    </xf>
    <xf numFmtId="0" fontId="13" fillId="24" borderId="39" xfId="8" applyFont="1" applyFill="1" applyBorder="1"/>
    <xf numFmtId="0" fontId="14" fillId="24" borderId="39" xfId="8" applyFont="1" applyFill="1" applyBorder="1"/>
    <xf numFmtId="3" fontId="14" fillId="24" borderId="40" xfId="8" applyNumberFormat="1" applyFont="1" applyFill="1" applyBorder="1"/>
    <xf numFmtId="0" fontId="20" fillId="20" borderId="0" xfId="8" applyFont="1" applyFill="1"/>
    <xf numFmtId="1" fontId="13" fillId="22" borderId="41" xfId="8" applyNumberFormat="1" applyFont="1" applyFill="1" applyBorder="1" applyAlignment="1">
      <alignment horizontal="left" vertical="top"/>
    </xf>
    <xf numFmtId="0" fontId="14" fillId="22" borderId="33" xfId="8" applyFont="1" applyFill="1" applyBorder="1" applyAlignment="1">
      <alignment horizontal="left" vertical="top"/>
    </xf>
    <xf numFmtId="3" fontId="14" fillId="22" borderId="42" xfId="8" applyNumberFormat="1" applyFont="1" applyFill="1" applyBorder="1" applyAlignment="1">
      <alignment horizontal="right" vertical="top"/>
    </xf>
    <xf numFmtId="0" fontId="13" fillId="24" borderId="43" xfId="8" applyFont="1" applyFill="1" applyBorder="1" applyAlignment="1">
      <alignment horizontal="left" vertical="top"/>
    </xf>
    <xf numFmtId="10" fontId="13" fillId="24" borderId="0" xfId="8" applyNumberFormat="1" applyFont="1" applyFill="1"/>
    <xf numFmtId="10" fontId="14" fillId="24" borderId="0" xfId="8" applyNumberFormat="1" applyFont="1" applyFill="1"/>
    <xf numFmtId="3" fontId="14" fillId="24" borderId="44" xfId="8" applyNumberFormat="1" applyFont="1" applyFill="1" applyBorder="1"/>
    <xf numFmtId="1" fontId="14" fillId="20" borderId="0" xfId="8" applyNumberFormat="1" applyFont="1" applyFill="1" applyAlignment="1">
      <alignment horizontal="left" vertical="top"/>
    </xf>
    <xf numFmtId="0" fontId="14" fillId="24" borderId="43" xfId="8" applyFont="1" applyFill="1" applyBorder="1" applyAlignment="1">
      <alignment horizontal="left" vertical="top"/>
    </xf>
    <xf numFmtId="0" fontId="9" fillId="24" borderId="0" xfId="8" applyFont="1" applyFill="1"/>
    <xf numFmtId="0" fontId="13" fillId="24" borderId="0" xfId="8" applyFont="1" applyFill="1"/>
    <xf numFmtId="3" fontId="13" fillId="24" borderId="44" xfId="8" applyNumberFormat="1" applyFont="1" applyFill="1" applyBorder="1"/>
    <xf numFmtId="0" fontId="14" fillId="24" borderId="41" xfId="8" applyFont="1" applyFill="1" applyBorder="1" applyAlignment="1">
      <alignment horizontal="left" vertical="top"/>
    </xf>
    <xf numFmtId="0" fontId="9" fillId="24" borderId="33" xfId="8" applyFont="1" applyFill="1" applyBorder="1"/>
    <xf numFmtId="0" fontId="13" fillId="24" borderId="33" xfId="8" applyFont="1" applyFill="1" applyBorder="1"/>
    <xf numFmtId="3" fontId="13" fillId="24" borderId="42" xfId="8" applyNumberFormat="1" applyFont="1" applyFill="1" applyBorder="1"/>
    <xf numFmtId="0" fontId="9" fillId="0" borderId="45" xfId="8" applyFont="1" applyBorder="1"/>
    <xf numFmtId="0" fontId="12" fillId="0" borderId="0" xfId="8" applyFont="1"/>
    <xf numFmtId="0" fontId="5" fillId="0" borderId="0" xfId="8" applyFont="1"/>
    <xf numFmtId="0" fontId="12" fillId="0" borderId="53" xfId="8" applyFont="1" applyBorder="1" applyAlignment="1">
      <alignment horizontal="center"/>
    </xf>
    <xf numFmtId="0" fontId="12" fillId="0" borderId="0" xfId="8" applyFont="1" applyAlignment="1">
      <alignment horizontal="center"/>
    </xf>
    <xf numFmtId="0" fontId="12" fillId="0" borderId="29" xfId="8" applyFont="1" applyBorder="1" applyAlignment="1">
      <alignment horizontal="center"/>
    </xf>
    <xf numFmtId="0" fontId="12" fillId="0" borderId="28" xfId="8" applyFont="1" applyBorder="1" applyAlignment="1">
      <alignment horizontal="center"/>
    </xf>
    <xf numFmtId="0" fontId="12" fillId="0" borderId="44" xfId="8" applyFont="1" applyBorder="1" applyAlignment="1">
      <alignment horizontal="center"/>
    </xf>
    <xf numFmtId="0" fontId="12" fillId="0" borderId="43" xfId="8" applyFont="1" applyBorder="1" applyAlignment="1">
      <alignment horizontal="center"/>
    </xf>
    <xf numFmtId="0" fontId="12" fillId="0" borderId="54" xfId="8" applyFont="1" applyBorder="1" applyAlignment="1">
      <alignment horizontal="center"/>
    </xf>
    <xf numFmtId="0" fontId="12" fillId="0" borderId="0" xfId="8" applyFont="1" applyAlignment="1">
      <alignment horizontal="right"/>
    </xf>
    <xf numFmtId="10" fontId="9" fillId="0" borderId="55" xfId="8" applyNumberFormat="1" applyFont="1" applyBorder="1"/>
    <xf numFmtId="3" fontId="9" fillId="0" borderId="0" xfId="8" applyNumberFormat="1" applyFont="1"/>
    <xf numFmtId="10" fontId="9" fillId="0" borderId="56" xfId="8" applyNumberFormat="1" applyFont="1" applyBorder="1"/>
    <xf numFmtId="3" fontId="9" fillId="0" borderId="44" xfId="8" applyNumberFormat="1" applyFont="1" applyBorder="1"/>
    <xf numFmtId="3" fontId="9" fillId="0" borderId="29" xfId="8" applyNumberFormat="1" applyFont="1" applyBorder="1"/>
    <xf numFmtId="3" fontId="9" fillId="0" borderId="54" xfId="8" applyNumberFormat="1" applyFont="1" applyBorder="1"/>
    <xf numFmtId="0" fontId="9" fillId="0" borderId="0" xfId="8" applyFont="1" applyAlignment="1">
      <alignment horizontal="right"/>
    </xf>
    <xf numFmtId="10" fontId="9" fillId="0" borderId="57" xfId="8" applyNumberFormat="1" applyFont="1" applyBorder="1"/>
    <xf numFmtId="3" fontId="9" fillId="0" borderId="45" xfId="8" applyNumberFormat="1" applyFont="1" applyBorder="1"/>
    <xf numFmtId="3" fontId="12" fillId="0" borderId="58" xfId="8" applyNumberFormat="1" applyFont="1" applyBorder="1"/>
    <xf numFmtId="10" fontId="9" fillId="0" borderId="59" xfId="8" applyNumberFormat="1" applyFont="1" applyBorder="1"/>
    <xf numFmtId="3" fontId="12" fillId="0" borderId="60" xfId="8" applyNumberFormat="1" applyFont="1" applyBorder="1"/>
    <xf numFmtId="10" fontId="9" fillId="0" borderId="61" xfId="8" applyNumberFormat="1" applyFont="1" applyBorder="1"/>
    <xf numFmtId="10" fontId="9" fillId="0" borderId="45" xfId="8" applyNumberFormat="1" applyFont="1" applyBorder="1"/>
    <xf numFmtId="3" fontId="12" fillId="0" borderId="62" xfId="8" applyNumberFormat="1" applyFont="1" applyBorder="1"/>
    <xf numFmtId="172" fontId="9" fillId="0" borderId="0" xfId="8" applyNumberFormat="1" applyFont="1"/>
    <xf numFmtId="171" fontId="9" fillId="0" borderId="0" xfId="8" applyNumberFormat="1" applyFont="1"/>
    <xf numFmtId="171" fontId="9" fillId="0" borderId="44" xfId="8" applyNumberFormat="1" applyFont="1" applyBorder="1"/>
    <xf numFmtId="0" fontId="12" fillId="0" borderId="25" xfId="8" applyFont="1" applyBorder="1"/>
    <xf numFmtId="0" fontId="9" fillId="0" borderId="26" xfId="8" applyFont="1" applyBorder="1"/>
    <xf numFmtId="0" fontId="9" fillId="0" borderId="27" xfId="8" applyFont="1" applyBorder="1"/>
    <xf numFmtId="0" fontId="23" fillId="0" borderId="28" xfId="8" applyFont="1" applyBorder="1" applyAlignment="1">
      <alignment vertical="top"/>
    </xf>
    <xf numFmtId="0" fontId="9" fillId="0" borderId="29" xfId="8" applyFont="1" applyBorder="1"/>
    <xf numFmtId="0" fontId="9" fillId="0" borderId="28" xfId="8" applyFont="1" applyBorder="1"/>
    <xf numFmtId="171" fontId="9" fillId="0" borderId="29" xfId="8" applyNumberFormat="1" applyFont="1" applyBorder="1"/>
    <xf numFmtId="0" fontId="9" fillId="0" borderId="30" xfId="8" applyFont="1" applyBorder="1"/>
    <xf numFmtId="0" fontId="9" fillId="0" borderId="23" xfId="8" applyFont="1" applyBorder="1"/>
    <xf numFmtId="0" fontId="9" fillId="0" borderId="63" xfId="8" applyFont="1" applyBorder="1"/>
    <xf numFmtId="10" fontId="9" fillId="0" borderId="0" xfId="8" applyNumberFormat="1" applyFont="1"/>
    <xf numFmtId="171" fontId="9" fillId="0" borderId="42" xfId="8" applyNumberFormat="1" applyFont="1" applyBorder="1"/>
    <xf numFmtId="0" fontId="17" fillId="0" borderId="0" xfId="8" applyFont="1"/>
    <xf numFmtId="0" fontId="24" fillId="0" borderId="0" xfId="8" applyFont="1" applyAlignment="1">
      <alignment horizontal="center" wrapText="1"/>
    </xf>
    <xf numFmtId="0" fontId="12" fillId="0" borderId="28" xfId="8" applyFont="1" applyBorder="1"/>
    <xf numFmtId="1" fontId="24" fillId="0" borderId="0" xfId="8" applyNumberFormat="1" applyFont="1" applyAlignment="1">
      <alignment horizontal="center" wrapText="1"/>
    </xf>
    <xf numFmtId="0" fontId="12" fillId="0" borderId="0" xfId="8" applyFont="1" applyAlignment="1">
      <alignment horizontal="center" wrapText="1"/>
    </xf>
    <xf numFmtId="0" fontId="24" fillId="0" borderId="29" xfId="8" applyFont="1" applyBorder="1" applyAlignment="1">
      <alignment horizontal="center" wrapText="1"/>
    </xf>
    <xf numFmtId="1" fontId="9" fillId="0" borderId="0" xfId="8" applyNumberFormat="1" applyFont="1"/>
    <xf numFmtId="0" fontId="25" fillId="0" borderId="54" xfId="8" applyFont="1" applyBorder="1"/>
    <xf numFmtId="0" fontId="24" fillId="0" borderId="33" xfId="8" applyFont="1" applyBorder="1" applyAlignment="1">
      <alignment horizontal="center"/>
    </xf>
    <xf numFmtId="0" fontId="24" fillId="0" borderId="0" xfId="8" applyFont="1" applyAlignment="1">
      <alignment horizontal="center"/>
    </xf>
    <xf numFmtId="0" fontId="24" fillId="0" borderId="29" xfId="8" applyFont="1" applyBorder="1" applyAlignment="1">
      <alignment horizontal="center"/>
    </xf>
    <xf numFmtId="0" fontId="24" fillId="0" borderId="44" xfId="8" applyFont="1" applyBorder="1" applyAlignment="1">
      <alignment horizontal="center"/>
    </xf>
    <xf numFmtId="0" fontId="24" fillId="0" borderId="54" xfId="8" applyFont="1" applyBorder="1" applyAlignment="1">
      <alignment horizontal="right"/>
    </xf>
    <xf numFmtId="10" fontId="25" fillId="0" borderId="42" xfId="8" applyNumberFormat="1" applyFont="1" applyBorder="1" applyAlignment="1">
      <alignment horizontal="right"/>
    </xf>
    <xf numFmtId="3" fontId="25" fillId="0" borderId="0" xfId="8" applyNumberFormat="1" applyFont="1" applyAlignment="1">
      <alignment horizontal="right"/>
    </xf>
    <xf numFmtId="10" fontId="25" fillId="0" borderId="64" xfId="8" applyNumberFormat="1" applyFont="1" applyBorder="1" applyAlignment="1">
      <alignment horizontal="right"/>
    </xf>
    <xf numFmtId="9" fontId="25" fillId="0" borderId="64" xfId="8" applyNumberFormat="1" applyFont="1" applyBorder="1" applyAlignment="1">
      <alignment horizontal="right"/>
    </xf>
    <xf numFmtId="0" fontId="25" fillId="0" borderId="54" xfId="8" applyFont="1" applyBorder="1" applyAlignment="1">
      <alignment horizontal="right"/>
    </xf>
    <xf numFmtId="10" fontId="25" fillId="0" borderId="45" xfId="8" applyNumberFormat="1" applyFont="1" applyBorder="1" applyAlignment="1">
      <alignment horizontal="right"/>
    </xf>
    <xf numFmtId="3" fontId="25" fillId="0" borderId="45" xfId="8" applyNumberFormat="1" applyFont="1" applyBorder="1" applyAlignment="1">
      <alignment horizontal="right"/>
    </xf>
    <xf numFmtId="3" fontId="24" fillId="0" borderId="58" xfId="8" applyNumberFormat="1" applyFont="1" applyBorder="1" applyAlignment="1">
      <alignment horizontal="right"/>
    </xf>
    <xf numFmtId="3" fontId="24" fillId="0" borderId="60" xfId="8" applyNumberFormat="1" applyFont="1" applyBorder="1" applyAlignment="1">
      <alignment horizontal="right"/>
    </xf>
    <xf numFmtId="0" fontId="25" fillId="0" borderId="0" xfId="8" applyFont="1"/>
    <xf numFmtId="0" fontId="25" fillId="0" borderId="45" xfId="8" applyFont="1" applyBorder="1"/>
    <xf numFmtId="172" fontId="25" fillId="0" borderId="45" xfId="8" applyNumberFormat="1" applyFont="1" applyBorder="1" applyAlignment="1">
      <alignment horizontal="right"/>
    </xf>
    <xf numFmtId="171" fontId="25" fillId="0" borderId="45" xfId="8" applyNumberFormat="1" applyFont="1" applyBorder="1" applyAlignment="1">
      <alignment horizontal="right"/>
    </xf>
    <xf numFmtId="0" fontId="12" fillId="20" borderId="0" xfId="8" applyFont="1" applyFill="1"/>
    <xf numFmtId="172" fontId="25" fillId="0" borderId="0" xfId="8" applyNumberFormat="1" applyFont="1" applyAlignment="1">
      <alignment horizontal="right"/>
    </xf>
    <xf numFmtId="171" fontId="25" fillId="0" borderId="0" xfId="8" applyNumberFormat="1" applyFont="1" applyAlignment="1">
      <alignment horizontal="right"/>
    </xf>
    <xf numFmtId="0" fontId="12" fillId="31" borderId="25" xfId="8" applyFont="1" applyFill="1" applyBorder="1"/>
    <xf numFmtId="0" fontId="9" fillId="31" borderId="26" xfId="8" applyFont="1" applyFill="1" applyBorder="1"/>
    <xf numFmtId="0" fontId="9" fillId="31" borderId="27" xfId="8" applyFont="1" applyFill="1" applyBorder="1"/>
    <xf numFmtId="9" fontId="9" fillId="0" borderId="0" xfId="8" applyNumberFormat="1" applyFont="1" applyAlignment="1">
      <alignment horizontal="left"/>
    </xf>
    <xf numFmtId="0" fontId="9" fillId="0" borderId="0" xfId="8" applyFont="1" applyAlignment="1">
      <alignment horizontal="left"/>
    </xf>
    <xf numFmtId="0" fontId="9" fillId="0" borderId="29" xfId="8" applyFont="1" applyBorder="1" applyAlignment="1">
      <alignment horizontal="center" vertical="center"/>
    </xf>
    <xf numFmtId="3" fontId="12" fillId="0" borderId="0" xfId="8" applyNumberFormat="1" applyFont="1"/>
    <xf numFmtId="0" fontId="22" fillId="0" borderId="25" xfId="8" applyFont="1" applyBorder="1" applyAlignment="1">
      <alignment horizontal="center"/>
    </xf>
    <xf numFmtId="0" fontId="17" fillId="0" borderId="26" xfId="8" applyFont="1" applyBorder="1"/>
    <xf numFmtId="0" fontId="17" fillId="0" borderId="27" xfId="8" applyFont="1" applyBorder="1"/>
    <xf numFmtId="0" fontId="12" fillId="32" borderId="28" xfId="8" applyFont="1" applyFill="1" applyBorder="1" applyAlignment="1">
      <alignment horizontal="center"/>
    </xf>
    <xf numFmtId="0" fontId="12" fillId="33" borderId="0" xfId="8" applyFont="1" applyFill="1" applyAlignment="1">
      <alignment horizontal="center"/>
    </xf>
    <xf numFmtId="0" fontId="12" fillId="32" borderId="28" xfId="8" applyFont="1" applyFill="1" applyBorder="1" applyAlignment="1">
      <alignment horizontal="center" wrapText="1"/>
    </xf>
    <xf numFmtId="0" fontId="12" fillId="33" borderId="0" xfId="8" applyFont="1" applyFill="1" applyAlignment="1">
      <alignment horizontal="center" wrapText="1"/>
    </xf>
    <xf numFmtId="0" fontId="12" fillId="0" borderId="29" xfId="8" applyFont="1" applyBorder="1" applyAlignment="1">
      <alignment horizontal="center" wrapText="1"/>
    </xf>
    <xf numFmtId="3" fontId="9" fillId="0" borderId="28" xfId="8" applyNumberFormat="1" applyFont="1" applyBorder="1"/>
    <xf numFmtId="9" fontId="9" fillId="0" borderId="29" xfId="8" applyNumberFormat="1" applyFont="1" applyBorder="1"/>
    <xf numFmtId="3" fontId="9" fillId="19" borderId="0" xfId="8" applyNumberFormat="1" applyFont="1" applyFill="1"/>
    <xf numFmtId="3" fontId="9" fillId="19" borderId="28" xfId="8" applyNumberFormat="1" applyFont="1" applyFill="1" applyBorder="1"/>
    <xf numFmtId="9" fontId="12" fillId="19" borderId="29" xfId="8" applyNumberFormat="1" applyFont="1" applyFill="1" applyBorder="1"/>
    <xf numFmtId="9" fontId="9" fillId="0" borderId="0" xfId="8" applyNumberFormat="1" applyFont="1"/>
    <xf numFmtId="9" fontId="12" fillId="19" borderId="0" xfId="8" applyNumberFormat="1" applyFont="1" applyFill="1"/>
    <xf numFmtId="0" fontId="0" fillId="2" borderId="1" xfId="0" applyFill="1" applyBorder="1" applyAlignment="1">
      <alignment horizontal="center"/>
    </xf>
    <xf numFmtId="0" fontId="0" fillId="0" borderId="0" xfId="0" applyAlignment="1">
      <alignment horizontal="center" wrapText="1"/>
    </xf>
    <xf numFmtId="0" fontId="0" fillId="0" borderId="1"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0" xfId="0" applyFont="1" applyAlignment="1">
      <alignment horizontal="center" vertical="center" wrapText="1"/>
    </xf>
    <xf numFmtId="0" fontId="0" fillId="14" borderId="0" xfId="0" applyFill="1" applyAlignment="1">
      <alignment horizontal="center"/>
    </xf>
    <xf numFmtId="0" fontId="0" fillId="0" borderId="0" xfId="0" applyAlignment="1">
      <alignment horizontal="center" vertical="center" textRotation="90" wrapText="1"/>
    </xf>
    <xf numFmtId="0" fontId="0" fillId="0" borderId="0" xfId="0" applyAlignment="1">
      <alignment horizontal="center" vertical="center" textRotation="90"/>
    </xf>
    <xf numFmtId="0" fontId="6" fillId="8" borderId="0" xfId="0" applyFont="1" applyFill="1" applyAlignment="1">
      <alignment horizont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0" fillId="10" borderId="0" xfId="0" applyFill="1" applyAlignment="1">
      <alignment horizontal="center" wrapText="1"/>
    </xf>
    <xf numFmtId="0" fontId="0" fillId="4" borderId="0" xfId="0" applyFill="1" applyAlignment="1">
      <alignment horizontal="center" wrapText="1"/>
    </xf>
    <xf numFmtId="0" fontId="8" fillId="13" borderId="0" xfId="0" applyFont="1" applyFill="1" applyAlignment="1">
      <alignment horizontal="center"/>
    </xf>
    <xf numFmtId="0" fontId="8" fillId="10" borderId="21" xfId="0" applyFont="1" applyFill="1" applyBorder="1" applyAlignment="1">
      <alignment horizontal="center"/>
    </xf>
    <xf numFmtId="0" fontId="8" fillId="10" borderId="0" xfId="0" applyFont="1" applyFill="1" applyBorder="1" applyAlignment="1">
      <alignment horizontal="center"/>
    </xf>
    <xf numFmtId="0" fontId="0" fillId="0" borderId="1" xfId="0" applyBorder="1" applyAlignment="1">
      <alignment horizontal="left" vertical="top" wrapText="1"/>
    </xf>
    <xf numFmtId="0" fontId="0" fillId="0" borderId="8" xfId="0" applyBorder="1" applyAlignment="1">
      <alignment horizontal="center" vertical="top" wrapText="1"/>
    </xf>
    <xf numFmtId="0" fontId="0" fillId="7" borderId="0" xfId="0" applyFont="1" applyFill="1" applyAlignment="1">
      <alignment horizontal="center" vertical="center" textRotation="90"/>
    </xf>
    <xf numFmtId="0" fontId="0" fillId="0" borderId="0" xfId="0" applyFont="1" applyAlignment="1">
      <alignment horizontal="left" wrapText="1"/>
    </xf>
    <xf numFmtId="0" fontId="0" fillId="8" borderId="0" xfId="0" applyFont="1" applyFill="1" applyAlignment="1">
      <alignment horizontal="center" textRotation="90"/>
    </xf>
    <xf numFmtId="0" fontId="22" fillId="0" borderId="25" xfId="8" applyFont="1" applyBorder="1" applyAlignment="1">
      <alignment horizontal="center"/>
    </xf>
    <xf numFmtId="0" fontId="17" fillId="0" borderId="26" xfId="8" applyFont="1" applyBorder="1"/>
    <xf numFmtId="0" fontId="17" fillId="0" borderId="27" xfId="8" applyFont="1" applyBorder="1"/>
    <xf numFmtId="0" fontId="12" fillId="0" borderId="0" xfId="8" applyFont="1" applyAlignment="1">
      <alignment horizontal="center"/>
    </xf>
    <xf numFmtId="0" fontId="17" fillId="0" borderId="0" xfId="8" applyFont="1"/>
    <xf numFmtId="0" fontId="22" fillId="0" borderId="0" xfId="8" applyFont="1" applyAlignment="1">
      <alignment horizontal="left"/>
    </xf>
    <xf numFmtId="0" fontId="12" fillId="0" borderId="0" xfId="8" applyFont="1"/>
    <xf numFmtId="0" fontId="17" fillId="0" borderId="29" xfId="8" applyFont="1" applyBorder="1"/>
    <xf numFmtId="0" fontId="24" fillId="0" borderId="0" xfId="8" applyFont="1" applyAlignment="1">
      <alignment horizontal="center"/>
    </xf>
    <xf numFmtId="0" fontId="10" fillId="0" borderId="0" xfId="8"/>
    <xf numFmtId="0" fontId="17" fillId="0" borderId="44" xfId="8" applyFont="1" applyBorder="1"/>
    <xf numFmtId="0" fontId="22" fillId="30" borderId="46" xfId="8" applyFont="1" applyFill="1" applyBorder="1" applyAlignment="1">
      <alignment horizontal="left"/>
    </xf>
    <xf numFmtId="0" fontId="17" fillId="0" borderId="47" xfId="8" applyFont="1" applyBorder="1"/>
    <xf numFmtId="0" fontId="22" fillId="30" borderId="47" xfId="8" applyFont="1" applyFill="1" applyBorder="1" applyAlignment="1">
      <alignment horizontal="left"/>
    </xf>
    <xf numFmtId="0" fontId="17" fillId="0" borderId="48" xfId="8" applyFont="1" applyBorder="1"/>
    <xf numFmtId="0" fontId="12" fillId="0" borderId="51" xfId="8" applyFont="1" applyBorder="1" applyAlignment="1">
      <alignment horizontal="center"/>
    </xf>
    <xf numFmtId="0" fontId="12" fillId="0" borderId="25" xfId="8" applyFont="1" applyBorder="1" applyAlignment="1">
      <alignment horizontal="center"/>
    </xf>
    <xf numFmtId="0" fontId="17" fillId="0" borderId="52" xfId="8" applyFont="1" applyBorder="1"/>
    <xf numFmtId="0" fontId="23" fillId="0" borderId="28" xfId="8" applyFont="1" applyBorder="1" applyAlignment="1">
      <alignment vertical="top" wrapText="1"/>
    </xf>
    <xf numFmtId="0" fontId="12" fillId="16" borderId="0" xfId="8" applyFont="1" applyFill="1" applyAlignment="1">
      <alignment horizontal="center"/>
    </xf>
    <xf numFmtId="0" fontId="22" fillId="28" borderId="46" xfId="8" applyFont="1" applyFill="1" applyBorder="1" applyAlignment="1">
      <alignment horizontal="left"/>
    </xf>
    <xf numFmtId="0" fontId="17" fillId="29" borderId="47" xfId="8" applyFont="1" applyFill="1" applyBorder="1"/>
    <xf numFmtId="0" fontId="22" fillId="28" borderId="47" xfId="8" applyFont="1" applyFill="1" applyBorder="1" applyAlignment="1">
      <alignment horizontal="left"/>
    </xf>
    <xf numFmtId="0" fontId="17" fillId="29" borderId="48" xfId="8" applyFont="1" applyFill="1" applyBorder="1"/>
    <xf numFmtId="0" fontId="22" fillId="28" borderId="49" xfId="8" applyFont="1" applyFill="1" applyBorder="1" applyAlignment="1">
      <alignment horizontal="left"/>
    </xf>
    <xf numFmtId="0" fontId="17" fillId="29" borderId="50" xfId="8" applyFont="1" applyFill="1" applyBorder="1"/>
    <xf numFmtId="0" fontId="12" fillId="0" borderId="25" xfId="8" applyFont="1" applyBorder="1"/>
    <xf numFmtId="0" fontId="22" fillId="26" borderId="46" xfId="8" applyFont="1" applyFill="1" applyBorder="1" applyAlignment="1">
      <alignment horizontal="left"/>
    </xf>
    <xf numFmtId="0" fontId="17" fillId="27" borderId="47" xfId="8" applyFont="1" applyFill="1" applyBorder="1"/>
    <xf numFmtId="0" fontId="22" fillId="26" borderId="47" xfId="8" applyFont="1" applyFill="1" applyBorder="1" applyAlignment="1">
      <alignment horizontal="left"/>
    </xf>
    <xf numFmtId="0" fontId="17" fillId="27" borderId="48" xfId="8" applyFont="1" applyFill="1" applyBorder="1"/>
    <xf numFmtId="0" fontId="22" fillId="26" borderId="49" xfId="8" applyFont="1" applyFill="1" applyBorder="1" applyAlignment="1">
      <alignment horizontal="left"/>
    </xf>
    <xf numFmtId="0" fontId="17" fillId="27" borderId="50" xfId="8" applyFont="1" applyFill="1" applyBorder="1"/>
    <xf numFmtId="0" fontId="12" fillId="0" borderId="26" xfId="8" applyFont="1" applyBorder="1" applyAlignment="1">
      <alignment horizontal="center"/>
    </xf>
    <xf numFmtId="0" fontId="13" fillId="22" borderId="34" xfId="8" applyFont="1" applyFill="1" applyBorder="1" applyAlignment="1">
      <alignment horizontal="center" wrapText="1"/>
    </xf>
    <xf numFmtId="0" fontId="17" fillId="0" borderId="35" xfId="8" applyFont="1" applyBorder="1"/>
    <xf numFmtId="0" fontId="17" fillId="0" borderId="36" xfId="8" applyFont="1" applyBorder="1"/>
    <xf numFmtId="0" fontId="13" fillId="24" borderId="34" xfId="8" applyFont="1" applyFill="1" applyBorder="1" applyAlignment="1">
      <alignment horizontal="center" wrapText="1"/>
    </xf>
    <xf numFmtId="0" fontId="13" fillId="24" borderId="35" xfId="8" applyFont="1" applyFill="1" applyBorder="1" applyAlignment="1">
      <alignment horizontal="center" wrapText="1"/>
    </xf>
    <xf numFmtId="0" fontId="13" fillId="24" borderId="36" xfId="8" applyFont="1" applyFill="1" applyBorder="1" applyAlignment="1">
      <alignment horizontal="center" wrapText="1"/>
    </xf>
    <xf numFmtId="0" fontId="13" fillId="24" borderId="25" xfId="8" applyFont="1" applyFill="1" applyBorder="1" applyAlignment="1">
      <alignment horizontal="center" wrapText="1"/>
    </xf>
    <xf numFmtId="0" fontId="11" fillId="0" borderId="0" xfId="8" applyFont="1" applyAlignment="1">
      <alignment horizontal="center" wrapText="1"/>
    </xf>
    <xf numFmtId="0" fontId="12" fillId="0" borderId="0" xfId="8" applyFont="1" applyAlignment="1">
      <alignment vertical="center" wrapText="1"/>
    </xf>
    <xf numFmtId="0" fontId="13" fillId="19" borderId="28" xfId="8" applyFont="1" applyFill="1" applyBorder="1" applyAlignment="1">
      <alignment horizontal="right" wrapText="1"/>
    </xf>
    <xf numFmtId="0" fontId="13" fillId="19" borderId="30" xfId="8" applyFont="1" applyFill="1" applyBorder="1" applyAlignment="1">
      <alignment horizontal="right" wrapText="1"/>
    </xf>
    <xf numFmtId="0" fontId="17" fillId="0" borderId="23" xfId="8" applyFont="1" applyBorder="1"/>
    <xf numFmtId="3" fontId="0" fillId="34" borderId="1" xfId="0" applyNumberFormat="1" applyFill="1" applyBorder="1"/>
    <xf numFmtId="173" fontId="0" fillId="0" borderId="1" xfId="0" applyNumberFormat="1" applyBorder="1"/>
    <xf numFmtId="0" fontId="0" fillId="0" borderId="13" xfId="0" applyBorder="1" applyAlignment="1">
      <alignment horizontal="center"/>
    </xf>
    <xf numFmtId="0" fontId="0" fillId="0" borderId="14" xfId="0" applyBorder="1" applyAlignment="1">
      <alignment horizontal="center"/>
    </xf>
    <xf numFmtId="0" fontId="0" fillId="0" borderId="4" xfId="0" applyBorder="1" applyAlignment="1">
      <alignment horizontal="center"/>
    </xf>
    <xf numFmtId="0" fontId="5" fillId="0" borderId="0" xfId="0" applyFont="1" applyAlignment="1">
      <alignment vertical="top"/>
    </xf>
    <xf numFmtId="0" fontId="5" fillId="0" borderId="0" xfId="0" applyFont="1" applyAlignment="1">
      <alignment horizontal="center" vertical="top" wrapText="1"/>
    </xf>
    <xf numFmtId="173" fontId="0" fillId="0" borderId="0" xfId="0" applyNumberFormat="1"/>
    <xf numFmtId="173" fontId="0" fillId="29" borderId="0" xfId="0" applyNumberFormat="1" applyFill="1"/>
    <xf numFmtId="3" fontId="0" fillId="13" borderId="0" xfId="0" applyNumberFormat="1" applyFill="1"/>
    <xf numFmtId="3" fontId="0" fillId="13" borderId="16" xfId="0" applyNumberFormat="1" applyFill="1" applyBorder="1"/>
    <xf numFmtId="0" fontId="26" fillId="0" borderId="0" xfId="0" applyFont="1" applyAlignment="1">
      <alignment vertical="top" wrapText="1"/>
    </xf>
    <xf numFmtId="0" fontId="0" fillId="0" borderId="0" xfId="0" applyAlignment="1">
      <alignment vertical="top" wrapText="1"/>
    </xf>
    <xf numFmtId="0" fontId="22" fillId="0" borderId="65" xfId="0" applyFont="1" applyBorder="1" applyAlignment="1">
      <alignment horizontal="center" vertical="center" wrapText="1"/>
    </xf>
    <xf numFmtId="0" fontId="5" fillId="0" borderId="15" xfId="0" applyFont="1" applyBorder="1" applyAlignment="1">
      <alignment horizontal="center" wrapText="1"/>
    </xf>
    <xf numFmtId="0" fontId="5" fillId="0" borderId="66" xfId="0" applyFont="1" applyBorder="1" applyAlignment="1">
      <alignment horizontal="center" wrapText="1"/>
    </xf>
    <xf numFmtId="0" fontId="5" fillId="0" borderId="15" xfId="0" applyFont="1" applyBorder="1" applyAlignment="1">
      <alignment horizontal="center" vertical="center"/>
    </xf>
    <xf numFmtId="0" fontId="5" fillId="0" borderId="15" xfId="0" applyFont="1" applyBorder="1" applyAlignment="1">
      <alignment horizontal="center" vertical="center" wrapText="1"/>
    </xf>
    <xf numFmtId="0" fontId="5" fillId="0" borderId="67" xfId="0" applyFont="1" applyBorder="1" applyAlignment="1">
      <alignment horizontal="center" wrapText="1"/>
    </xf>
    <xf numFmtId="0" fontId="22" fillId="0" borderId="68" xfId="0" applyFont="1" applyBorder="1" applyAlignment="1">
      <alignment horizontal="center" vertical="center" wrapText="1"/>
    </xf>
    <xf numFmtId="0" fontId="5" fillId="0" borderId="66" xfId="0" applyFont="1" applyBorder="1" applyAlignment="1">
      <alignment horizontal="center" vertical="center"/>
    </xf>
    <xf numFmtId="0" fontId="5" fillId="0" borderId="66" xfId="0" applyFont="1" applyBorder="1" applyAlignment="1">
      <alignment horizontal="center" vertical="center"/>
    </xf>
    <xf numFmtId="0" fontId="5" fillId="0" borderId="6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5" xfId="0" applyFont="1" applyBorder="1" applyAlignment="1">
      <alignment horizontal="center" vertical="center" wrapText="1"/>
    </xf>
    <xf numFmtId="7" fontId="5" fillId="0" borderId="15" xfId="0" applyNumberFormat="1" applyFont="1" applyBorder="1" applyAlignment="1">
      <alignment horizontal="center" vertical="center" wrapText="1"/>
    </xf>
    <xf numFmtId="0" fontId="5" fillId="0" borderId="69" xfId="0" applyFont="1" applyBorder="1" applyAlignment="1">
      <alignment horizontal="center" wrapText="1"/>
    </xf>
    <xf numFmtId="0" fontId="5" fillId="0" borderId="0" xfId="0" applyFont="1" applyAlignment="1">
      <alignment horizontal="center"/>
    </xf>
    <xf numFmtId="171" fontId="0" fillId="0" borderId="0" xfId="0" applyNumberFormat="1"/>
    <xf numFmtId="171" fontId="0" fillId="0" borderId="0" xfId="0" applyNumberFormat="1" applyAlignment="1">
      <alignment horizontal="right"/>
    </xf>
    <xf numFmtId="5" fontId="5" fillId="0" borderId="0" xfId="0" applyNumberFormat="1" applyFont="1"/>
    <xf numFmtId="5" fontId="0" fillId="0" borderId="0" xfId="0" applyNumberFormat="1"/>
    <xf numFmtId="171" fontId="28" fillId="0" borderId="0" xfId="0" applyNumberFormat="1" applyFont="1" applyAlignment="1">
      <alignment horizontal="right"/>
    </xf>
    <xf numFmtId="5" fontId="28" fillId="0" borderId="0" xfId="0" applyNumberFormat="1" applyFont="1"/>
    <xf numFmtId="171" fontId="0" fillId="0" borderId="0" xfId="0" applyNumberFormat="1" applyAlignment="1">
      <alignment horizontal="center"/>
    </xf>
    <xf numFmtId="11" fontId="0" fillId="0" borderId="0" xfId="0" applyNumberFormat="1" applyAlignment="1">
      <alignment horizontal="right"/>
    </xf>
    <xf numFmtId="11" fontId="0" fillId="0" borderId="0" xfId="0" applyNumberFormat="1" applyAlignment="1">
      <alignment horizontal="center"/>
    </xf>
    <xf numFmtId="11" fontId="0" fillId="0" borderId="0" xfId="0" applyNumberFormat="1"/>
  </cellXfs>
  <cellStyles count="9">
    <cellStyle name="Comma" xfId="1" builtinId="3"/>
    <cellStyle name="Comma 2" xfId="6" xr:uid="{DB48A23A-BFBF-4F92-9E16-83C1354648AC}"/>
    <cellStyle name="Currency" xfId="2" builtinId="4"/>
    <cellStyle name="Currency 2" xfId="5" xr:uid="{4961909D-4972-4E5A-863B-1FA67DA00995}"/>
    <cellStyle name="Hyperlink" xfId="4" builtinId="8"/>
    <cellStyle name="Normal" xfId="0" builtinId="0"/>
    <cellStyle name="Normal 2" xfId="8" xr:uid="{4BFB3B97-7357-4FD9-9290-36A4DE15D7AB}"/>
    <cellStyle name="Percent" xfId="3" builtinId="5"/>
    <cellStyle name="Percent 2" xfId="7" xr:uid="{1F0BBE8B-FA94-454C-BEBE-01B6179E0A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baseline="0"/>
              <a:t>Monetized Scores for Wood Waste Management Method Environmental Damage Costs Minus Benefits ($/ton wood)</a:t>
            </a:r>
            <a:endParaRPr lang="en-US" sz="1200" b="1"/>
          </a:p>
        </c:rich>
      </c:tx>
      <c:layout>
        <c:manualLayout>
          <c:xMode val="edge"/>
          <c:yMode val="edge"/>
          <c:x val="0.13626297087676634"/>
          <c:y val="1.56311059007424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477737509198157"/>
          <c:y val="0.15397623948823513"/>
          <c:w val="0.84773636803645425"/>
          <c:h val="0.47571578464766934"/>
        </c:manualLayout>
      </c:layout>
      <c:barChart>
        <c:barDir val="col"/>
        <c:grouping val="clustered"/>
        <c:varyColors val="0"/>
        <c:ser>
          <c:idx val="0"/>
          <c:order val="0"/>
          <c:spPr>
            <a:solidFill>
              <a:schemeClr val="accent1"/>
            </a:solidFill>
            <a:ln>
              <a:solidFill>
                <a:schemeClr val="tx1"/>
              </a:solidFill>
            </a:ln>
            <a:effectLst/>
          </c:spPr>
          <c:invertIfNegative val="0"/>
          <c:cat>
            <c:strLit>
              <c:ptCount val="8"/>
              <c:pt idx="0">
                <c:v>Reuse</c:v>
              </c:pt>
              <c:pt idx="1">
                <c:v>Reconstituted Wood</c:v>
              </c:pt>
              <c:pt idx="2">
                <c:v>Papermaking Pulp</c:v>
              </c:pt>
              <c:pt idx="3">
                <c:v>Landfill-75% LFG Capture</c:v>
              </c:pt>
              <c:pt idx="4">
                <c:v>WTE</c:v>
              </c:pt>
              <c:pt idx="5">
                <c:v>Composting</c:v>
              </c:pt>
              <c:pt idx="6">
                <c:v>Landfill-No LFG Capture</c:v>
              </c:pt>
              <c:pt idx="7">
                <c:v>Hog Fuel</c:v>
              </c:pt>
            </c:strLit>
          </c:cat>
          <c:val>
            <c:numLit>
              <c:formatCode>General</c:formatCode>
              <c:ptCount val="8"/>
              <c:pt idx="0">
                <c:v>-1180.4147412006</c:v>
              </c:pt>
              <c:pt idx="1">
                <c:v>-139.58615503600001</c:v>
              </c:pt>
              <c:pt idx="2">
                <c:v>-104.99234703199997</c:v>
              </c:pt>
              <c:pt idx="3">
                <c:v>86.522317284624989</c:v>
              </c:pt>
              <c:pt idx="4">
                <c:v>120.21200001344502</c:v>
              </c:pt>
              <c:pt idx="5">
                <c:v>130.14399637351801</c:v>
              </c:pt>
              <c:pt idx="6">
                <c:v>170.90623181912403</c:v>
              </c:pt>
              <c:pt idx="7">
                <c:v>1119.4471542094902</c:v>
              </c:pt>
            </c:numLit>
          </c:val>
          <c:extLst>
            <c:ext xmlns:c16="http://schemas.microsoft.com/office/drawing/2014/chart" uri="{C3380CC4-5D6E-409C-BE32-E72D297353CC}">
              <c16:uniqueId val="{00000000-A666-42EC-9A7F-0C772B646A32}"/>
            </c:ext>
          </c:extLst>
        </c:ser>
        <c:dLbls>
          <c:showLegendKey val="0"/>
          <c:showVal val="0"/>
          <c:showCatName val="0"/>
          <c:showSerName val="0"/>
          <c:showPercent val="0"/>
          <c:showBubbleSize val="0"/>
        </c:dLbls>
        <c:gapWidth val="219"/>
        <c:overlap val="-27"/>
        <c:axId val="395725216"/>
        <c:axId val="395725544"/>
      </c:barChart>
      <c:catAx>
        <c:axId val="395725216"/>
        <c:scaling>
          <c:orientation val="minMax"/>
        </c:scaling>
        <c:delete val="0"/>
        <c:axPos val="b"/>
        <c:numFmt formatCode="General" sourceLinked="1"/>
        <c:majorTickMark val="none"/>
        <c:minorTickMark val="none"/>
        <c:tickLblPos val="low"/>
        <c:spPr>
          <a:noFill/>
          <a:ln w="12700" cap="flat" cmpd="sng" algn="ctr">
            <a:solidFill>
              <a:schemeClr val="tx1"/>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395725544"/>
        <c:crossesAt val="0"/>
        <c:auto val="1"/>
        <c:lblAlgn val="ctr"/>
        <c:lblOffset val="100"/>
        <c:noMultiLvlLbl val="0"/>
      </c:catAx>
      <c:valAx>
        <c:axId val="395725544"/>
        <c:scaling>
          <c:orientation val="minMax"/>
        </c:scaling>
        <c:delete val="0"/>
        <c:axPos val="l"/>
        <c:majorGridlines>
          <c:spPr>
            <a:ln w="9525" cap="flat" cmpd="sng" algn="ctr">
              <a:solidFill>
                <a:schemeClr val="tx1"/>
              </a:solidFill>
              <a:round/>
            </a:ln>
            <a:effectLst/>
          </c:spPr>
        </c:majorGridlines>
        <c:numFmt formatCode="General" sourceLinked="1"/>
        <c:majorTickMark val="out"/>
        <c:minorTickMark val="none"/>
        <c:tickLblPos val="low"/>
        <c:spPr>
          <a:noFill/>
          <a:ln>
            <a:solidFill>
              <a:schemeClr val="tx1"/>
            </a:solid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395725216"/>
        <c:crossesAt val="1"/>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464820</xdr:colOff>
      <xdr:row>17</xdr:row>
      <xdr:rowOff>22860</xdr:rowOff>
    </xdr:from>
    <xdr:to>
      <xdr:col>20</xdr:col>
      <xdr:colOff>419100</xdr:colOff>
      <xdr:row>34</xdr:row>
      <xdr:rowOff>163830</xdr:rowOff>
    </xdr:to>
    <xdr:graphicFrame macro="">
      <xdr:nvGraphicFramePr>
        <xdr:cNvPr id="2" name="Chart 1">
          <a:extLst>
            <a:ext uri="{FF2B5EF4-FFF2-40B4-BE49-F238E27FC236}">
              <a16:creationId xmlns:a16="http://schemas.microsoft.com/office/drawing/2014/main" id="{2BD648A2-A6E6-4E02-9BFB-87B5520680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ersullivan\AppData\Local\Microsoft\Windows\INetCache\Content.Outlook\Z1XD0222\Circular%20Lumber%20WARM%20Calculations%20for%20CPRG%20v4_Final_NS%20(002).xlsx" TargetMode="External"/><Relationship Id="rId1" Type="http://schemas.openxmlformats.org/officeDocument/2006/relationships/externalLinkPath" Target="file:///C:\Users\tersullivan\AppData\Local\Microsoft\Windows\INetCache\Content.Outlook\Z1XD0222\Circular%20Lumber%20WARM%20Calculations%20for%20CPRG%20v4_Final_NS%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lculations -flow control slow"/>
      <sheetName val="PM2.5 and VOCs"/>
    </sheetNames>
    <sheetDataSet>
      <sheetData sheetId="0"/>
      <sheetData sheetId="1">
        <row r="11">
          <cell r="C11">
            <v>-2.976</v>
          </cell>
          <cell r="D11">
            <v>-339.8526</v>
          </cell>
          <cell r="E11">
            <v>-0.49992120000000001</v>
          </cell>
        </row>
        <row r="36">
          <cell r="C36">
            <v>2.128E-2</v>
          </cell>
          <cell r="D36">
            <v>-9.7880000000000003</v>
          </cell>
          <cell r="E36">
            <v>2.011412</v>
          </cell>
        </row>
        <row r="43">
          <cell r="C43">
            <v>2.5372000000000003</v>
          </cell>
          <cell r="D43">
            <v>1774.28</v>
          </cell>
          <cell r="E43">
            <v>2.7579579999999999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public.tableau.com/app/profile/nrel.buildingstock/viz/StateLevelResidentialBuildingStockandEnergyEfficiencyElectrificationPackagesAnalysis/Introductio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hyperlink" Target="https://public.tableau.com/app/profile/nrel.buildingstock/viz/StateLevelResidentialBuildingStockandEnergyEfficiencyElectrificationPackagesAnalysis/Introduction"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hyperlink" Target="https://portfoliomanager.energystar.gov/pdf/reference/Emissions.pdf" TargetMode="External"/><Relationship Id="rId2" Type="http://schemas.openxmlformats.org/officeDocument/2006/relationships/hyperlink" Target="https://portfoliomanager.energystar.gov/pdf/reference/Thermal%20Conversions.pdf" TargetMode="External"/><Relationship Id="rId1" Type="http://schemas.openxmlformats.org/officeDocument/2006/relationships/hyperlink" Target="https://docs.google.com/spreadsheets/d/1MY2dNo_5VXCvppDA3nIpnMDhH3FG2MlxBcLiOggj-xQ/edit"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5F1EE-DF27-47DE-A73C-B38C9C5D13CD}">
  <dimension ref="B2:H13"/>
  <sheetViews>
    <sheetView tabSelected="1" topLeftCell="A2" workbookViewId="0">
      <selection activeCell="H16" sqref="H16"/>
    </sheetView>
  </sheetViews>
  <sheetFormatPr defaultRowHeight="14.5" x14ac:dyDescent="0.35"/>
  <cols>
    <col min="1" max="1" width="5.1796875" style="22" customWidth="1"/>
    <col min="2" max="3" width="3.08984375" style="22" customWidth="1"/>
    <col min="4" max="4" width="40.08984375" style="22" customWidth="1"/>
    <col min="5" max="6" width="16.26953125" style="37" customWidth="1"/>
    <col min="7" max="7" width="12.36328125" style="22" customWidth="1"/>
    <col min="8" max="8" width="20.08984375" style="22" customWidth="1"/>
    <col min="9" max="16384" width="8.7265625" style="22"/>
  </cols>
  <sheetData>
    <row r="2" spans="2:8" ht="58" x14ac:dyDescent="0.35">
      <c r="B2" s="345" t="s">
        <v>56</v>
      </c>
      <c r="C2" s="345"/>
      <c r="D2" s="345"/>
      <c r="E2" s="40" t="s">
        <v>49</v>
      </c>
      <c r="F2" s="40" t="s">
        <v>652</v>
      </c>
      <c r="G2" s="40" t="s">
        <v>715</v>
      </c>
      <c r="H2" s="40" t="s">
        <v>716</v>
      </c>
    </row>
    <row r="3" spans="2:8" ht="17.5" customHeight="1" x14ac:dyDescent="0.35">
      <c r="B3" s="39" t="s">
        <v>717</v>
      </c>
      <c r="C3" s="39"/>
      <c r="D3" s="41"/>
      <c r="E3" s="113">
        <f>SUM(E4:E6)</f>
        <v>7591.63</v>
      </c>
      <c r="F3" s="113">
        <f>SUM(F4:F6)</f>
        <v>37662.75</v>
      </c>
      <c r="G3" s="127">
        <v>19889700</v>
      </c>
      <c r="H3" s="127">
        <f>G3/E3</f>
        <v>2619.9511830792594</v>
      </c>
    </row>
    <row r="4" spans="2:8" ht="17.5" customHeight="1" x14ac:dyDescent="0.35">
      <c r="B4" s="43"/>
      <c r="C4" s="42"/>
      <c r="D4" s="115" t="s">
        <v>77</v>
      </c>
      <c r="E4" s="86">
        <f>'Multifamily Program'!H5</f>
        <v>2658.1</v>
      </c>
      <c r="F4" s="86">
        <f>'Multifamily Program'!I5</f>
        <v>13290.5</v>
      </c>
      <c r="G4" s="128"/>
      <c r="H4" s="127"/>
    </row>
    <row r="5" spans="2:8" ht="17.5" customHeight="1" x14ac:dyDescent="0.35">
      <c r="B5" s="43"/>
      <c r="C5" s="42"/>
      <c r="D5" s="42" t="s">
        <v>53</v>
      </c>
      <c r="E5" s="86">
        <f>'Multifamily Program'!H6</f>
        <v>1357.03</v>
      </c>
      <c r="F5" s="86">
        <f>'Multifamily Program'!I6</f>
        <v>6645.25</v>
      </c>
      <c r="G5" s="128"/>
      <c r="H5" s="127"/>
    </row>
    <row r="6" spans="2:8" ht="17.5" customHeight="1" x14ac:dyDescent="0.35">
      <c r="B6" s="43"/>
      <c r="C6" s="42"/>
      <c r="D6" s="46" t="s">
        <v>54</v>
      </c>
      <c r="E6" s="86">
        <f>'Multifamily Program'!H7</f>
        <v>3576.5</v>
      </c>
      <c r="F6" s="86">
        <f>'Multifamily Program'!I7</f>
        <v>17727</v>
      </c>
      <c r="G6" s="128"/>
      <c r="H6" s="127"/>
    </row>
    <row r="7" spans="2:8" ht="17.5" customHeight="1" x14ac:dyDescent="0.35">
      <c r="B7" s="39" t="s">
        <v>718</v>
      </c>
      <c r="C7" s="39"/>
      <c r="D7" s="39"/>
      <c r="E7" s="113">
        <f>E8+E9</f>
        <v>6956.6096402258236</v>
      </c>
      <c r="F7" s="113">
        <f>F8+F9</f>
        <v>43407.796685491594</v>
      </c>
      <c r="G7" s="127">
        <v>24356264</v>
      </c>
      <c r="H7" s="127">
        <f t="shared" ref="H4:H12" si="0">G7/E7</f>
        <v>3501.1687099938172</v>
      </c>
    </row>
    <row r="8" spans="2:8" ht="17.5" customHeight="1" x14ac:dyDescent="0.35">
      <c r="B8" s="43"/>
      <c r="C8" s="42"/>
      <c r="D8" s="44" t="s">
        <v>55</v>
      </c>
      <c r="E8" s="86">
        <f>'Community Programs'!D5</f>
        <v>2840.814228232126</v>
      </c>
      <c r="F8" s="86">
        <f>'Community Programs'!E5</f>
        <v>14444.818109654878</v>
      </c>
      <c r="G8" s="128"/>
      <c r="H8" s="127"/>
    </row>
    <row r="9" spans="2:8" ht="17.5" customHeight="1" x14ac:dyDescent="0.35">
      <c r="B9" s="45"/>
      <c r="C9" s="46"/>
      <c r="D9" s="47" t="s">
        <v>705</v>
      </c>
      <c r="E9" s="86">
        <f>'Community Programs'!D3+'Community Programs'!D4</f>
        <v>4115.7954119936976</v>
      </c>
      <c r="F9" s="86">
        <f>'Community Programs'!E3+'Community Programs'!E4</f>
        <v>28962.978575836714</v>
      </c>
      <c r="G9" s="128"/>
      <c r="H9" s="127"/>
    </row>
    <row r="10" spans="2:8" ht="17.5" customHeight="1" x14ac:dyDescent="0.35">
      <c r="B10" s="41" t="s">
        <v>719</v>
      </c>
      <c r="C10" s="41"/>
      <c r="D10" s="41"/>
      <c r="E10" s="113">
        <f>'Salvaged Lumber'!C6*-1</f>
        <v>25004.76</v>
      </c>
      <c r="F10" s="113">
        <f>'Salvaged Lumber'!D6*-1</f>
        <v>161394.35999999996</v>
      </c>
      <c r="G10" s="127">
        <v>1307509</v>
      </c>
      <c r="H10" s="127">
        <f t="shared" si="0"/>
        <v>52.290403907096092</v>
      </c>
    </row>
    <row r="11" spans="2:8" ht="17.5" customHeight="1" x14ac:dyDescent="0.35">
      <c r="B11" s="39" t="s">
        <v>52</v>
      </c>
      <c r="C11" s="39"/>
      <c r="D11" s="39"/>
      <c r="E11" s="113">
        <v>59213</v>
      </c>
      <c r="F11" s="113">
        <v>90355</v>
      </c>
      <c r="G11" s="127">
        <v>3560303</v>
      </c>
      <c r="H11" s="127">
        <f t="shared" si="0"/>
        <v>60.127049803252667</v>
      </c>
    </row>
    <row r="12" spans="2:8" ht="15" thickBot="1" x14ac:dyDescent="0.4">
      <c r="B12" s="39" t="s">
        <v>720</v>
      </c>
      <c r="C12" s="39"/>
      <c r="D12" s="39"/>
      <c r="E12" s="114">
        <f>'Scaling Financing'!G21+'Scaling Financing'!L21</f>
        <v>2757.9242559867275</v>
      </c>
      <c r="F12" s="114">
        <f>'Scaling Financing'!G41+'Scaling Financing'!L41</f>
        <v>2757.9242559867275</v>
      </c>
      <c r="G12" s="129">
        <v>886198</v>
      </c>
      <c r="H12" s="127">
        <f t="shared" si="0"/>
        <v>321.32789654258903</v>
      </c>
    </row>
    <row r="13" spans="2:8" ht="15" thickBot="1" x14ac:dyDescent="0.4">
      <c r="B13" s="48"/>
      <c r="C13" s="50"/>
      <c r="D13" s="51" t="s">
        <v>78</v>
      </c>
      <c r="E13" s="49">
        <f>E3+E7+E10+E11+E12</f>
        <v>101523.92389621255</v>
      </c>
      <c r="F13" s="49">
        <f>F3+F7+F10+F11+F12</f>
        <v>335577.83094147831</v>
      </c>
      <c r="G13" s="130">
        <f>SUM(G3:G12)</f>
        <v>49999974</v>
      </c>
      <c r="H13" s="130">
        <f>G13/E13</f>
        <v>492.49449864757736</v>
      </c>
    </row>
  </sheetData>
  <mergeCells count="1">
    <mergeCell ref="B2:D2"/>
  </mergeCell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5A71-4D7D-4EC4-B876-B98119FAFD24}">
  <sheetPr filterMode="1"/>
  <dimension ref="A1:AY236"/>
  <sheetViews>
    <sheetView workbookViewId="0">
      <selection activeCell="AJ8" sqref="AJ8:AJ95"/>
    </sheetView>
  </sheetViews>
  <sheetFormatPr defaultRowHeight="14.5" x14ac:dyDescent="0.35"/>
  <cols>
    <col min="1" max="1" width="49.08984375" bestFit="1" customWidth="1"/>
    <col min="2" max="2" width="15.36328125" style="9" customWidth="1"/>
    <col min="5" max="9" width="10.6328125" customWidth="1"/>
    <col min="10" max="10" width="11.6328125" customWidth="1"/>
  </cols>
  <sheetData>
    <row r="1" spans="1:51" s="10" customFormat="1" ht="101.5" x14ac:dyDescent="0.35">
      <c r="A1" s="87" t="s">
        <v>127</v>
      </c>
      <c r="B1" s="87" t="s">
        <v>613</v>
      </c>
      <c r="C1" s="87" t="s">
        <v>128</v>
      </c>
      <c r="D1" s="87" t="s">
        <v>607</v>
      </c>
      <c r="E1" s="87" t="s">
        <v>608</v>
      </c>
      <c r="F1" s="87" t="s">
        <v>609</v>
      </c>
      <c r="G1" s="87" t="s">
        <v>610</v>
      </c>
      <c r="H1" s="87" t="s">
        <v>612</v>
      </c>
      <c r="I1" s="87" t="s">
        <v>611</v>
      </c>
      <c r="J1" s="87" t="s">
        <v>129</v>
      </c>
      <c r="K1" s="87" t="s">
        <v>130</v>
      </c>
      <c r="L1" s="87" t="s">
        <v>131</v>
      </c>
      <c r="M1" s="87" t="s">
        <v>132</v>
      </c>
      <c r="N1" s="87" t="s">
        <v>133</v>
      </c>
      <c r="O1" s="87" t="s">
        <v>134</v>
      </c>
      <c r="P1" s="87" t="s">
        <v>135</v>
      </c>
      <c r="Q1" s="87" t="s">
        <v>136</v>
      </c>
      <c r="R1" s="87" t="s">
        <v>137</v>
      </c>
      <c r="S1" s="87" t="s">
        <v>138</v>
      </c>
      <c r="T1" s="87" t="s">
        <v>139</v>
      </c>
      <c r="U1" s="87" t="s">
        <v>140</v>
      </c>
      <c r="V1" s="87" t="s">
        <v>141</v>
      </c>
      <c r="W1" s="87" t="s">
        <v>142</v>
      </c>
      <c r="X1" s="87" t="s">
        <v>143</v>
      </c>
      <c r="Y1" s="87" t="s">
        <v>144</v>
      </c>
      <c r="Z1" s="87" t="s">
        <v>145</v>
      </c>
      <c r="AA1" s="87" t="s">
        <v>146</v>
      </c>
      <c r="AB1" s="87" t="s">
        <v>147</v>
      </c>
      <c r="AC1" s="87" t="s">
        <v>148</v>
      </c>
      <c r="AD1" s="87" t="s">
        <v>149</v>
      </c>
      <c r="AE1" s="87" t="s">
        <v>150</v>
      </c>
      <c r="AF1" s="87" t="s">
        <v>151</v>
      </c>
      <c r="AG1" s="87" t="s">
        <v>152</v>
      </c>
      <c r="AH1" s="87" t="s">
        <v>153</v>
      </c>
      <c r="AI1" s="87" t="s">
        <v>154</v>
      </c>
      <c r="AJ1" s="87" t="s">
        <v>155</v>
      </c>
      <c r="AK1" s="87" t="s">
        <v>156</v>
      </c>
      <c r="AL1" s="87" t="s">
        <v>157</v>
      </c>
      <c r="AM1" s="87" t="s">
        <v>158</v>
      </c>
      <c r="AN1" s="87" t="s">
        <v>159</v>
      </c>
      <c r="AO1" s="87" t="s">
        <v>160</v>
      </c>
      <c r="AP1" s="87" t="s">
        <v>161</v>
      </c>
      <c r="AQ1" s="87" t="s">
        <v>162</v>
      </c>
      <c r="AR1" s="87" t="s">
        <v>163</v>
      </c>
      <c r="AS1" s="87" t="s">
        <v>164</v>
      </c>
      <c r="AT1" s="87" t="s">
        <v>165</v>
      </c>
      <c r="AU1" s="87" t="s">
        <v>166</v>
      </c>
      <c r="AV1" s="87" t="s">
        <v>167</v>
      </c>
      <c r="AW1" s="87" t="s">
        <v>168</v>
      </c>
      <c r="AX1" s="87" t="s">
        <v>169</v>
      </c>
      <c r="AY1" s="87" t="s">
        <v>170</v>
      </c>
    </row>
    <row r="2" spans="1:51" hidden="1" x14ac:dyDescent="0.35">
      <c r="A2" t="s">
        <v>462</v>
      </c>
      <c r="C2" t="s">
        <v>227</v>
      </c>
      <c r="D2">
        <v>1120</v>
      </c>
      <c r="E2">
        <v>448.1070975963255</v>
      </c>
      <c r="G2">
        <v>13130.128956623681</v>
      </c>
      <c r="I2">
        <v>18383.436079675565</v>
      </c>
      <c r="J2">
        <v>0</v>
      </c>
      <c r="K2">
        <v>2.5726286745600002</v>
      </c>
      <c r="L2">
        <v>0.27028671715290675</v>
      </c>
      <c r="M2">
        <v>2.3023419574070934</v>
      </c>
      <c r="N2">
        <v>2036</v>
      </c>
      <c r="P2">
        <v>1</v>
      </c>
      <c r="Q2">
        <v>0</v>
      </c>
      <c r="S2">
        <v>80</v>
      </c>
      <c r="T2">
        <v>40</v>
      </c>
      <c r="V2">
        <v>80</v>
      </c>
      <c r="W2">
        <v>2022</v>
      </c>
      <c r="X2">
        <v>60.480000000000004</v>
      </c>
      <c r="Z2">
        <v>38.400000000000006</v>
      </c>
      <c r="AA2">
        <v>50</v>
      </c>
      <c r="AB2" t="e">
        <v>#N/A</v>
      </c>
      <c r="AF2">
        <v>0</v>
      </c>
      <c r="AG2" t="s">
        <v>463</v>
      </c>
      <c r="AH2">
        <v>0</v>
      </c>
      <c r="AJ2">
        <v>0</v>
      </c>
      <c r="AL2">
        <v>0</v>
      </c>
      <c r="AM2">
        <v>1</v>
      </c>
      <c r="AN2" t="s">
        <v>234</v>
      </c>
      <c r="AQ2">
        <v>89600</v>
      </c>
      <c r="AR2">
        <v>89600</v>
      </c>
      <c r="AS2">
        <v>0</v>
      </c>
      <c r="AT2">
        <v>448.1070975963255</v>
      </c>
      <c r="AU2">
        <v>0</v>
      </c>
      <c r="AV2">
        <v>1313.0128956623682</v>
      </c>
      <c r="AW2">
        <v>1838.3436079675566</v>
      </c>
      <c r="AX2">
        <v>-77.223614708862897</v>
      </c>
    </row>
    <row r="3" spans="1:51" hidden="1" x14ac:dyDescent="0.35">
      <c r="A3" t="s">
        <v>454</v>
      </c>
      <c r="C3" t="s">
        <v>223</v>
      </c>
      <c r="D3">
        <v>1320</v>
      </c>
      <c r="E3">
        <v>1843</v>
      </c>
      <c r="F3">
        <v>0</v>
      </c>
      <c r="G3">
        <v>2627</v>
      </c>
      <c r="I3">
        <v>24233.096131301289</v>
      </c>
      <c r="J3">
        <v>0</v>
      </c>
      <c r="K3">
        <v>9.8254938092921513</v>
      </c>
      <c r="L3">
        <v>0.35629269584817597</v>
      </c>
      <c r="M3">
        <v>9.469201113443976</v>
      </c>
      <c r="N3">
        <v>2032</v>
      </c>
      <c r="P3">
        <v>450000</v>
      </c>
      <c r="S3">
        <v>146.37823962121212</v>
      </c>
      <c r="T3">
        <v>139.58784265151516</v>
      </c>
      <c r="V3">
        <v>336.87556281818183</v>
      </c>
      <c r="W3">
        <v>0</v>
      </c>
      <c r="X3">
        <v>0</v>
      </c>
      <c r="Z3" t="s">
        <v>225</v>
      </c>
      <c r="AA3">
        <v>50</v>
      </c>
      <c r="AB3">
        <v>25.41</v>
      </c>
      <c r="AI3" t="s">
        <v>181</v>
      </c>
      <c r="AJ3">
        <v>250000</v>
      </c>
      <c r="AP3">
        <v>0</v>
      </c>
      <c r="AQ3">
        <v>193219.2763</v>
      </c>
      <c r="AR3">
        <v>444675.74292000005</v>
      </c>
      <c r="AS3">
        <v>-251456.46662000005</v>
      </c>
      <c r="AT3">
        <v>1843</v>
      </c>
      <c r="AU3">
        <v>0</v>
      </c>
      <c r="AV3">
        <v>262.7</v>
      </c>
      <c r="AW3">
        <v>2423.309613130129</v>
      </c>
      <c r="AX3">
        <v>-317.60961313012922</v>
      </c>
      <c r="AY3" t="e">
        <v>#VALUE!</v>
      </c>
    </row>
    <row r="4" spans="1:51" hidden="1" x14ac:dyDescent="0.35">
      <c r="A4" t="s">
        <v>464</v>
      </c>
      <c r="C4" t="s">
        <v>227</v>
      </c>
      <c r="D4">
        <v>1332</v>
      </c>
      <c r="E4">
        <v>532.92736964134428</v>
      </c>
      <c r="G4">
        <v>15615.474794841735</v>
      </c>
      <c r="I4">
        <v>21863.157909042722</v>
      </c>
      <c r="J4">
        <v>0</v>
      </c>
      <c r="K4">
        <v>3.0595905308159996</v>
      </c>
      <c r="L4">
        <v>0.32144813147113549</v>
      </c>
      <c r="M4">
        <v>2.7381423993448641</v>
      </c>
      <c r="N4">
        <v>2024</v>
      </c>
      <c r="P4">
        <v>0</v>
      </c>
      <c r="Q4">
        <v>0</v>
      </c>
      <c r="S4">
        <v>80</v>
      </c>
      <c r="T4">
        <v>40</v>
      </c>
      <c r="V4">
        <v>35958.411267867872</v>
      </c>
      <c r="W4">
        <v>2024</v>
      </c>
      <c r="X4">
        <v>876.96</v>
      </c>
      <c r="Z4">
        <v>76.800000000000011</v>
      </c>
      <c r="AB4" t="e">
        <v>#N/A</v>
      </c>
      <c r="AF4">
        <v>0</v>
      </c>
      <c r="AG4" t="s">
        <v>220</v>
      </c>
      <c r="AH4">
        <v>0</v>
      </c>
      <c r="AI4" t="s">
        <v>233</v>
      </c>
      <c r="AQ4">
        <v>106560</v>
      </c>
      <c r="AR4">
        <v>47896603.808800004</v>
      </c>
      <c r="AS4">
        <v>-47790043.808800004</v>
      </c>
      <c r="AT4">
        <v>532.92736964134428</v>
      </c>
      <c r="AU4">
        <v>0</v>
      </c>
      <c r="AV4">
        <v>1561.5474794841737</v>
      </c>
      <c r="AW4">
        <v>2186.3157909042725</v>
      </c>
      <c r="AX4">
        <v>91.840941778754768</v>
      </c>
    </row>
    <row r="5" spans="1:51" hidden="1" x14ac:dyDescent="0.35">
      <c r="A5" t="s">
        <v>453</v>
      </c>
      <c r="C5" t="s">
        <v>223</v>
      </c>
      <c r="D5">
        <v>1488</v>
      </c>
      <c r="E5">
        <v>2315</v>
      </c>
      <c r="F5">
        <v>0</v>
      </c>
      <c r="G5">
        <v>8933</v>
      </c>
      <c r="I5">
        <v>36072.507620164128</v>
      </c>
      <c r="J5">
        <v>0</v>
      </c>
      <c r="K5">
        <v>12.424667459850884</v>
      </c>
      <c r="L5">
        <v>0.53036437920910406</v>
      </c>
      <c r="M5">
        <v>11.89430308064178</v>
      </c>
      <c r="N5">
        <v>2033</v>
      </c>
      <c r="P5">
        <v>180000</v>
      </c>
      <c r="S5">
        <v>176.02423891129033</v>
      </c>
      <c r="T5">
        <v>155.54077385752689</v>
      </c>
      <c r="V5">
        <v>520.89535026881708</v>
      </c>
      <c r="X5" t="e">
        <v>#N/A</v>
      </c>
      <c r="Z5" t="s">
        <v>225</v>
      </c>
      <c r="AA5">
        <v>4</v>
      </c>
      <c r="AB5">
        <v>25.41</v>
      </c>
      <c r="AJ5">
        <v>100000</v>
      </c>
      <c r="AP5" t="e">
        <v>#N/A</v>
      </c>
      <c r="AQ5">
        <v>261924.0675</v>
      </c>
      <c r="AR5">
        <v>775092.28119999985</v>
      </c>
      <c r="AS5">
        <v>-513168.21369999985</v>
      </c>
      <c r="AT5">
        <v>2315</v>
      </c>
      <c r="AU5">
        <v>0</v>
      </c>
      <c r="AV5">
        <v>893.30000000000007</v>
      </c>
      <c r="AW5">
        <v>3607.2507620164129</v>
      </c>
      <c r="AX5">
        <v>-398.95076201641268</v>
      </c>
      <c r="AY5" t="e">
        <v>#VALUE!</v>
      </c>
    </row>
    <row r="6" spans="1:51" hidden="1" x14ac:dyDescent="0.35">
      <c r="A6" t="s">
        <v>452</v>
      </c>
      <c r="C6" t="s">
        <v>227</v>
      </c>
      <c r="D6">
        <v>1560</v>
      </c>
      <c r="E6">
        <v>624.14917165202485</v>
      </c>
      <c r="G6">
        <v>18288.393903868699</v>
      </c>
      <c r="I6">
        <v>25605.500253833819</v>
      </c>
      <c r="J6">
        <v>0</v>
      </c>
      <c r="K6">
        <v>3.58330422528</v>
      </c>
      <c r="L6">
        <v>0.37647078460583433</v>
      </c>
      <c r="M6">
        <v>3.2068334406741656</v>
      </c>
      <c r="N6">
        <v>2023</v>
      </c>
      <c r="O6" t="s">
        <v>228</v>
      </c>
      <c r="P6">
        <v>150000</v>
      </c>
      <c r="S6">
        <v>80</v>
      </c>
      <c r="T6">
        <v>40</v>
      </c>
      <c r="W6">
        <v>2022</v>
      </c>
      <c r="X6">
        <v>711.9</v>
      </c>
      <c r="Z6">
        <v>11.528530175178448</v>
      </c>
      <c r="AA6">
        <v>50</v>
      </c>
      <c r="AB6">
        <v>25.41</v>
      </c>
      <c r="AF6">
        <v>0</v>
      </c>
      <c r="AG6">
        <v>0</v>
      </c>
      <c r="AH6">
        <v>0</v>
      </c>
      <c r="AI6" t="s">
        <v>181</v>
      </c>
      <c r="AJ6">
        <v>150000</v>
      </c>
      <c r="AM6">
        <v>0</v>
      </c>
      <c r="AN6" t="s">
        <v>229</v>
      </c>
      <c r="AQ6">
        <v>124800</v>
      </c>
      <c r="AR6">
        <v>0</v>
      </c>
      <c r="AS6">
        <v>124800</v>
      </c>
      <c r="AT6">
        <v>624.14917165202485</v>
      </c>
      <c r="AU6">
        <v>0</v>
      </c>
      <c r="AV6">
        <v>1828.83939038687</v>
      </c>
      <c r="AW6">
        <v>2560.550025383382</v>
      </c>
      <c r="AX6">
        <v>-107.56146334448704</v>
      </c>
      <c r="AY6" t="s">
        <v>465</v>
      </c>
    </row>
    <row r="7" spans="1:51" hidden="1" x14ac:dyDescent="0.35">
      <c r="A7" t="s">
        <v>450</v>
      </c>
      <c r="C7" t="s">
        <v>223</v>
      </c>
      <c r="D7">
        <v>1658</v>
      </c>
      <c r="E7">
        <v>494.2</v>
      </c>
      <c r="F7">
        <v>0</v>
      </c>
      <c r="G7">
        <v>21456</v>
      </c>
      <c r="H7">
        <v>0</v>
      </c>
      <c r="I7">
        <v>27249.669402110201</v>
      </c>
      <c r="J7">
        <v>0</v>
      </c>
      <c r="K7">
        <v>2.9398085279585757</v>
      </c>
      <c r="L7">
        <v>0.40064456145612803</v>
      </c>
      <c r="M7">
        <v>2.5391639665024477</v>
      </c>
      <c r="N7">
        <v>2034</v>
      </c>
      <c r="O7" t="s">
        <v>224</v>
      </c>
      <c r="P7">
        <v>180000</v>
      </c>
      <c r="Q7">
        <v>0</v>
      </c>
      <c r="S7">
        <v>73.954198202653799</v>
      </c>
      <c r="T7">
        <v>29.799872509047045</v>
      </c>
      <c r="V7">
        <v>346.94166176115806</v>
      </c>
      <c r="W7">
        <v>0</v>
      </c>
      <c r="X7">
        <v>0</v>
      </c>
      <c r="Z7">
        <v>24</v>
      </c>
      <c r="AA7">
        <v>50</v>
      </c>
      <c r="AB7">
        <v>20</v>
      </c>
      <c r="AF7">
        <v>0</v>
      </c>
      <c r="AG7">
        <v>0</v>
      </c>
      <c r="AI7" t="s">
        <v>233</v>
      </c>
      <c r="AJ7">
        <v>100000</v>
      </c>
      <c r="AP7" t="s">
        <v>181</v>
      </c>
      <c r="AQ7">
        <v>122616.06062</v>
      </c>
      <c r="AR7">
        <v>575229.27520000003</v>
      </c>
      <c r="AS7">
        <v>-452613.21458000003</v>
      </c>
      <c r="AT7">
        <v>494.2</v>
      </c>
      <c r="AU7">
        <v>0</v>
      </c>
      <c r="AV7">
        <v>2145.6</v>
      </c>
      <c r="AW7">
        <v>2724.9669402110203</v>
      </c>
      <c r="AX7">
        <v>-85.166940211020574</v>
      </c>
      <c r="AY7" t="s">
        <v>465</v>
      </c>
    </row>
    <row r="8" spans="1:51" x14ac:dyDescent="0.35">
      <c r="A8" t="s">
        <v>448</v>
      </c>
      <c r="B8" s="9" t="s">
        <v>614</v>
      </c>
      <c r="C8" t="s">
        <v>232</v>
      </c>
      <c r="D8">
        <v>1701</v>
      </c>
      <c r="E8">
        <v>1097.2</v>
      </c>
      <c r="G8">
        <v>32494.400000000001</v>
      </c>
      <c r="H8">
        <v>0</v>
      </c>
      <c r="I8">
        <v>36285.789636576788</v>
      </c>
      <c r="J8">
        <v>0.2</v>
      </c>
      <c r="K8">
        <v>6.3042097473334842</v>
      </c>
      <c r="L8">
        <v>0.53350020734232573</v>
      </c>
      <c r="M8">
        <v>5.7707095399911585</v>
      </c>
      <c r="N8">
        <v>2029</v>
      </c>
      <c r="P8">
        <v>265600</v>
      </c>
      <c r="R8" t="s">
        <v>236</v>
      </c>
      <c r="S8">
        <v>129.66764827748383</v>
      </c>
      <c r="T8">
        <v>64.487817119341571</v>
      </c>
      <c r="V8">
        <v>157.70043057025279</v>
      </c>
      <c r="W8">
        <v>0</v>
      </c>
      <c r="X8">
        <v>0</v>
      </c>
      <c r="Z8" t="s">
        <v>228</v>
      </c>
      <c r="AA8" t="s">
        <v>228</v>
      </c>
      <c r="AB8" t="s">
        <v>228</v>
      </c>
      <c r="AF8">
        <v>0</v>
      </c>
      <c r="AG8" t="s">
        <v>466</v>
      </c>
      <c r="AH8">
        <v>25000</v>
      </c>
      <c r="AI8" t="s">
        <v>177</v>
      </c>
      <c r="AJ8">
        <v>222000</v>
      </c>
      <c r="AK8" t="s">
        <v>237</v>
      </c>
      <c r="AQ8">
        <v>220564.66972000001</v>
      </c>
      <c r="AR8">
        <v>268248.43239999999</v>
      </c>
      <c r="AS8">
        <v>-47683.762679999985</v>
      </c>
      <c r="AT8">
        <v>1097.2</v>
      </c>
      <c r="AU8">
        <v>0</v>
      </c>
      <c r="AV8">
        <v>3249.4400000000005</v>
      </c>
      <c r="AW8">
        <v>3628.5789636576792</v>
      </c>
      <c r="AX8">
        <v>718.06103634232113</v>
      </c>
      <c r="AY8">
        <v>0</v>
      </c>
    </row>
    <row r="9" spans="1:51" hidden="1" x14ac:dyDescent="0.35">
      <c r="A9" t="s">
        <v>443</v>
      </c>
      <c r="C9" t="s">
        <v>172</v>
      </c>
      <c r="D9">
        <v>1981</v>
      </c>
      <c r="E9">
        <v>552.5</v>
      </c>
      <c r="G9">
        <v>22069.200000000001</v>
      </c>
      <c r="H9">
        <v>0</v>
      </c>
      <c r="I9">
        <v>28546.339507620163</v>
      </c>
      <c r="J9">
        <v>0</v>
      </c>
      <c r="K9">
        <v>3.2584143162018395</v>
      </c>
      <c r="L9">
        <v>0.41970915332728953</v>
      </c>
      <c r="M9">
        <v>2.8387051628745499</v>
      </c>
      <c r="N9">
        <v>2022</v>
      </c>
      <c r="O9" t="s">
        <v>268</v>
      </c>
      <c r="P9">
        <v>150000</v>
      </c>
      <c r="Q9" t="s">
        <v>467</v>
      </c>
      <c r="S9">
        <v>65.894450100959105</v>
      </c>
      <c r="T9">
        <v>27.883288869257953</v>
      </c>
      <c r="V9">
        <v>629.1410399293286</v>
      </c>
      <c r="W9">
        <v>2022</v>
      </c>
      <c r="X9">
        <v>17.28</v>
      </c>
      <c r="Y9" t="s">
        <v>180</v>
      </c>
      <c r="Z9">
        <v>43.2</v>
      </c>
      <c r="AA9">
        <v>15</v>
      </c>
      <c r="AB9">
        <v>0</v>
      </c>
      <c r="AF9">
        <v>0</v>
      </c>
      <c r="AG9" t="s">
        <v>468</v>
      </c>
      <c r="AH9">
        <v>0</v>
      </c>
      <c r="AI9" t="s">
        <v>181</v>
      </c>
      <c r="AK9" t="s">
        <v>195</v>
      </c>
      <c r="AM9">
        <v>150000</v>
      </c>
      <c r="AN9" t="s">
        <v>187</v>
      </c>
      <c r="AP9">
        <v>0</v>
      </c>
      <c r="AQ9">
        <v>130536.90564999999</v>
      </c>
      <c r="AR9">
        <v>1246328.4001</v>
      </c>
      <c r="AS9">
        <v>-1115791.4944499999</v>
      </c>
      <c r="AT9">
        <v>552.5</v>
      </c>
      <c r="AU9">
        <v>0</v>
      </c>
      <c r="AV9">
        <v>2206.92</v>
      </c>
      <c r="AW9">
        <v>2854.6339507620164</v>
      </c>
      <c r="AX9">
        <v>-95.213950762016339</v>
      </c>
      <c r="AY9" t="s">
        <v>469</v>
      </c>
    </row>
    <row r="10" spans="1:51" hidden="1" x14ac:dyDescent="0.35">
      <c r="A10" t="s">
        <v>439</v>
      </c>
      <c r="B10" s="9" t="s">
        <v>614</v>
      </c>
      <c r="C10" t="s">
        <v>223</v>
      </c>
      <c r="D10">
        <v>2202</v>
      </c>
      <c r="E10">
        <v>881.01056152420426</v>
      </c>
      <c r="F10">
        <v>0</v>
      </c>
      <c r="G10">
        <v>25814.771395076204</v>
      </c>
      <c r="H10">
        <v>0</v>
      </c>
      <c r="I10">
        <v>36143.148435219278</v>
      </c>
      <c r="J10">
        <v>0</v>
      </c>
      <c r="K10">
        <v>5.0579717333760001</v>
      </c>
      <c r="L10">
        <v>0.53140299211669706</v>
      </c>
      <c r="M10">
        <v>4.526568741259303</v>
      </c>
      <c r="N10">
        <v>2031</v>
      </c>
      <c r="O10" t="s">
        <v>224</v>
      </c>
      <c r="P10">
        <v>46500</v>
      </c>
      <c r="Q10">
        <v>0</v>
      </c>
      <c r="S10">
        <v>80</v>
      </c>
      <c r="T10">
        <v>40</v>
      </c>
      <c r="U10">
        <v>0</v>
      </c>
      <c r="V10">
        <v>726.92478001816528</v>
      </c>
      <c r="W10" t="e">
        <v>#N/A</v>
      </c>
      <c r="X10" t="e">
        <v>#N/A</v>
      </c>
      <c r="Z10">
        <v>48</v>
      </c>
      <c r="AA10">
        <v>23</v>
      </c>
      <c r="AB10">
        <v>25.41</v>
      </c>
      <c r="AF10">
        <v>14000</v>
      </c>
      <c r="AG10">
        <v>0</v>
      </c>
      <c r="AH10">
        <v>25000</v>
      </c>
      <c r="AI10" t="s">
        <v>233</v>
      </c>
      <c r="AP10" t="e">
        <v>#N/A</v>
      </c>
      <c r="AQ10">
        <v>176160</v>
      </c>
      <c r="AR10">
        <v>1600688.3655999999</v>
      </c>
      <c r="AS10">
        <v>-1424528.3655999999</v>
      </c>
      <c r="AT10">
        <v>881.01056152420426</v>
      </c>
      <c r="AU10">
        <v>0</v>
      </c>
      <c r="AV10">
        <v>2581.4771395076204</v>
      </c>
      <c r="AW10">
        <v>3614.3148435219282</v>
      </c>
      <c r="AX10">
        <v>-151.8271424901036</v>
      </c>
      <c r="AY10" t="s">
        <v>470</v>
      </c>
    </row>
    <row r="11" spans="1:51" hidden="1" x14ac:dyDescent="0.35">
      <c r="A11" t="s">
        <v>414</v>
      </c>
      <c r="C11" t="s">
        <v>286</v>
      </c>
      <c r="D11">
        <v>2308</v>
      </c>
      <c r="E11">
        <v>1.2</v>
      </c>
      <c r="H11">
        <v>0</v>
      </c>
      <c r="I11">
        <v>14.067995310668231</v>
      </c>
      <c r="K11">
        <v>6.3723514279266239E-3</v>
      </c>
      <c r="L11">
        <v>2.0683795199999999E-4</v>
      </c>
      <c r="M11">
        <v>6.1655134759266237E-3</v>
      </c>
      <c r="N11">
        <v>2051</v>
      </c>
      <c r="O11" t="s">
        <v>224</v>
      </c>
      <c r="P11">
        <v>0</v>
      </c>
      <c r="Q11" t="e">
        <v>#N/A</v>
      </c>
      <c r="S11">
        <v>5.1980641247833616E-2</v>
      </c>
      <c r="T11">
        <v>5.1980641247833616E-2</v>
      </c>
      <c r="V11">
        <v>555.72432582322358</v>
      </c>
      <c r="W11">
        <v>0</v>
      </c>
      <c r="X11">
        <v>0</v>
      </c>
      <c r="Z11" t="e">
        <v>#N/A</v>
      </c>
      <c r="AB11" t="e">
        <v>#N/A</v>
      </c>
      <c r="AF11">
        <v>0</v>
      </c>
      <c r="AG11" t="e">
        <v>#N/A</v>
      </c>
      <c r="AQ11">
        <v>119.97131999999999</v>
      </c>
      <c r="AR11">
        <v>1282611.7439999999</v>
      </c>
      <c r="AS11">
        <v>-1282491.7726799999</v>
      </c>
      <c r="AT11">
        <v>1.2</v>
      </c>
      <c r="AU11">
        <v>0</v>
      </c>
      <c r="AV11">
        <v>0</v>
      </c>
      <c r="AW11">
        <v>1.4067995310668231</v>
      </c>
      <c r="AX11">
        <v>0.20679953106682314</v>
      </c>
    </row>
    <row r="12" spans="1:51" hidden="1" x14ac:dyDescent="0.35">
      <c r="A12" t="s">
        <v>413</v>
      </c>
      <c r="C12" t="s">
        <v>227</v>
      </c>
      <c r="D12">
        <v>2320</v>
      </c>
      <c r="E12">
        <v>928.22184502096002</v>
      </c>
      <c r="G12">
        <v>27198.124267291911</v>
      </c>
      <c r="I12">
        <v>38079.974736470809</v>
      </c>
      <c r="J12">
        <v>0</v>
      </c>
      <c r="K12">
        <v>5.3290165401599996</v>
      </c>
      <c r="L12">
        <v>0.55987962838816385</v>
      </c>
      <c r="M12">
        <v>4.7691369117718354</v>
      </c>
      <c r="N12">
        <v>2028</v>
      </c>
      <c r="O12" t="s">
        <v>228</v>
      </c>
      <c r="P12">
        <v>375000</v>
      </c>
      <c r="S12">
        <v>80</v>
      </c>
      <c r="T12">
        <v>40</v>
      </c>
      <c r="W12">
        <v>0</v>
      </c>
      <c r="X12">
        <v>0</v>
      </c>
      <c r="Z12">
        <v>28.821325437946115</v>
      </c>
      <c r="AA12">
        <v>50</v>
      </c>
      <c r="AB12">
        <v>25.41</v>
      </c>
      <c r="AF12">
        <v>0</v>
      </c>
      <c r="AG12" t="s">
        <v>463</v>
      </c>
      <c r="AH12">
        <v>0</v>
      </c>
      <c r="AI12" t="s">
        <v>174</v>
      </c>
      <c r="AJ12">
        <v>75000</v>
      </c>
      <c r="AM12">
        <v>300000</v>
      </c>
      <c r="AN12" t="s">
        <v>229</v>
      </c>
      <c r="AQ12">
        <v>185600</v>
      </c>
      <c r="AR12">
        <v>0</v>
      </c>
      <c r="AS12">
        <v>185600</v>
      </c>
      <c r="AT12">
        <v>928.22184502096002</v>
      </c>
      <c r="AU12">
        <v>0</v>
      </c>
      <c r="AV12">
        <v>2719.8124267291914</v>
      </c>
      <c r="AW12">
        <v>3807.9974736470813</v>
      </c>
      <c r="AX12">
        <v>-159.9632018969296</v>
      </c>
      <c r="AY12" t="s">
        <v>465</v>
      </c>
    </row>
    <row r="13" spans="1:51" hidden="1" x14ac:dyDescent="0.35">
      <c r="A13" t="s">
        <v>408</v>
      </c>
      <c r="C13" t="s">
        <v>223</v>
      </c>
      <c r="D13">
        <v>2467</v>
      </c>
      <c r="E13">
        <v>987.0359015804778</v>
      </c>
      <c r="F13">
        <v>0</v>
      </c>
      <c r="G13">
        <v>14375</v>
      </c>
      <c r="H13">
        <v>0</v>
      </c>
      <c r="I13">
        <v>23351.712326171513</v>
      </c>
      <c r="J13">
        <v>0.1</v>
      </c>
      <c r="K13">
        <v>5.452801456766001</v>
      </c>
      <c r="L13">
        <v>0.34333394677603474</v>
      </c>
      <c r="M13">
        <v>5.1094675099899662</v>
      </c>
      <c r="N13">
        <v>2023</v>
      </c>
      <c r="O13" t="s">
        <v>224</v>
      </c>
      <c r="P13">
        <v>113000</v>
      </c>
      <c r="Q13">
        <v>0</v>
      </c>
      <c r="S13">
        <v>80</v>
      </c>
      <c r="T13">
        <v>40</v>
      </c>
      <c r="U13">
        <v>0</v>
      </c>
      <c r="V13">
        <v>249.58940267936762</v>
      </c>
      <c r="W13">
        <v>0</v>
      </c>
      <c r="X13">
        <v>0</v>
      </c>
      <c r="Z13">
        <v>48</v>
      </c>
      <c r="AA13">
        <v>50</v>
      </c>
      <c r="AB13">
        <v>10</v>
      </c>
      <c r="AF13">
        <v>0</v>
      </c>
      <c r="AG13" t="s">
        <v>471</v>
      </c>
      <c r="AH13">
        <v>0</v>
      </c>
      <c r="AJ13">
        <v>113000</v>
      </c>
      <c r="AN13" t="s">
        <v>209</v>
      </c>
      <c r="AP13" t="e">
        <v>#N/A</v>
      </c>
      <c r="AQ13">
        <v>197360</v>
      </c>
      <c r="AR13">
        <v>615737.05640999996</v>
      </c>
      <c r="AS13">
        <v>-418377.05640999996</v>
      </c>
      <c r="AT13">
        <v>987.0359015804778</v>
      </c>
      <c r="AU13">
        <v>0</v>
      </c>
      <c r="AV13">
        <v>1437.5</v>
      </c>
      <c r="AW13">
        <v>2335.1712326171514</v>
      </c>
      <c r="AX13">
        <v>89.364668963326494</v>
      </c>
      <c r="AY13" t="s">
        <v>465</v>
      </c>
    </row>
    <row r="14" spans="1:51" x14ac:dyDescent="0.35">
      <c r="A14" t="s">
        <v>406</v>
      </c>
      <c r="B14" s="9" t="s">
        <v>614</v>
      </c>
      <c r="C14" t="s">
        <v>223</v>
      </c>
      <c r="D14">
        <v>2478</v>
      </c>
      <c r="E14">
        <v>991.43695343187028</v>
      </c>
      <c r="F14">
        <v>0</v>
      </c>
      <c r="G14">
        <v>29050.410316529895</v>
      </c>
      <c r="H14">
        <v>0</v>
      </c>
      <c r="I14">
        <v>36606.017093653965</v>
      </c>
      <c r="J14">
        <v>0.1</v>
      </c>
      <c r="K14">
        <v>5.691940942464</v>
      </c>
      <c r="L14">
        <v>0.53820842553072556</v>
      </c>
      <c r="M14">
        <v>5.1537325169332746</v>
      </c>
      <c r="N14">
        <v>2023</v>
      </c>
      <c r="O14" t="s">
        <v>224</v>
      </c>
      <c r="P14">
        <v>290500</v>
      </c>
      <c r="Q14">
        <v>0</v>
      </c>
      <c r="S14">
        <v>80</v>
      </c>
      <c r="T14">
        <v>40</v>
      </c>
      <c r="U14">
        <v>0</v>
      </c>
      <c r="V14">
        <v>1467.9231075060534</v>
      </c>
      <c r="W14">
        <v>0</v>
      </c>
      <c r="X14">
        <v>0</v>
      </c>
      <c r="Z14">
        <v>48</v>
      </c>
      <c r="AA14">
        <v>50</v>
      </c>
      <c r="AB14">
        <v>10</v>
      </c>
      <c r="AF14">
        <v>14000</v>
      </c>
      <c r="AG14">
        <v>0</v>
      </c>
      <c r="AH14">
        <v>25000</v>
      </c>
      <c r="AJ14">
        <v>100000</v>
      </c>
      <c r="AL14">
        <v>40000</v>
      </c>
      <c r="AP14" t="e">
        <v>#N/A</v>
      </c>
      <c r="AQ14">
        <v>198240</v>
      </c>
      <c r="AR14">
        <v>3637513.4604000002</v>
      </c>
      <c r="AS14">
        <v>-3439273.4604000002</v>
      </c>
      <c r="AT14">
        <v>991.43695343187028</v>
      </c>
      <c r="AU14">
        <v>0</v>
      </c>
      <c r="AV14">
        <v>2905.0410316529897</v>
      </c>
      <c r="AW14">
        <v>3660.6017093653968</v>
      </c>
      <c r="AX14">
        <v>235.87627571946314</v>
      </c>
      <c r="AY14" t="s">
        <v>465</v>
      </c>
    </row>
    <row r="15" spans="1:51" hidden="1" x14ac:dyDescent="0.35">
      <c r="A15" t="s">
        <v>401</v>
      </c>
      <c r="C15" t="s">
        <v>223</v>
      </c>
      <c r="D15">
        <v>2500</v>
      </c>
      <c r="E15">
        <v>1000.2390571346552</v>
      </c>
      <c r="F15">
        <v>0</v>
      </c>
      <c r="G15">
        <v>29308.323563892147</v>
      </c>
      <c r="H15">
        <v>0</v>
      </c>
      <c r="I15">
        <v>41034.455534990098</v>
      </c>
      <c r="J15">
        <v>0</v>
      </c>
      <c r="K15">
        <v>5.7424747200000006</v>
      </c>
      <c r="L15">
        <v>0.6033185650734525</v>
      </c>
      <c r="M15">
        <v>5.1391561549265479</v>
      </c>
      <c r="N15">
        <v>2034</v>
      </c>
      <c r="O15" t="s">
        <v>224</v>
      </c>
      <c r="P15">
        <v>342500</v>
      </c>
      <c r="Q15">
        <v>0</v>
      </c>
      <c r="S15">
        <v>80</v>
      </c>
      <c r="T15">
        <v>40</v>
      </c>
      <c r="U15">
        <v>0</v>
      </c>
      <c r="V15">
        <v>193.03442991999998</v>
      </c>
      <c r="W15" t="e">
        <v>#N/A</v>
      </c>
      <c r="X15" t="e">
        <v>#N/A</v>
      </c>
      <c r="Z15">
        <v>96</v>
      </c>
      <c r="AA15">
        <v>19</v>
      </c>
      <c r="AB15">
        <v>35.409999999999997</v>
      </c>
      <c r="AF15">
        <v>0</v>
      </c>
      <c r="AG15">
        <v>0</v>
      </c>
      <c r="AI15" t="s">
        <v>233</v>
      </c>
      <c r="AJ15">
        <v>162500</v>
      </c>
      <c r="AM15">
        <v>50000</v>
      </c>
      <c r="AP15" t="e">
        <v>#N/A</v>
      </c>
      <c r="AQ15">
        <v>200000</v>
      </c>
      <c r="AR15">
        <v>482586.07479999994</v>
      </c>
      <c r="AS15">
        <v>-282586.07479999994</v>
      </c>
      <c r="AT15">
        <v>1000.2390571346552</v>
      </c>
      <c r="AU15">
        <v>0</v>
      </c>
      <c r="AV15">
        <v>2930.832356389215</v>
      </c>
      <c r="AW15">
        <v>4103.4455534990102</v>
      </c>
      <c r="AX15">
        <v>-172.37413997513977</v>
      </c>
      <c r="AY15" t="s">
        <v>469</v>
      </c>
    </row>
    <row r="16" spans="1:51" hidden="1" x14ac:dyDescent="0.35">
      <c r="A16" t="s">
        <v>402</v>
      </c>
      <c r="C16" t="s">
        <v>223</v>
      </c>
      <c r="D16">
        <v>2500</v>
      </c>
      <c r="E16">
        <v>1000.2390571346552</v>
      </c>
      <c r="F16">
        <v>0</v>
      </c>
      <c r="G16">
        <v>29308.323563892147</v>
      </c>
      <c r="H16">
        <v>0</v>
      </c>
      <c r="I16">
        <v>41034.455534990098</v>
      </c>
      <c r="J16">
        <v>0</v>
      </c>
      <c r="K16">
        <v>5.7424747200000006</v>
      </c>
      <c r="L16">
        <v>0.6033185650734525</v>
      </c>
      <c r="M16">
        <v>5.1391561549265479</v>
      </c>
      <c r="N16">
        <v>2032</v>
      </c>
      <c r="O16" t="s">
        <v>224</v>
      </c>
      <c r="P16">
        <v>95500</v>
      </c>
      <c r="Q16">
        <v>0</v>
      </c>
      <c r="S16">
        <v>80</v>
      </c>
      <c r="T16">
        <v>40</v>
      </c>
      <c r="U16">
        <v>0</v>
      </c>
      <c r="V16">
        <v>161.08537215999999</v>
      </c>
      <c r="W16" t="e">
        <v>#N/A</v>
      </c>
      <c r="X16">
        <v>0</v>
      </c>
      <c r="Z16">
        <v>96</v>
      </c>
      <c r="AA16">
        <v>50</v>
      </c>
      <c r="AB16">
        <v>35.409999999999997</v>
      </c>
      <c r="AF16">
        <v>0</v>
      </c>
      <c r="AG16">
        <v>0</v>
      </c>
      <c r="AH16">
        <v>25000</v>
      </c>
      <c r="AI16" t="s">
        <v>233</v>
      </c>
      <c r="AJ16">
        <v>35000</v>
      </c>
      <c r="AL16">
        <v>0</v>
      </c>
      <c r="AM16">
        <v>0</v>
      </c>
      <c r="AP16" t="e">
        <v>#N/A</v>
      </c>
      <c r="AQ16">
        <v>200000</v>
      </c>
      <c r="AR16">
        <v>402713.43039999995</v>
      </c>
      <c r="AS16">
        <v>-202713.43039999995</v>
      </c>
      <c r="AT16">
        <v>1000.2390571346552</v>
      </c>
      <c r="AU16">
        <v>0</v>
      </c>
      <c r="AV16">
        <v>2930.832356389215</v>
      </c>
      <c r="AW16">
        <v>4103.4455534990102</v>
      </c>
      <c r="AX16">
        <v>-172.37413997513977</v>
      </c>
      <c r="AY16" t="s">
        <v>469</v>
      </c>
    </row>
    <row r="17" spans="1:51" hidden="1" x14ac:dyDescent="0.35">
      <c r="A17" t="s">
        <v>403</v>
      </c>
      <c r="B17" s="9" t="s">
        <v>614</v>
      </c>
      <c r="C17" t="s">
        <v>223</v>
      </c>
      <c r="D17">
        <v>2500</v>
      </c>
      <c r="E17">
        <v>1000.2390571346552</v>
      </c>
      <c r="F17">
        <v>0</v>
      </c>
      <c r="G17">
        <v>29308.323563892147</v>
      </c>
      <c r="H17">
        <v>0</v>
      </c>
      <c r="I17">
        <v>41034.455534990098</v>
      </c>
      <c r="J17">
        <v>0</v>
      </c>
      <c r="K17">
        <v>5.7424747200000006</v>
      </c>
      <c r="L17">
        <v>0.6033185650734525</v>
      </c>
      <c r="M17">
        <v>5.1391561549265479</v>
      </c>
      <c r="N17">
        <v>2035</v>
      </c>
      <c r="O17" t="s">
        <v>233</v>
      </c>
      <c r="P17">
        <v>0</v>
      </c>
      <c r="S17">
        <v>80</v>
      </c>
      <c r="T17">
        <v>40</v>
      </c>
      <c r="U17">
        <v>1</v>
      </c>
      <c r="V17">
        <v>288.30619872</v>
      </c>
      <c r="W17">
        <v>0</v>
      </c>
      <c r="X17">
        <v>0</v>
      </c>
      <c r="Z17" t="s">
        <v>225</v>
      </c>
      <c r="AA17">
        <v>50</v>
      </c>
      <c r="AB17" t="s">
        <v>233</v>
      </c>
      <c r="AQ17">
        <v>200000</v>
      </c>
      <c r="AR17">
        <v>720765.49679999996</v>
      </c>
      <c r="AS17">
        <v>-520765.49679999996</v>
      </c>
      <c r="AT17">
        <v>1000.2390571346552</v>
      </c>
      <c r="AU17">
        <v>0</v>
      </c>
      <c r="AV17">
        <v>2930.832356389215</v>
      </c>
      <c r="AW17">
        <v>4103.4455534990102</v>
      </c>
      <c r="AX17">
        <v>172.37413997513977</v>
      </c>
      <c r="AY17" t="s">
        <v>233</v>
      </c>
    </row>
    <row r="18" spans="1:51" hidden="1" x14ac:dyDescent="0.35">
      <c r="A18" t="s">
        <v>405</v>
      </c>
      <c r="C18" t="s">
        <v>227</v>
      </c>
      <c r="D18">
        <v>2500</v>
      </c>
      <c r="E18">
        <v>1000.2390571346552</v>
      </c>
      <c r="G18">
        <v>82320</v>
      </c>
      <c r="I18">
        <v>94046.131971097959</v>
      </c>
      <c r="K18">
        <v>6.5218911431641606</v>
      </c>
      <c r="L18">
        <v>1.3827349882376125</v>
      </c>
      <c r="M18">
        <v>5.1391561549265479</v>
      </c>
      <c r="N18">
        <v>2027</v>
      </c>
      <c r="O18" t="s">
        <v>228</v>
      </c>
      <c r="P18">
        <v>0</v>
      </c>
      <c r="Q18" t="e">
        <v>#N/A</v>
      </c>
      <c r="S18">
        <v>152.350336</v>
      </c>
      <c r="T18">
        <v>40</v>
      </c>
      <c r="V18">
        <v>2342.5635596799998</v>
      </c>
      <c r="W18" t="e">
        <v>#N/A</v>
      </c>
      <c r="X18" t="e">
        <v>#N/A</v>
      </c>
      <c r="Z18" t="e">
        <v>#N/A</v>
      </c>
      <c r="AB18" t="e">
        <v>#N/A</v>
      </c>
      <c r="AF18">
        <v>0</v>
      </c>
      <c r="AG18" t="e">
        <v>#N/A</v>
      </c>
      <c r="AH18">
        <v>0</v>
      </c>
      <c r="AI18" t="s">
        <v>228</v>
      </c>
      <c r="AJ18">
        <v>0</v>
      </c>
      <c r="AK18" t="s">
        <v>228</v>
      </c>
      <c r="AL18">
        <v>0</v>
      </c>
      <c r="AM18">
        <v>0</v>
      </c>
      <c r="AQ18">
        <v>380875.84</v>
      </c>
      <c r="AR18">
        <v>5856408.8991999999</v>
      </c>
      <c r="AS18">
        <v>-5475533.0592</v>
      </c>
      <c r="AT18">
        <v>1000.2390571346552</v>
      </c>
      <c r="AU18">
        <v>0</v>
      </c>
      <c r="AV18">
        <v>8232</v>
      </c>
      <c r="AW18">
        <v>9404.6131971097966</v>
      </c>
      <c r="AX18">
        <v>172.37413997514159</v>
      </c>
    </row>
    <row r="19" spans="1:51" hidden="1" x14ac:dyDescent="0.35">
      <c r="A19" t="s">
        <v>472</v>
      </c>
      <c r="C19" t="s">
        <v>227</v>
      </c>
      <c r="D19">
        <v>2500</v>
      </c>
      <c r="E19">
        <v>1000.2390571346552</v>
      </c>
      <c r="G19">
        <v>29308.323563892147</v>
      </c>
      <c r="I19">
        <v>41034.455534990098</v>
      </c>
      <c r="J19">
        <v>0</v>
      </c>
      <c r="K19">
        <v>5.7424747200000006</v>
      </c>
      <c r="L19">
        <v>0.6033185650734525</v>
      </c>
      <c r="M19">
        <v>5.1391561549265479</v>
      </c>
      <c r="N19">
        <v>2051</v>
      </c>
      <c r="P19">
        <v>32500</v>
      </c>
      <c r="Q19">
        <v>0</v>
      </c>
      <c r="S19">
        <v>80</v>
      </c>
      <c r="T19">
        <v>40</v>
      </c>
      <c r="V19">
        <v>3488.1303657600001</v>
      </c>
      <c r="W19">
        <v>2022</v>
      </c>
      <c r="X19">
        <v>8.64</v>
      </c>
      <c r="Z19">
        <v>66.510751010644896</v>
      </c>
      <c r="AB19" t="e">
        <v>#N/A</v>
      </c>
      <c r="AF19">
        <v>0</v>
      </c>
      <c r="AG19" t="s">
        <v>473</v>
      </c>
      <c r="AH19">
        <v>25000</v>
      </c>
      <c r="AQ19">
        <v>200000</v>
      </c>
      <c r="AR19">
        <v>8720325.9144000001</v>
      </c>
      <c r="AS19">
        <v>-8520325.9144000001</v>
      </c>
      <c r="AT19">
        <v>1000.2390571346552</v>
      </c>
      <c r="AU19">
        <v>0</v>
      </c>
      <c r="AV19">
        <v>2930.832356389215</v>
      </c>
      <c r="AW19">
        <v>4103.4455534990102</v>
      </c>
      <c r="AX19">
        <v>172.37413997513977</v>
      </c>
    </row>
    <row r="20" spans="1:51" hidden="1" x14ac:dyDescent="0.35">
      <c r="A20" t="s">
        <v>400</v>
      </c>
      <c r="C20" t="s">
        <v>172</v>
      </c>
      <c r="D20">
        <v>2677</v>
      </c>
      <c r="E20">
        <v>2659.6</v>
      </c>
      <c r="G20">
        <v>26734.6</v>
      </c>
      <c r="H20">
        <v>0</v>
      </c>
      <c r="I20">
        <v>46331.173552168817</v>
      </c>
      <c r="J20">
        <v>0.2</v>
      </c>
      <c r="K20">
        <v>14.516326515973287</v>
      </c>
      <c r="L20">
        <v>0.68119478572899583</v>
      </c>
      <c r="M20">
        <v>13.83513173024429</v>
      </c>
      <c r="N20">
        <v>2030</v>
      </c>
      <c r="O20">
        <v>2025</v>
      </c>
      <c r="P20">
        <v>980000</v>
      </c>
      <c r="Q20">
        <v>0</v>
      </c>
      <c r="S20">
        <v>133.40115456107583</v>
      </c>
      <c r="T20">
        <v>99.326274023160252</v>
      </c>
      <c r="V20">
        <v>149.24620635039224</v>
      </c>
      <c r="W20" t="s">
        <v>474</v>
      </c>
      <c r="X20">
        <v>0</v>
      </c>
      <c r="Y20" t="s">
        <v>209</v>
      </c>
      <c r="Z20">
        <v>38.400000000000006</v>
      </c>
      <c r="AA20">
        <v>15</v>
      </c>
      <c r="AB20">
        <v>20</v>
      </c>
      <c r="AF20">
        <v>0</v>
      </c>
      <c r="AG20" t="s">
        <v>475</v>
      </c>
      <c r="AH20">
        <v>25000</v>
      </c>
      <c r="AI20" t="s">
        <v>181</v>
      </c>
      <c r="AJ20">
        <v>150000</v>
      </c>
      <c r="AL20">
        <v>200000</v>
      </c>
      <c r="AM20">
        <v>200000</v>
      </c>
      <c r="AP20">
        <v>0</v>
      </c>
      <c r="AQ20">
        <v>357114.89075999998</v>
      </c>
      <c r="AR20">
        <v>399532.09440000006</v>
      </c>
      <c r="AS20">
        <v>-42417.20364000008</v>
      </c>
      <c r="AT20">
        <v>2659.6</v>
      </c>
      <c r="AU20">
        <v>0</v>
      </c>
      <c r="AV20">
        <v>2673.46</v>
      </c>
      <c r="AW20">
        <v>4633.1173552168821</v>
      </c>
      <c r="AX20">
        <v>699.94264478311743</v>
      </c>
      <c r="AY20" t="s">
        <v>469</v>
      </c>
    </row>
    <row r="21" spans="1:51" hidden="1" x14ac:dyDescent="0.35">
      <c r="A21" t="s">
        <v>399</v>
      </c>
      <c r="C21" t="s">
        <v>227</v>
      </c>
      <c r="D21">
        <v>2832</v>
      </c>
      <c r="E21">
        <v>1133.0708039221374</v>
      </c>
      <c r="G21">
        <v>33200.468933177021</v>
      </c>
      <c r="I21">
        <v>46483.831230036783</v>
      </c>
      <c r="K21">
        <v>6.5050753628160001</v>
      </c>
      <c r="L21">
        <v>0.68343927051520703</v>
      </c>
      <c r="M21">
        <v>5.8216360923007926</v>
      </c>
      <c r="N21">
        <v>2036</v>
      </c>
      <c r="P21">
        <v>0</v>
      </c>
      <c r="Q21" t="e">
        <v>#N/A</v>
      </c>
      <c r="S21">
        <v>80</v>
      </c>
      <c r="T21">
        <v>40</v>
      </c>
      <c r="V21">
        <v>294.14837542372885</v>
      </c>
      <c r="W21" t="e">
        <v>#N/A</v>
      </c>
      <c r="X21">
        <v>0</v>
      </c>
      <c r="Z21" t="e">
        <v>#N/A</v>
      </c>
      <c r="AB21" t="e">
        <v>#N/A</v>
      </c>
      <c r="AF21">
        <v>0</v>
      </c>
      <c r="AG21" t="e">
        <v>#N/A</v>
      </c>
      <c r="AI21" t="s">
        <v>233</v>
      </c>
      <c r="AQ21">
        <v>226560</v>
      </c>
      <c r="AR21">
        <v>833028.19920000015</v>
      </c>
      <c r="AS21">
        <v>-606468.19920000015</v>
      </c>
      <c r="AT21">
        <v>1133.0708039221374</v>
      </c>
      <c r="AU21">
        <v>0</v>
      </c>
      <c r="AV21">
        <v>3320.0468933177021</v>
      </c>
      <c r="AW21">
        <v>4648.3831230036785</v>
      </c>
      <c r="AX21">
        <v>195.26542576383872</v>
      </c>
    </row>
    <row r="22" spans="1:51" hidden="1" x14ac:dyDescent="0.35">
      <c r="A22" t="s">
        <v>398</v>
      </c>
      <c r="C22" t="s">
        <v>223</v>
      </c>
      <c r="D22">
        <v>3111</v>
      </c>
      <c r="E22">
        <v>1244.6974826983649</v>
      </c>
      <c r="F22">
        <v>0</v>
      </c>
      <c r="G22">
        <v>36471.277842907388</v>
      </c>
      <c r="H22">
        <v>0</v>
      </c>
      <c r="I22">
        <v>51063.276467741678</v>
      </c>
      <c r="J22">
        <v>0</v>
      </c>
      <c r="K22">
        <v>7.1459355415679999</v>
      </c>
      <c r="L22">
        <v>0.7507696223774043</v>
      </c>
      <c r="M22">
        <v>6.3951659191905961</v>
      </c>
      <c r="N22">
        <v>2035</v>
      </c>
      <c r="O22" t="s">
        <v>224</v>
      </c>
      <c r="P22">
        <v>368000</v>
      </c>
      <c r="S22">
        <v>80</v>
      </c>
      <c r="T22">
        <v>40</v>
      </c>
      <c r="U22">
        <v>0</v>
      </c>
      <c r="V22">
        <v>438.13892498874952</v>
      </c>
      <c r="W22">
        <v>0</v>
      </c>
      <c r="X22">
        <v>0</v>
      </c>
      <c r="Z22" t="s">
        <v>225</v>
      </c>
      <c r="AA22" t="s">
        <v>233</v>
      </c>
      <c r="AB22">
        <v>20</v>
      </c>
      <c r="AF22">
        <v>0</v>
      </c>
      <c r="AH22">
        <v>0</v>
      </c>
      <c r="AJ22">
        <v>160000</v>
      </c>
      <c r="AL22">
        <v>50000</v>
      </c>
      <c r="AM22">
        <v>0</v>
      </c>
      <c r="AQ22">
        <v>248880</v>
      </c>
      <c r="AR22">
        <v>1363050.1956399998</v>
      </c>
      <c r="AS22">
        <v>-1114170.1956399998</v>
      </c>
      <c r="AT22">
        <v>1244.6974826983649</v>
      </c>
      <c r="AU22">
        <v>0</v>
      </c>
      <c r="AV22">
        <v>3647.1277842907389</v>
      </c>
      <c r="AW22">
        <v>5106.327646774168</v>
      </c>
      <c r="AX22">
        <v>-214.50237978506448</v>
      </c>
      <c r="AY22" t="e">
        <v>#N/A</v>
      </c>
    </row>
    <row r="23" spans="1:51" hidden="1" x14ac:dyDescent="0.35">
      <c r="A23" t="s">
        <v>397</v>
      </c>
      <c r="C23" t="s">
        <v>223</v>
      </c>
      <c r="D23">
        <v>3130</v>
      </c>
      <c r="E23">
        <v>1252.2992995325883</v>
      </c>
      <c r="F23">
        <v>0</v>
      </c>
      <c r="G23">
        <v>103605</v>
      </c>
      <c r="H23">
        <v>0</v>
      </c>
      <c r="I23">
        <v>106457.50550503317</v>
      </c>
      <c r="J23">
        <v>0.1</v>
      </c>
      <c r="K23">
        <v>8.1733524790122409</v>
      </c>
      <c r="L23">
        <v>1.5652160757397824</v>
      </c>
      <c r="M23">
        <v>6.608136403272459</v>
      </c>
      <c r="N23">
        <v>2024</v>
      </c>
      <c r="O23" t="s">
        <v>224</v>
      </c>
      <c r="P23">
        <v>288000</v>
      </c>
      <c r="Q23">
        <v>0</v>
      </c>
      <c r="S23">
        <v>152.93938019169329</v>
      </c>
      <c r="T23">
        <v>40</v>
      </c>
      <c r="U23">
        <v>0</v>
      </c>
      <c r="V23">
        <v>113.09665329073481</v>
      </c>
      <c r="W23">
        <v>0</v>
      </c>
      <c r="X23">
        <v>0</v>
      </c>
      <c r="Z23">
        <v>48</v>
      </c>
      <c r="AA23">
        <v>50</v>
      </c>
      <c r="AB23">
        <v>10</v>
      </c>
      <c r="AF23">
        <v>0</v>
      </c>
      <c r="AG23">
        <v>0</v>
      </c>
      <c r="AH23">
        <v>0</v>
      </c>
      <c r="AJ23">
        <v>160000</v>
      </c>
      <c r="AL23">
        <v>0</v>
      </c>
      <c r="AM23">
        <v>0</v>
      </c>
      <c r="AN23" t="s">
        <v>229</v>
      </c>
      <c r="AP23" t="e">
        <v>#N/A</v>
      </c>
      <c r="AQ23">
        <v>478700.26</v>
      </c>
      <c r="AR23">
        <v>353992.52479999996</v>
      </c>
      <c r="AS23">
        <v>124707.73520000005</v>
      </c>
      <c r="AT23">
        <v>1252.2992995325883</v>
      </c>
      <c r="AU23">
        <v>0</v>
      </c>
      <c r="AV23">
        <v>10360.5</v>
      </c>
      <c r="AW23">
        <v>10645.750550503319</v>
      </c>
      <c r="AX23">
        <v>967.04874902926895</v>
      </c>
      <c r="AY23" t="s">
        <v>465</v>
      </c>
    </row>
    <row r="24" spans="1:51" hidden="1" x14ac:dyDescent="0.35">
      <c r="A24" t="s">
        <v>396</v>
      </c>
      <c r="C24" t="s">
        <v>223</v>
      </c>
      <c r="D24">
        <v>3211</v>
      </c>
      <c r="E24">
        <v>3785</v>
      </c>
      <c r="F24">
        <v>0</v>
      </c>
      <c r="G24">
        <v>13896</v>
      </c>
      <c r="I24">
        <v>58268.801875732708</v>
      </c>
      <c r="J24">
        <v>0</v>
      </c>
      <c r="K24">
        <v>20.303767613450741</v>
      </c>
      <c r="L24">
        <v>0.85671052479884802</v>
      </c>
      <c r="M24">
        <v>19.447057088651892</v>
      </c>
      <c r="N24">
        <v>2033</v>
      </c>
      <c r="P24">
        <v>216000</v>
      </c>
      <c r="S24">
        <v>132.61373108066024</v>
      </c>
      <c r="T24">
        <v>117.84787869822486</v>
      </c>
      <c r="V24">
        <v>369.16651124260352</v>
      </c>
      <c r="X24" t="e">
        <v>#N/A</v>
      </c>
      <c r="Z24" t="s">
        <v>225</v>
      </c>
      <c r="AA24">
        <v>50</v>
      </c>
      <c r="AB24">
        <v>35.409999999999997</v>
      </c>
      <c r="AJ24">
        <v>120000</v>
      </c>
      <c r="AP24" t="e">
        <v>#N/A</v>
      </c>
      <c r="AQ24">
        <v>425822.69050000003</v>
      </c>
      <c r="AR24">
        <v>1185393.6675999998</v>
      </c>
      <c r="AS24">
        <v>-759570.97709999979</v>
      </c>
      <c r="AT24">
        <v>3785</v>
      </c>
      <c r="AU24">
        <v>0</v>
      </c>
      <c r="AV24">
        <v>1389.6000000000001</v>
      </c>
      <c r="AW24">
        <v>5826.8801875732715</v>
      </c>
      <c r="AX24">
        <v>-652.28018757327118</v>
      </c>
      <c r="AY24" t="e">
        <v>#VALUE!</v>
      </c>
    </row>
    <row r="25" spans="1:51" hidden="1" x14ac:dyDescent="0.35">
      <c r="A25" t="s">
        <v>395</v>
      </c>
      <c r="C25" t="s">
        <v>223</v>
      </c>
      <c r="D25">
        <v>3216</v>
      </c>
      <c r="E25">
        <v>4301</v>
      </c>
      <c r="F25">
        <v>0</v>
      </c>
      <c r="G25">
        <v>12441</v>
      </c>
      <c r="H25">
        <v>0</v>
      </c>
      <c r="I25">
        <v>62863.039859320044</v>
      </c>
      <c r="J25">
        <v>0</v>
      </c>
      <c r="K25">
        <v>23.02248625372615</v>
      </c>
      <c r="L25">
        <v>0.92425837042580794</v>
      </c>
      <c r="M25">
        <v>22.098227883300343</v>
      </c>
      <c r="N25">
        <v>2025</v>
      </c>
      <c r="O25" t="s">
        <v>224</v>
      </c>
      <c r="P25">
        <v>180000</v>
      </c>
      <c r="Q25">
        <v>0</v>
      </c>
      <c r="S25">
        <v>146.90481906094527</v>
      </c>
      <c r="T25">
        <v>133.70559891169154</v>
      </c>
      <c r="V25">
        <v>275.25899726368158</v>
      </c>
      <c r="W25" t="e">
        <v>#N/A</v>
      </c>
      <c r="X25" t="e">
        <v>#N/A</v>
      </c>
      <c r="Z25">
        <v>72.053313594865287</v>
      </c>
      <c r="AA25">
        <v>15</v>
      </c>
      <c r="AB25">
        <v>35.409999999999997</v>
      </c>
      <c r="AF25">
        <v>0</v>
      </c>
      <c r="AG25">
        <v>0</v>
      </c>
      <c r="AI25" t="s">
        <v>181</v>
      </c>
      <c r="AJ25">
        <v>100000</v>
      </c>
      <c r="AP25" t="e">
        <v>#N/A</v>
      </c>
      <c r="AQ25">
        <v>472445.89809999999</v>
      </c>
      <c r="AR25">
        <v>885232.93519999995</v>
      </c>
      <c r="AS25">
        <v>-412787.03709999996</v>
      </c>
      <c r="AT25">
        <v>4301</v>
      </c>
      <c r="AU25">
        <v>0</v>
      </c>
      <c r="AV25">
        <v>1244.1000000000001</v>
      </c>
      <c r="AW25">
        <v>6286.3039859320052</v>
      </c>
      <c r="AX25">
        <v>-741.2039859320048</v>
      </c>
      <c r="AY25" t="s">
        <v>469</v>
      </c>
    </row>
    <row r="26" spans="1:51" x14ac:dyDescent="0.35">
      <c r="A26" t="s">
        <v>476</v>
      </c>
      <c r="B26" s="9" t="s">
        <v>614</v>
      </c>
      <c r="C26" t="s">
        <v>227</v>
      </c>
      <c r="D26">
        <v>3280</v>
      </c>
      <c r="E26">
        <v>1312.3136429606677</v>
      </c>
      <c r="G26">
        <v>144852</v>
      </c>
      <c r="I26">
        <v>152224.85088877648</v>
      </c>
      <c r="J26">
        <v>0.05</v>
      </c>
      <c r="K26">
        <v>9.0984897673989771</v>
      </c>
      <c r="L26">
        <v>2.238121047528578</v>
      </c>
      <c r="M26">
        <v>6.8603687198703991</v>
      </c>
      <c r="N26">
        <v>2026</v>
      </c>
      <c r="O26">
        <v>2032</v>
      </c>
      <c r="P26">
        <v>600000</v>
      </c>
      <c r="Q26">
        <v>0</v>
      </c>
      <c r="S26">
        <v>190.68140975609757</v>
      </c>
      <c r="T26">
        <v>40</v>
      </c>
      <c r="V26">
        <v>409.44634146341463</v>
      </c>
      <c r="W26">
        <v>2028</v>
      </c>
      <c r="X26">
        <v>51.839999999999996</v>
      </c>
      <c r="Z26">
        <v>64.847982235378765</v>
      </c>
      <c r="AA26">
        <v>50</v>
      </c>
      <c r="AB26">
        <v>20</v>
      </c>
      <c r="AF26">
        <v>0</v>
      </c>
      <c r="AG26" t="s">
        <v>477</v>
      </c>
      <c r="AH26">
        <v>25000</v>
      </c>
      <c r="AI26" t="s">
        <v>181</v>
      </c>
      <c r="AJ26">
        <v>300000</v>
      </c>
      <c r="AM26">
        <v>267500</v>
      </c>
      <c r="AN26" t="s">
        <v>229</v>
      </c>
      <c r="AQ26">
        <v>625435.02399999998</v>
      </c>
      <c r="AR26">
        <v>1342984</v>
      </c>
      <c r="AS26">
        <v>-717548.97600000002</v>
      </c>
      <c r="AT26">
        <v>1312.3136429606677</v>
      </c>
      <c r="AU26">
        <v>0</v>
      </c>
      <c r="AV26">
        <v>14485.2</v>
      </c>
      <c r="AW26">
        <v>15222.485088877649</v>
      </c>
      <c r="AX26">
        <v>575.02855408301912</v>
      </c>
      <c r="AY26" t="s">
        <v>478</v>
      </c>
    </row>
    <row r="27" spans="1:51" hidden="1" x14ac:dyDescent="0.35">
      <c r="A27" t="s">
        <v>394</v>
      </c>
      <c r="C27" t="s">
        <v>223</v>
      </c>
      <c r="D27">
        <v>3300</v>
      </c>
      <c r="E27">
        <v>42968</v>
      </c>
      <c r="F27">
        <v>0</v>
      </c>
      <c r="G27">
        <v>91538</v>
      </c>
      <c r="H27">
        <v>0</v>
      </c>
      <c r="I27">
        <v>595266.01875732699</v>
      </c>
      <c r="J27">
        <v>0</v>
      </c>
      <c r="K27">
        <v>229.5185220609593</v>
      </c>
      <c r="L27">
        <v>8.7520361996133431</v>
      </c>
      <c r="M27">
        <v>220.76648586134596</v>
      </c>
      <c r="N27">
        <v>2029</v>
      </c>
      <c r="O27" t="s">
        <v>224</v>
      </c>
      <c r="P27">
        <v>4342000</v>
      </c>
      <c r="Q27">
        <v>0</v>
      </c>
      <c r="S27">
        <v>1396.3941578181818</v>
      </c>
      <c r="T27">
        <v>1301.7494135757574</v>
      </c>
      <c r="V27">
        <v>130.8361543151515</v>
      </c>
      <c r="W27">
        <v>0</v>
      </c>
      <c r="X27">
        <v>0</v>
      </c>
      <c r="Z27">
        <v>144.10662718973057</v>
      </c>
      <c r="AA27">
        <v>40</v>
      </c>
      <c r="AB27" t="s">
        <v>420</v>
      </c>
      <c r="AF27">
        <v>0</v>
      </c>
      <c r="AG27">
        <v>0</v>
      </c>
      <c r="AH27">
        <v>100000</v>
      </c>
      <c r="AI27" t="s">
        <v>174</v>
      </c>
      <c r="AJ27">
        <v>2340000</v>
      </c>
      <c r="AP27" t="e">
        <v>#N/A</v>
      </c>
      <c r="AQ27">
        <v>4608100.7208000002</v>
      </c>
      <c r="AR27">
        <v>431759.30923999997</v>
      </c>
      <c r="AS27">
        <v>4176341.4115600004</v>
      </c>
      <c r="AT27">
        <v>42968</v>
      </c>
      <c r="AU27">
        <v>0</v>
      </c>
      <c r="AV27">
        <v>9153.8000000000011</v>
      </c>
      <c r="AW27">
        <v>59526.601875732704</v>
      </c>
      <c r="AX27">
        <v>-7404.8018757327009</v>
      </c>
      <c r="AY27">
        <v>0</v>
      </c>
    </row>
    <row r="28" spans="1:51" hidden="1" x14ac:dyDescent="0.35">
      <c r="A28" t="s">
        <v>389</v>
      </c>
      <c r="C28" t="s">
        <v>223</v>
      </c>
      <c r="D28">
        <v>3328</v>
      </c>
      <c r="E28">
        <v>1331.5182328576529</v>
      </c>
      <c r="F28">
        <v>0</v>
      </c>
      <c r="G28">
        <v>14352</v>
      </c>
      <c r="H28">
        <v>0</v>
      </c>
      <c r="I28">
        <v>26965.644191933032</v>
      </c>
      <c r="J28">
        <v>0.1</v>
      </c>
      <c r="K28">
        <v>7.2817653569589762</v>
      </c>
      <c r="L28">
        <v>0.39646861516868037</v>
      </c>
      <c r="M28">
        <v>6.8852967417902962</v>
      </c>
      <c r="N28">
        <v>2025</v>
      </c>
      <c r="O28" t="s">
        <v>224</v>
      </c>
      <c r="P28">
        <v>430000</v>
      </c>
      <c r="Q28">
        <v>0</v>
      </c>
      <c r="R28" t="s">
        <v>236</v>
      </c>
      <c r="S28">
        <v>80</v>
      </c>
      <c r="T28">
        <v>40</v>
      </c>
      <c r="U28">
        <v>0</v>
      </c>
      <c r="V28">
        <v>324.45036882812497</v>
      </c>
      <c r="W28">
        <v>2024</v>
      </c>
      <c r="X28">
        <v>112.32000000000001</v>
      </c>
      <c r="Z28">
        <v>48</v>
      </c>
      <c r="AA28">
        <v>93</v>
      </c>
      <c r="AB28">
        <v>60</v>
      </c>
      <c r="AF28">
        <v>0</v>
      </c>
      <c r="AG28" t="s">
        <v>479</v>
      </c>
      <c r="AH28">
        <v>0</v>
      </c>
      <c r="AJ28">
        <v>150000</v>
      </c>
      <c r="AK28" t="s">
        <v>237</v>
      </c>
      <c r="AL28">
        <v>100000</v>
      </c>
      <c r="AP28" t="e">
        <v>#N/A</v>
      </c>
      <c r="AQ28">
        <v>266240</v>
      </c>
      <c r="AR28">
        <v>1079770.8274599998</v>
      </c>
      <c r="AS28">
        <v>-813530.82745999983</v>
      </c>
      <c r="AT28">
        <v>1331.5182328576529</v>
      </c>
      <c r="AU28">
        <v>0</v>
      </c>
      <c r="AV28">
        <v>1435.2</v>
      </c>
      <c r="AW28">
        <v>2696.5644191933034</v>
      </c>
      <c r="AX28">
        <v>70.1538136643494</v>
      </c>
      <c r="AY28" t="s">
        <v>465</v>
      </c>
    </row>
    <row r="29" spans="1:51" hidden="1" x14ac:dyDescent="0.35">
      <c r="A29" t="s">
        <v>388</v>
      </c>
      <c r="C29" t="s">
        <v>223</v>
      </c>
      <c r="D29">
        <v>3374</v>
      </c>
      <c r="E29">
        <v>1349.9226315089306</v>
      </c>
      <c r="F29">
        <v>0</v>
      </c>
      <c r="G29">
        <v>39554.513481828842</v>
      </c>
      <c r="H29">
        <v>0</v>
      </c>
      <c r="I29">
        <v>55380.101190022637</v>
      </c>
      <c r="J29">
        <v>0</v>
      </c>
      <c r="K29">
        <v>7.7500438821119992</v>
      </c>
      <c r="L29">
        <v>0.81423873542313152</v>
      </c>
      <c r="M29">
        <v>6.9358051466888675</v>
      </c>
      <c r="N29">
        <v>2032</v>
      </c>
      <c r="P29">
        <v>216000</v>
      </c>
      <c r="S29">
        <v>80</v>
      </c>
      <c r="T29">
        <v>40</v>
      </c>
      <c r="U29">
        <v>0</v>
      </c>
      <c r="V29">
        <v>304.51810011855366</v>
      </c>
      <c r="X29" t="e">
        <v>#N/A</v>
      </c>
      <c r="Z29" t="s">
        <v>225</v>
      </c>
      <c r="AA29">
        <v>50</v>
      </c>
      <c r="AB29">
        <v>35.409999999999997</v>
      </c>
      <c r="AI29" t="s">
        <v>181</v>
      </c>
      <c r="AJ29">
        <v>120000</v>
      </c>
      <c r="AP29" t="e">
        <v>#N/A</v>
      </c>
      <c r="AQ29">
        <v>269920</v>
      </c>
      <c r="AR29">
        <v>1027444.0698000001</v>
      </c>
      <c r="AS29">
        <v>-757524.06980000006</v>
      </c>
      <c r="AT29">
        <v>1349.9226315089306</v>
      </c>
      <c r="AU29">
        <v>0</v>
      </c>
      <c r="AV29">
        <v>3955.4513481828844</v>
      </c>
      <c r="AW29">
        <v>5538.0101190022642</v>
      </c>
      <c r="AX29">
        <v>-232.63613931044893</v>
      </c>
      <c r="AY29" t="e">
        <v>#VALUE!</v>
      </c>
    </row>
    <row r="30" spans="1:51" hidden="1" x14ac:dyDescent="0.35">
      <c r="A30" t="s">
        <v>480</v>
      </c>
      <c r="C30" t="s">
        <v>227</v>
      </c>
      <c r="D30">
        <v>3600</v>
      </c>
      <c r="E30">
        <v>1440.3442422739035</v>
      </c>
      <c r="G30">
        <v>37500</v>
      </c>
      <c r="I30">
        <v>48947.067034542939</v>
      </c>
      <c r="J30">
        <v>0.1</v>
      </c>
      <c r="K30">
        <v>8.2000021566000001</v>
      </c>
      <c r="L30">
        <v>0.71965556415519438</v>
      </c>
      <c r="M30">
        <v>7.480346592444806</v>
      </c>
      <c r="N30">
        <v>2025</v>
      </c>
      <c r="O30" t="s">
        <v>228</v>
      </c>
      <c r="P30">
        <v>500000</v>
      </c>
      <c r="Q30">
        <v>0</v>
      </c>
      <c r="S30">
        <v>75.541666666666671</v>
      </c>
      <c r="T30">
        <v>40</v>
      </c>
      <c r="V30">
        <v>944.55868155555549</v>
      </c>
      <c r="W30">
        <v>2023</v>
      </c>
      <c r="X30">
        <v>635.58000000000004</v>
      </c>
      <c r="Z30" t="s">
        <v>225</v>
      </c>
      <c r="AA30">
        <v>50</v>
      </c>
      <c r="AB30">
        <v>35</v>
      </c>
      <c r="AF30">
        <v>0</v>
      </c>
      <c r="AG30">
        <v>0</v>
      </c>
      <c r="AH30">
        <v>0</v>
      </c>
      <c r="AI30" t="s">
        <v>176</v>
      </c>
      <c r="AJ30">
        <v>400000</v>
      </c>
      <c r="AM30">
        <v>100000</v>
      </c>
      <c r="AN30" t="s">
        <v>229</v>
      </c>
      <c r="AQ30">
        <v>271950</v>
      </c>
      <c r="AR30">
        <v>3400411.2535999999</v>
      </c>
      <c r="AS30">
        <v>-3128461.2535999999</v>
      </c>
      <c r="AT30">
        <v>1440.3442422739035</v>
      </c>
      <c r="AU30">
        <v>0</v>
      </c>
      <c r="AV30">
        <v>3750</v>
      </c>
      <c r="AW30">
        <v>4894.7067034542943</v>
      </c>
      <c r="AX30">
        <v>295.63753881960929</v>
      </c>
      <c r="AY30" t="e">
        <v>#VALUE!</v>
      </c>
    </row>
    <row r="31" spans="1:51" hidden="1" x14ac:dyDescent="0.35">
      <c r="A31" t="s">
        <v>382</v>
      </c>
      <c r="C31" t="s">
        <v>223</v>
      </c>
      <c r="D31">
        <v>3705</v>
      </c>
      <c r="E31">
        <v>1482.3542826735591</v>
      </c>
      <c r="F31">
        <v>0</v>
      </c>
      <c r="G31">
        <v>43434.935521688159</v>
      </c>
      <c r="H31">
        <v>0</v>
      </c>
      <c r="I31">
        <v>60813.063102855325</v>
      </c>
      <c r="J31">
        <v>0</v>
      </c>
      <c r="K31">
        <v>8.5103475350400011</v>
      </c>
      <c r="L31">
        <v>0.89411811343885661</v>
      </c>
      <c r="M31">
        <v>7.6162294216011448</v>
      </c>
      <c r="N31">
        <v>2032</v>
      </c>
      <c r="O31" t="s">
        <v>224</v>
      </c>
      <c r="P31">
        <v>270000</v>
      </c>
      <c r="Q31" t="e">
        <v>#REF!</v>
      </c>
      <c r="R31" t="s">
        <v>236</v>
      </c>
      <c r="S31">
        <v>80</v>
      </c>
      <c r="T31">
        <v>40</v>
      </c>
      <c r="U31">
        <v>0</v>
      </c>
      <c r="V31">
        <v>123.73687881241565</v>
      </c>
      <c r="W31" t="e">
        <v>#REF!</v>
      </c>
      <c r="X31" t="e">
        <v>#N/A</v>
      </c>
      <c r="Z31">
        <v>144.10662718973057</v>
      </c>
      <c r="AA31">
        <v>50</v>
      </c>
      <c r="AB31">
        <v>35.409999999999997</v>
      </c>
      <c r="AF31">
        <v>0</v>
      </c>
      <c r="AG31">
        <v>0</v>
      </c>
      <c r="AI31" t="s">
        <v>181</v>
      </c>
      <c r="AJ31">
        <v>150000</v>
      </c>
      <c r="AK31" t="s">
        <v>237</v>
      </c>
      <c r="AP31" t="e">
        <v>#N/A</v>
      </c>
      <c r="AQ31">
        <v>296400</v>
      </c>
      <c r="AR31">
        <v>458445.136</v>
      </c>
      <c r="AS31">
        <v>-162045.136</v>
      </c>
      <c r="AT31">
        <v>1482.3542826735591</v>
      </c>
      <c r="AU31">
        <v>0</v>
      </c>
      <c r="AV31">
        <v>4343.4935521688158</v>
      </c>
      <c r="AW31">
        <v>6081.3063102855331</v>
      </c>
      <c r="AX31">
        <v>-255.45847544315802</v>
      </c>
      <c r="AY31" t="s">
        <v>469</v>
      </c>
    </row>
    <row r="32" spans="1:51" hidden="1" x14ac:dyDescent="0.35">
      <c r="A32" t="s">
        <v>381</v>
      </c>
      <c r="C32" t="s">
        <v>227</v>
      </c>
      <c r="D32">
        <v>3750</v>
      </c>
      <c r="E32">
        <v>1500.3585857019827</v>
      </c>
      <c r="G32">
        <v>43962.48534583822</v>
      </c>
      <c r="I32">
        <v>61551.683302485144</v>
      </c>
      <c r="J32">
        <v>0</v>
      </c>
      <c r="K32">
        <v>8.6137120800000009</v>
      </c>
      <c r="L32">
        <v>0.90497784761017874</v>
      </c>
      <c r="M32">
        <v>7.7087342323898218</v>
      </c>
      <c r="N32">
        <v>2028</v>
      </c>
      <c r="O32">
        <v>2023</v>
      </c>
      <c r="P32">
        <v>199999.6</v>
      </c>
      <c r="S32">
        <v>80</v>
      </c>
      <c r="T32">
        <v>40</v>
      </c>
      <c r="W32">
        <v>0</v>
      </c>
      <c r="X32">
        <v>0</v>
      </c>
      <c r="Z32">
        <v>36.026656797432643</v>
      </c>
      <c r="AA32">
        <v>50</v>
      </c>
      <c r="AB32">
        <v>35.409999999999997</v>
      </c>
      <c r="AF32">
        <v>0</v>
      </c>
      <c r="AG32" t="s">
        <v>463</v>
      </c>
      <c r="AH32">
        <v>0</v>
      </c>
      <c r="AI32" t="s">
        <v>233</v>
      </c>
      <c r="AJ32">
        <v>53550</v>
      </c>
      <c r="AL32">
        <v>29031</v>
      </c>
      <c r="AM32">
        <v>100000</v>
      </c>
      <c r="AN32" t="s">
        <v>229</v>
      </c>
      <c r="AQ32">
        <v>300000</v>
      </c>
      <c r="AR32">
        <v>0</v>
      </c>
      <c r="AS32">
        <v>300000</v>
      </c>
      <c r="AT32">
        <v>1500.3585857019827</v>
      </c>
      <c r="AU32">
        <v>0</v>
      </c>
      <c r="AV32">
        <v>4396.2485345838222</v>
      </c>
      <c r="AW32">
        <v>6155.1683302485144</v>
      </c>
      <c r="AX32">
        <v>-258.56120996270965</v>
      </c>
      <c r="AY32" t="s">
        <v>465</v>
      </c>
    </row>
    <row r="33" spans="1:51" hidden="1" x14ac:dyDescent="0.35">
      <c r="A33" t="s">
        <v>374</v>
      </c>
      <c r="C33" t="s">
        <v>223</v>
      </c>
      <c r="D33">
        <v>3785</v>
      </c>
      <c r="E33">
        <v>4484</v>
      </c>
      <c r="F33">
        <v>0</v>
      </c>
      <c r="G33">
        <v>39160</v>
      </c>
      <c r="H33">
        <v>0</v>
      </c>
      <c r="I33">
        <v>91727.40914419695</v>
      </c>
      <c r="J33">
        <v>0</v>
      </c>
      <c r="K33">
        <v>24.387112118425232</v>
      </c>
      <c r="L33">
        <v>1.3486434300460799</v>
      </c>
      <c r="M33">
        <v>23.038468688379151</v>
      </c>
      <c r="N33">
        <v>2034</v>
      </c>
      <c r="O33" t="s">
        <v>224</v>
      </c>
      <c r="P33">
        <v>270000</v>
      </c>
      <c r="Q33">
        <v>0</v>
      </c>
      <c r="S33">
        <v>153.7402252047556</v>
      </c>
      <c r="T33">
        <v>118.43932163804492</v>
      </c>
      <c r="V33">
        <v>102.51294964332892</v>
      </c>
      <c r="W33" t="e">
        <v>#N/A</v>
      </c>
      <c r="X33" t="e">
        <v>#N/A</v>
      </c>
      <c r="Z33">
        <v>48</v>
      </c>
      <c r="AA33">
        <v>50</v>
      </c>
      <c r="AB33">
        <v>35.409999999999997</v>
      </c>
      <c r="AF33">
        <v>0</v>
      </c>
      <c r="AG33">
        <v>0</v>
      </c>
      <c r="AI33" t="s">
        <v>174</v>
      </c>
      <c r="AJ33">
        <v>150000</v>
      </c>
      <c r="AP33" t="e">
        <v>#N/A</v>
      </c>
      <c r="AQ33">
        <v>581906.7524</v>
      </c>
      <c r="AR33">
        <v>388011.51439999999</v>
      </c>
      <c r="AS33">
        <v>193895.23800000001</v>
      </c>
      <c r="AT33">
        <v>4484</v>
      </c>
      <c r="AU33">
        <v>0</v>
      </c>
      <c r="AV33">
        <v>3916</v>
      </c>
      <c r="AW33">
        <v>9172.7409144196954</v>
      </c>
      <c r="AX33">
        <v>-772.7409144196954</v>
      </c>
      <c r="AY33" t="s">
        <v>465</v>
      </c>
    </row>
    <row r="34" spans="1:51" x14ac:dyDescent="0.35">
      <c r="A34" t="s">
        <v>373</v>
      </c>
      <c r="B34" s="9" t="s">
        <v>614</v>
      </c>
      <c r="C34" t="s">
        <v>223</v>
      </c>
      <c r="D34">
        <v>3790</v>
      </c>
      <c r="E34">
        <v>1516.3624106161374</v>
      </c>
      <c r="F34">
        <v>0</v>
      </c>
      <c r="G34">
        <v>44431.418522860491</v>
      </c>
      <c r="H34">
        <v>0</v>
      </c>
      <c r="I34">
        <v>62208.234591044988</v>
      </c>
      <c r="J34">
        <v>0</v>
      </c>
      <c r="K34">
        <v>8.7055916755200027</v>
      </c>
      <c r="L34">
        <v>0.91463094465135419</v>
      </c>
      <c r="M34">
        <v>7.7909607308686484</v>
      </c>
      <c r="N34">
        <v>2034</v>
      </c>
      <c r="P34">
        <v>180000</v>
      </c>
      <c r="S34">
        <v>80</v>
      </c>
      <c r="T34">
        <v>40</v>
      </c>
      <c r="U34">
        <v>0</v>
      </c>
      <c r="V34">
        <v>516.37514089709759</v>
      </c>
      <c r="W34" t="e">
        <v>#N/A</v>
      </c>
      <c r="X34" t="e">
        <v>#N/A</v>
      </c>
      <c r="Z34" t="s">
        <v>225</v>
      </c>
      <c r="AA34">
        <v>50</v>
      </c>
      <c r="AB34">
        <v>35.409999999999997</v>
      </c>
      <c r="AJ34">
        <v>100000</v>
      </c>
      <c r="AP34" t="e">
        <v>#N/A</v>
      </c>
      <c r="AQ34">
        <v>303200</v>
      </c>
      <c r="AR34">
        <v>1957061.784</v>
      </c>
      <c r="AS34">
        <v>-1653861.784</v>
      </c>
      <c r="AT34">
        <v>1516.3624106161374</v>
      </c>
      <c r="AU34">
        <v>0</v>
      </c>
      <c r="AV34">
        <v>4443.1418522860495</v>
      </c>
      <c r="AW34">
        <v>6220.8234591044993</v>
      </c>
      <c r="AX34">
        <v>-261.31919620231292</v>
      </c>
      <c r="AY34" t="e">
        <v>#VALUE!</v>
      </c>
    </row>
    <row r="35" spans="1:51" hidden="1" x14ac:dyDescent="0.35">
      <c r="A35" t="s">
        <v>363</v>
      </c>
      <c r="C35" t="s">
        <v>223</v>
      </c>
      <c r="D35">
        <v>4000</v>
      </c>
      <c r="E35">
        <v>25475</v>
      </c>
      <c r="F35">
        <v>0</v>
      </c>
      <c r="G35">
        <v>46893.317702227432</v>
      </c>
      <c r="H35">
        <v>0</v>
      </c>
      <c r="I35">
        <v>345545.13481828838</v>
      </c>
      <c r="J35">
        <v>0</v>
      </c>
      <c r="K35">
        <v>135.96917036202561</v>
      </c>
      <c r="L35">
        <v>5.0804571960000002</v>
      </c>
      <c r="M35">
        <v>130.88871316602561</v>
      </c>
      <c r="N35">
        <v>2034</v>
      </c>
      <c r="O35" t="s">
        <v>364</v>
      </c>
      <c r="P35">
        <v>509500</v>
      </c>
      <c r="Q35">
        <v>0</v>
      </c>
      <c r="S35">
        <v>676.722786875</v>
      </c>
      <c r="T35">
        <v>636.722786875</v>
      </c>
      <c r="U35">
        <v>0</v>
      </c>
      <c r="V35">
        <v>511.58461749999998</v>
      </c>
      <c r="W35">
        <v>0</v>
      </c>
      <c r="X35">
        <v>0</v>
      </c>
      <c r="AA35">
        <v>50</v>
      </c>
      <c r="AB35">
        <v>45</v>
      </c>
      <c r="AF35">
        <v>42000</v>
      </c>
      <c r="AG35" t="s">
        <v>365</v>
      </c>
      <c r="AH35">
        <v>25000</v>
      </c>
      <c r="AI35" t="s">
        <v>226</v>
      </c>
      <c r="AJ35">
        <v>75000</v>
      </c>
      <c r="AL35">
        <v>0</v>
      </c>
      <c r="AM35">
        <v>300000</v>
      </c>
      <c r="AQ35">
        <v>2706891.1475</v>
      </c>
      <c r="AR35">
        <v>2046338.47</v>
      </c>
      <c r="AS35">
        <v>660552.67749999999</v>
      </c>
      <c r="AT35">
        <v>25475</v>
      </c>
      <c r="AU35">
        <v>0</v>
      </c>
      <c r="AV35">
        <v>4689.3317702227432</v>
      </c>
      <c r="AW35">
        <v>34554.513481828842</v>
      </c>
      <c r="AX35">
        <v>4390.1817116060993</v>
      </c>
      <c r="AY35" t="e">
        <v>#N/A</v>
      </c>
    </row>
    <row r="36" spans="1:51" hidden="1" x14ac:dyDescent="0.35">
      <c r="A36" t="s">
        <v>369</v>
      </c>
      <c r="C36" t="s">
        <v>223</v>
      </c>
      <c r="D36">
        <v>4000</v>
      </c>
      <c r="E36">
        <v>6280</v>
      </c>
      <c r="F36">
        <v>0</v>
      </c>
      <c r="G36">
        <v>46893.317702227432</v>
      </c>
      <c r="H36">
        <v>0</v>
      </c>
      <c r="I36">
        <v>120515.8264947245</v>
      </c>
      <c r="J36">
        <v>0</v>
      </c>
      <c r="K36">
        <v>34.038098979482662</v>
      </c>
      <c r="L36">
        <v>1.7719117888</v>
      </c>
      <c r="M36">
        <v>32.266187190682665</v>
      </c>
      <c r="N36">
        <v>2027</v>
      </c>
      <c r="O36" t="s">
        <v>364</v>
      </c>
      <c r="P36">
        <v>383500</v>
      </c>
      <c r="S36">
        <v>196.96247700000001</v>
      </c>
      <c r="T36">
        <v>156.96247700000001</v>
      </c>
      <c r="U36">
        <v>0</v>
      </c>
      <c r="V36">
        <v>1174.5707640000001</v>
      </c>
      <c r="W36">
        <v>0</v>
      </c>
      <c r="X36">
        <v>0</v>
      </c>
      <c r="Z36" t="s">
        <v>225</v>
      </c>
      <c r="AA36">
        <v>50</v>
      </c>
      <c r="AB36">
        <v>45</v>
      </c>
      <c r="AF36">
        <v>0</v>
      </c>
      <c r="AG36" t="s">
        <v>365</v>
      </c>
      <c r="AH36">
        <v>25000</v>
      </c>
      <c r="AI36" t="s">
        <v>226</v>
      </c>
      <c r="AJ36">
        <v>195000</v>
      </c>
      <c r="AL36">
        <v>0</v>
      </c>
      <c r="AM36">
        <v>0</v>
      </c>
      <c r="AQ36">
        <v>787849.90800000005</v>
      </c>
      <c r="AR36">
        <v>4698283.0559999999</v>
      </c>
      <c r="AS36">
        <v>-3910433.148</v>
      </c>
      <c r="AT36">
        <v>6280</v>
      </c>
      <c r="AU36">
        <v>0</v>
      </c>
      <c r="AV36">
        <v>4689.3317702227432</v>
      </c>
      <c r="AW36">
        <v>12051.582649472452</v>
      </c>
      <c r="AX36">
        <v>1082.2508792497083</v>
      </c>
      <c r="AY36" t="e">
        <v>#N/A</v>
      </c>
    </row>
    <row r="37" spans="1:51" hidden="1" x14ac:dyDescent="0.35">
      <c r="A37" t="s">
        <v>370</v>
      </c>
      <c r="C37" t="s">
        <v>223</v>
      </c>
      <c r="D37">
        <v>4000</v>
      </c>
      <c r="E37">
        <v>1600.3824914154484</v>
      </c>
      <c r="F37">
        <v>0</v>
      </c>
      <c r="G37">
        <v>46893.317702227432</v>
      </c>
      <c r="H37">
        <v>0</v>
      </c>
      <c r="I37">
        <v>65655.128855984163</v>
      </c>
      <c r="J37">
        <v>0</v>
      </c>
      <c r="K37">
        <v>9.1879595520000006</v>
      </c>
      <c r="L37">
        <v>0.96530970411752415</v>
      </c>
      <c r="M37">
        <v>8.2226498478824759</v>
      </c>
      <c r="N37">
        <v>2034</v>
      </c>
      <c r="O37" t="s">
        <v>364</v>
      </c>
      <c r="P37">
        <v>46500</v>
      </c>
      <c r="S37">
        <v>80</v>
      </c>
      <c r="T37">
        <v>40</v>
      </c>
      <c r="U37">
        <v>0</v>
      </c>
      <c r="V37">
        <v>287.26294432000003</v>
      </c>
      <c r="W37">
        <v>0</v>
      </c>
      <c r="X37">
        <v>0</v>
      </c>
      <c r="Z37" t="s">
        <v>225</v>
      </c>
      <c r="AA37">
        <v>50</v>
      </c>
      <c r="AB37">
        <v>193</v>
      </c>
      <c r="AF37">
        <v>14000</v>
      </c>
      <c r="AG37" t="s">
        <v>371</v>
      </c>
      <c r="AH37">
        <v>25000</v>
      </c>
      <c r="AI37" t="s">
        <v>372</v>
      </c>
      <c r="AQ37">
        <v>320000</v>
      </c>
      <c r="AR37">
        <v>1149051.77728</v>
      </c>
      <c r="AS37">
        <v>-829051.77728000004</v>
      </c>
      <c r="AT37">
        <v>1600.3824914154484</v>
      </c>
      <c r="AU37">
        <v>0</v>
      </c>
      <c r="AV37">
        <v>4689.3317702227432</v>
      </c>
      <c r="AW37">
        <v>6565.5128855984167</v>
      </c>
      <c r="AX37">
        <v>-275.79862396022509</v>
      </c>
      <c r="AY37" t="e">
        <v>#VALUE!</v>
      </c>
    </row>
    <row r="38" spans="1:51" hidden="1" x14ac:dyDescent="0.35">
      <c r="A38" t="s">
        <v>354</v>
      </c>
      <c r="C38" t="s">
        <v>172</v>
      </c>
      <c r="D38">
        <v>4039</v>
      </c>
      <c r="E38">
        <v>656.8</v>
      </c>
      <c r="G38">
        <v>105009</v>
      </c>
      <c r="H38">
        <v>0</v>
      </c>
      <c r="I38">
        <v>101437.99449003517</v>
      </c>
      <c r="J38">
        <v>0.1</v>
      </c>
      <c r="K38">
        <v>5.0317194370382969</v>
      </c>
      <c r="L38">
        <v>1.4914155550930128</v>
      </c>
      <c r="M38">
        <v>3.5403038819452841</v>
      </c>
      <c r="N38">
        <v>2029</v>
      </c>
      <c r="O38" t="s">
        <v>268</v>
      </c>
      <c r="P38">
        <v>500000</v>
      </c>
      <c r="Q38" t="s">
        <v>481</v>
      </c>
      <c r="S38">
        <v>104.965340549641</v>
      </c>
      <c r="T38">
        <v>16.257564367417679</v>
      </c>
      <c r="V38">
        <v>39.267846535500247</v>
      </c>
      <c r="W38">
        <v>2034</v>
      </c>
      <c r="X38">
        <v>172.8</v>
      </c>
      <c r="Z38">
        <v>115.28530175178446</v>
      </c>
      <c r="AA38">
        <v>35</v>
      </c>
      <c r="AB38">
        <v>10</v>
      </c>
      <c r="AF38">
        <v>28000</v>
      </c>
      <c r="AG38" t="s">
        <v>482</v>
      </c>
      <c r="AH38">
        <v>0</v>
      </c>
      <c r="AI38" t="s">
        <v>181</v>
      </c>
      <c r="AJ38">
        <v>425412</v>
      </c>
      <c r="AK38" t="s">
        <v>190</v>
      </c>
      <c r="AM38">
        <v>1132800</v>
      </c>
      <c r="AN38" t="s">
        <v>187</v>
      </c>
      <c r="AO38" t="s">
        <v>241</v>
      </c>
      <c r="AP38" t="s">
        <v>483</v>
      </c>
      <c r="AQ38">
        <v>423955.01048</v>
      </c>
      <c r="AR38">
        <v>158602.8321568855</v>
      </c>
      <c r="AS38">
        <v>265352.17832311452</v>
      </c>
      <c r="AT38">
        <v>656.8</v>
      </c>
      <c r="AU38">
        <v>0</v>
      </c>
      <c r="AV38">
        <v>10500.900000000001</v>
      </c>
      <c r="AW38">
        <v>10143.799449003518</v>
      </c>
      <c r="AX38">
        <v>1013.9005509964827</v>
      </c>
      <c r="AY38" t="s">
        <v>484</v>
      </c>
    </row>
    <row r="39" spans="1:51" hidden="1" x14ac:dyDescent="0.35">
      <c r="A39" t="s">
        <v>349</v>
      </c>
      <c r="C39" t="s">
        <v>286</v>
      </c>
      <c r="D39">
        <v>4055</v>
      </c>
      <c r="E39">
        <v>1044.5999999999999</v>
      </c>
      <c r="G39">
        <v>40907.9</v>
      </c>
      <c r="H39">
        <v>0</v>
      </c>
      <c r="I39">
        <v>53154.089917936697</v>
      </c>
      <c r="K39">
        <v>6.1485897710849207</v>
      </c>
      <c r="L39">
        <v>0.78151029029079511</v>
      </c>
      <c r="M39">
        <v>5.3670794807941258</v>
      </c>
      <c r="N39">
        <v>2028</v>
      </c>
      <c r="O39" t="s">
        <v>224</v>
      </c>
      <c r="P39">
        <v>202750</v>
      </c>
      <c r="Q39">
        <v>0</v>
      </c>
      <c r="S39">
        <v>60.17578023674475</v>
      </c>
      <c r="T39">
        <v>25.75463232059186</v>
      </c>
      <c r="V39">
        <v>110.11087950678176</v>
      </c>
      <c r="W39">
        <v>0</v>
      </c>
      <c r="X39">
        <v>0</v>
      </c>
      <c r="Z39" t="s">
        <v>225</v>
      </c>
      <c r="AA39">
        <v>50</v>
      </c>
      <c r="AB39">
        <v>35.409999999999997</v>
      </c>
      <c r="AF39">
        <v>0</v>
      </c>
      <c r="AG39">
        <v>0</v>
      </c>
      <c r="AI39" t="s">
        <v>181</v>
      </c>
      <c r="AQ39">
        <v>244012.78885999997</v>
      </c>
      <c r="AR39">
        <v>446499.6164</v>
      </c>
      <c r="AS39">
        <v>-202486.82754000003</v>
      </c>
      <c r="AT39">
        <v>1044.5999999999999</v>
      </c>
      <c r="AU39">
        <v>0</v>
      </c>
      <c r="AV39">
        <v>4090.7900000000004</v>
      </c>
      <c r="AW39">
        <v>5315.4089917936699</v>
      </c>
      <c r="AX39">
        <v>-180.01899179366956</v>
      </c>
      <c r="AY39" t="e">
        <v>#VALUE!</v>
      </c>
    </row>
    <row r="40" spans="1:51" x14ac:dyDescent="0.35">
      <c r="A40" t="s">
        <v>348</v>
      </c>
      <c r="B40" s="9" t="s">
        <v>614</v>
      </c>
      <c r="C40" t="s">
        <v>223</v>
      </c>
      <c r="D40">
        <v>4416</v>
      </c>
      <c r="E40">
        <v>8776</v>
      </c>
      <c r="F40">
        <v>0</v>
      </c>
      <c r="G40">
        <v>38216</v>
      </c>
      <c r="H40">
        <v>0</v>
      </c>
      <c r="I40">
        <v>141099.93903868698</v>
      </c>
      <c r="J40">
        <v>0</v>
      </c>
      <c r="K40">
        <v>47.165009680829058</v>
      </c>
      <c r="L40">
        <v>2.0745544602190078</v>
      </c>
      <c r="M40">
        <v>45.090455220610053</v>
      </c>
      <c r="N40">
        <v>2032</v>
      </c>
      <c r="O40" t="s">
        <v>224</v>
      </c>
      <c r="P40">
        <v>406500</v>
      </c>
      <c r="Q40">
        <v>0</v>
      </c>
      <c r="S40">
        <v>228.2117856884058</v>
      </c>
      <c r="T40">
        <v>198.68438713768117</v>
      </c>
      <c r="V40">
        <v>102.12374315217392</v>
      </c>
      <c r="W40" t="e">
        <v>#N/A</v>
      </c>
      <c r="X40" t="e">
        <v>#N/A</v>
      </c>
      <c r="Z40">
        <v>96</v>
      </c>
      <c r="AA40">
        <v>18</v>
      </c>
      <c r="AB40">
        <v>45.41</v>
      </c>
      <c r="AF40">
        <v>14000</v>
      </c>
      <c r="AG40">
        <v>0</v>
      </c>
      <c r="AH40">
        <v>25000</v>
      </c>
      <c r="AI40" t="s">
        <v>174</v>
      </c>
      <c r="AJ40">
        <v>200000</v>
      </c>
      <c r="AP40" t="e">
        <v>#N/A</v>
      </c>
      <c r="AQ40">
        <v>1007783.2456</v>
      </c>
      <c r="AR40">
        <v>450978.44975999999</v>
      </c>
      <c r="AS40">
        <v>556804.79584000004</v>
      </c>
      <c r="AT40">
        <v>8776</v>
      </c>
      <c r="AU40">
        <v>0</v>
      </c>
      <c r="AV40">
        <v>3821.6000000000004</v>
      </c>
      <c r="AW40">
        <v>14109.993903868699</v>
      </c>
      <c r="AX40">
        <v>-1512.3939038686985</v>
      </c>
      <c r="AY40" t="s">
        <v>469</v>
      </c>
    </row>
    <row r="41" spans="1:51" hidden="1" x14ac:dyDescent="0.35">
      <c r="A41" t="s">
        <v>345</v>
      </c>
      <c r="C41" t="s">
        <v>227</v>
      </c>
      <c r="D41">
        <v>4514</v>
      </c>
      <c r="E41">
        <v>0</v>
      </c>
      <c r="G41">
        <v>272495.40000000002</v>
      </c>
      <c r="H41">
        <v>0</v>
      </c>
      <c r="I41">
        <v>272495.40000000002</v>
      </c>
      <c r="J41">
        <v>0</v>
      </c>
      <c r="K41">
        <v>4.0064265889169954</v>
      </c>
      <c r="L41">
        <v>4.0064265889169954</v>
      </c>
      <c r="M41">
        <v>0</v>
      </c>
      <c r="N41">
        <v>2036</v>
      </c>
      <c r="O41" t="s">
        <v>228</v>
      </c>
      <c r="P41">
        <v>1</v>
      </c>
      <c r="Q41">
        <v>0</v>
      </c>
      <c r="S41">
        <v>205.97126823216661</v>
      </c>
      <c r="T41">
        <v>0</v>
      </c>
      <c r="V41">
        <v>0</v>
      </c>
      <c r="W41">
        <v>0</v>
      </c>
      <c r="X41">
        <v>73.44</v>
      </c>
      <c r="Z41">
        <v>399.06450606386932</v>
      </c>
      <c r="AA41">
        <v>50</v>
      </c>
      <c r="AB41" t="e">
        <v>#N/A</v>
      </c>
      <c r="AF41">
        <v>0</v>
      </c>
      <c r="AG41" t="s">
        <v>220</v>
      </c>
      <c r="AH41">
        <v>0</v>
      </c>
      <c r="AI41" t="s">
        <v>220</v>
      </c>
      <c r="AJ41">
        <v>0</v>
      </c>
      <c r="AL41">
        <v>0</v>
      </c>
      <c r="AM41">
        <v>1</v>
      </c>
      <c r="AN41" t="s">
        <v>234</v>
      </c>
      <c r="AQ41">
        <v>929754.30480000004</v>
      </c>
      <c r="AR41">
        <v>0</v>
      </c>
      <c r="AS41">
        <v>929754.30480000004</v>
      </c>
      <c r="AT41">
        <v>0</v>
      </c>
      <c r="AU41">
        <v>0</v>
      </c>
      <c r="AV41">
        <v>27249.540000000005</v>
      </c>
      <c r="AW41">
        <v>27249.540000000005</v>
      </c>
      <c r="AX41">
        <v>0</v>
      </c>
    </row>
    <row r="42" spans="1:51" hidden="1" x14ac:dyDescent="0.35">
      <c r="A42" t="s">
        <v>341</v>
      </c>
      <c r="C42" t="s">
        <v>172</v>
      </c>
      <c r="D42">
        <v>4936</v>
      </c>
      <c r="E42">
        <v>131.4</v>
      </c>
      <c r="G42">
        <v>151621.79999999999</v>
      </c>
      <c r="H42">
        <v>0</v>
      </c>
      <c r="I42">
        <v>153162.24548651816</v>
      </c>
      <c r="J42">
        <v>0</v>
      </c>
      <c r="K42">
        <v>2.9270270338364837</v>
      </c>
      <c r="L42">
        <v>2.2519033082225182</v>
      </c>
      <c r="M42">
        <v>0.6751237256139655</v>
      </c>
      <c r="N42">
        <v>2032</v>
      </c>
      <c r="O42" t="s">
        <v>268</v>
      </c>
      <c r="P42">
        <v>300000</v>
      </c>
      <c r="Q42">
        <v>0</v>
      </c>
      <c r="S42">
        <v>107.46970039303079</v>
      </c>
      <c r="T42">
        <v>2.6614383184764994</v>
      </c>
      <c r="V42">
        <v>35.29738640760425</v>
      </c>
      <c r="W42">
        <v>2034</v>
      </c>
      <c r="X42">
        <v>172.8</v>
      </c>
      <c r="Z42">
        <v>172.92795262767672</v>
      </c>
      <c r="AA42">
        <v>73</v>
      </c>
      <c r="AB42">
        <v>0</v>
      </c>
      <c r="AF42">
        <v>28000</v>
      </c>
      <c r="AG42" t="s">
        <v>485</v>
      </c>
      <c r="AH42">
        <v>0</v>
      </c>
      <c r="AI42" t="s">
        <v>220</v>
      </c>
      <c r="AJ42">
        <v>118464</v>
      </c>
      <c r="AL42">
        <v>0</v>
      </c>
      <c r="AM42">
        <v>1100000</v>
      </c>
      <c r="AO42" t="s">
        <v>221</v>
      </c>
      <c r="AP42" t="s">
        <v>486</v>
      </c>
      <c r="AQ42">
        <v>530470.44114000001</v>
      </c>
      <c r="AR42">
        <v>174227.89930793457</v>
      </c>
      <c r="AS42">
        <v>356242.54183206544</v>
      </c>
      <c r="AT42">
        <v>131.4</v>
      </c>
      <c r="AU42">
        <v>0</v>
      </c>
      <c r="AV42">
        <v>15162.18</v>
      </c>
      <c r="AW42">
        <v>15316.224548651817</v>
      </c>
      <c r="AX42">
        <v>-22.644548651816876</v>
      </c>
      <c r="AY42" t="s">
        <v>484</v>
      </c>
    </row>
    <row r="43" spans="1:51" hidden="1" x14ac:dyDescent="0.35">
      <c r="A43" t="s">
        <v>340</v>
      </c>
      <c r="C43" t="s">
        <v>239</v>
      </c>
      <c r="D43">
        <v>5000</v>
      </c>
      <c r="E43">
        <v>2500.597642836638</v>
      </c>
      <c r="G43">
        <v>73270.80890973036</v>
      </c>
      <c r="I43">
        <v>82068.911069980197</v>
      </c>
      <c r="J43">
        <v>0.2</v>
      </c>
      <c r="K43">
        <v>14.3561868</v>
      </c>
      <c r="L43">
        <v>1.206637130146905</v>
      </c>
      <c r="M43">
        <v>13.149549669853094</v>
      </c>
      <c r="N43">
        <v>2026</v>
      </c>
      <c r="O43" t="s">
        <v>224</v>
      </c>
      <c r="P43">
        <v>943800</v>
      </c>
      <c r="Q43">
        <v>0</v>
      </c>
      <c r="S43">
        <v>100</v>
      </c>
      <c r="T43">
        <v>50</v>
      </c>
      <c r="W43" t="e">
        <v>#N/A</v>
      </c>
      <c r="X43" t="e">
        <v>#N/A</v>
      </c>
      <c r="Z43">
        <v>115.2</v>
      </c>
      <c r="AA43">
        <v>50</v>
      </c>
      <c r="AB43">
        <v>0</v>
      </c>
      <c r="AF43">
        <v>0</v>
      </c>
      <c r="AG43" t="s">
        <v>176</v>
      </c>
      <c r="AH43">
        <v>30000</v>
      </c>
      <c r="AI43" t="s">
        <v>233</v>
      </c>
      <c r="AJ43">
        <v>300000</v>
      </c>
      <c r="AL43">
        <v>228000</v>
      </c>
      <c r="AQ43">
        <v>500000</v>
      </c>
      <c r="AR43">
        <v>0</v>
      </c>
      <c r="AS43">
        <v>500000</v>
      </c>
      <c r="AT43">
        <v>2500.597642836638</v>
      </c>
      <c r="AU43">
        <v>0</v>
      </c>
      <c r="AV43">
        <v>7327.0808909730367</v>
      </c>
      <c r="AW43">
        <v>8206.8911069980204</v>
      </c>
      <c r="AX43">
        <v>1620.7874268116539</v>
      </c>
      <c r="AY43" t="s">
        <v>469</v>
      </c>
    </row>
    <row r="44" spans="1:51" hidden="1" x14ac:dyDescent="0.35">
      <c r="A44" t="s">
        <v>335</v>
      </c>
      <c r="C44" t="s">
        <v>172</v>
      </c>
      <c r="D44">
        <v>5115</v>
      </c>
      <c r="E44">
        <v>1350.7</v>
      </c>
      <c r="G44">
        <v>91444.3</v>
      </c>
      <c r="H44">
        <v>0</v>
      </c>
      <c r="I44">
        <v>96551.100949589687</v>
      </c>
      <c r="J44">
        <v>0.1</v>
      </c>
      <c r="K44">
        <v>8.5170935138474757</v>
      </c>
      <c r="L44">
        <v>1.4195648735121587</v>
      </c>
      <c r="M44">
        <v>7.0975286403353168</v>
      </c>
      <c r="N44">
        <v>2035</v>
      </c>
      <c r="O44" t="s">
        <v>268</v>
      </c>
      <c r="P44">
        <v>500000</v>
      </c>
      <c r="Q44">
        <v>0</v>
      </c>
      <c r="S44">
        <v>87.398957941348982</v>
      </c>
      <c r="T44">
        <v>26.400335927663736</v>
      </c>
      <c r="V44">
        <v>41.933273118279565</v>
      </c>
      <c r="W44">
        <v>2034</v>
      </c>
      <c r="X44">
        <v>172.8</v>
      </c>
      <c r="Z44">
        <v>38.400000000000006</v>
      </c>
      <c r="AA44">
        <v>30</v>
      </c>
      <c r="AB44">
        <v>10</v>
      </c>
      <c r="AF44">
        <v>28000</v>
      </c>
      <c r="AG44" t="s">
        <v>487</v>
      </c>
      <c r="AH44">
        <v>0</v>
      </c>
      <c r="AI44" t="s">
        <v>181</v>
      </c>
      <c r="AJ44">
        <v>122760</v>
      </c>
      <c r="AM44">
        <v>1100000</v>
      </c>
      <c r="AO44" t="s">
        <v>241</v>
      </c>
      <c r="AP44" t="s">
        <v>483</v>
      </c>
      <c r="AQ44">
        <v>447045.66987000004</v>
      </c>
      <c r="AR44">
        <v>214488.69199999998</v>
      </c>
      <c r="AS44">
        <v>232556.97787000006</v>
      </c>
      <c r="AT44">
        <v>1350.7</v>
      </c>
      <c r="AU44">
        <v>0</v>
      </c>
      <c r="AV44">
        <v>9144.43</v>
      </c>
      <c r="AW44">
        <v>9655.1100949589691</v>
      </c>
      <c r="AX44">
        <v>840.01990504103196</v>
      </c>
      <c r="AY44" t="s">
        <v>484</v>
      </c>
    </row>
    <row r="45" spans="1:51" hidden="1" x14ac:dyDescent="0.35">
      <c r="A45" t="s">
        <v>332</v>
      </c>
      <c r="C45" t="s">
        <v>172</v>
      </c>
      <c r="D45">
        <v>5427</v>
      </c>
      <c r="E45">
        <v>2651.9</v>
      </c>
      <c r="G45">
        <v>72887.899999999994</v>
      </c>
      <c r="H45">
        <v>0</v>
      </c>
      <c r="I45">
        <v>83181.597842907388</v>
      </c>
      <c r="J45">
        <v>0.2</v>
      </c>
      <c r="K45">
        <v>15.154016819701214</v>
      </c>
      <c r="L45">
        <v>1.2229966645544281</v>
      </c>
      <c r="M45">
        <v>13.931020155146786</v>
      </c>
      <c r="N45">
        <v>2026</v>
      </c>
      <c r="O45" t="s">
        <v>268</v>
      </c>
      <c r="P45">
        <v>900000</v>
      </c>
      <c r="Q45">
        <v>0</v>
      </c>
      <c r="S45">
        <v>94.678484317302377</v>
      </c>
      <c r="T45">
        <v>48.85325586696149</v>
      </c>
      <c r="V45">
        <v>66.930718404859618</v>
      </c>
      <c r="W45">
        <v>2034</v>
      </c>
      <c r="X45">
        <v>172.8</v>
      </c>
      <c r="Z45">
        <v>153.60000000000002</v>
      </c>
      <c r="AA45">
        <v>44</v>
      </c>
      <c r="AB45">
        <v>15</v>
      </c>
      <c r="AF45">
        <v>28000</v>
      </c>
      <c r="AG45" t="s">
        <v>488</v>
      </c>
      <c r="AH45">
        <v>0</v>
      </c>
      <c r="AI45" t="s">
        <v>177</v>
      </c>
      <c r="AJ45">
        <v>182347.2</v>
      </c>
      <c r="AM45">
        <v>1100000</v>
      </c>
      <c r="AO45" t="s">
        <v>184</v>
      </c>
      <c r="AP45" t="s">
        <v>177</v>
      </c>
      <c r="AQ45">
        <v>513820.13439000002</v>
      </c>
      <c r="AR45">
        <v>363233.00878317317</v>
      </c>
      <c r="AS45">
        <v>150587.12560682686</v>
      </c>
      <c r="AT45">
        <v>2651.9</v>
      </c>
      <c r="AU45">
        <v>0</v>
      </c>
      <c r="AV45">
        <v>7288.79</v>
      </c>
      <c r="AW45">
        <v>8318.1597842907395</v>
      </c>
      <c r="AX45">
        <v>1622.530215709261</v>
      </c>
      <c r="AY45" t="s">
        <v>484</v>
      </c>
    </row>
    <row r="46" spans="1:51" hidden="1" x14ac:dyDescent="0.35">
      <c r="A46" t="s">
        <v>328</v>
      </c>
      <c r="C46" t="s">
        <v>172</v>
      </c>
      <c r="D46">
        <v>5605</v>
      </c>
      <c r="E46">
        <v>1055.9000000000001</v>
      </c>
      <c r="G46">
        <v>103100.3</v>
      </c>
      <c r="H46">
        <v>0</v>
      </c>
      <c r="I46">
        <v>103931.06718640095</v>
      </c>
      <c r="J46">
        <v>0.1</v>
      </c>
      <c r="K46">
        <v>7.1229942132818955</v>
      </c>
      <c r="L46">
        <v>1.5280705325305142</v>
      </c>
      <c r="M46">
        <v>5.5949236807513811</v>
      </c>
      <c r="N46">
        <v>2028</v>
      </c>
      <c r="O46">
        <v>2032</v>
      </c>
      <c r="P46">
        <v>750000</v>
      </c>
      <c r="Q46">
        <v>0</v>
      </c>
      <c r="S46">
        <v>81.595537482604826</v>
      </c>
      <c r="T46">
        <v>18.834034610169493</v>
      </c>
      <c r="V46">
        <v>28.203740260481712</v>
      </c>
      <c r="W46">
        <v>2034</v>
      </c>
      <c r="X46">
        <v>172.8</v>
      </c>
      <c r="Z46">
        <v>115.2</v>
      </c>
      <c r="AA46">
        <v>51</v>
      </c>
      <c r="AB46">
        <v>25</v>
      </c>
      <c r="AF46">
        <v>28000</v>
      </c>
      <c r="AG46" t="s">
        <v>489</v>
      </c>
      <c r="AH46">
        <v>50000</v>
      </c>
      <c r="AI46" t="s">
        <v>181</v>
      </c>
      <c r="AJ46">
        <v>134520</v>
      </c>
      <c r="AM46">
        <v>1100000</v>
      </c>
      <c r="AO46" t="s">
        <v>204</v>
      </c>
      <c r="AP46" t="s">
        <v>483</v>
      </c>
      <c r="AQ46">
        <v>457342.98759000003</v>
      </c>
      <c r="AR46">
        <v>158081.96416</v>
      </c>
      <c r="AS46">
        <v>299261.02343000006</v>
      </c>
      <c r="AT46">
        <v>1055.9000000000001</v>
      </c>
      <c r="AU46">
        <v>0</v>
      </c>
      <c r="AV46">
        <v>10310.030000000001</v>
      </c>
      <c r="AW46">
        <v>10393.106718640096</v>
      </c>
      <c r="AX46">
        <v>972.82328135990429</v>
      </c>
      <c r="AY46" t="s">
        <v>484</v>
      </c>
    </row>
    <row r="47" spans="1:51" x14ac:dyDescent="0.35">
      <c r="A47" t="s">
        <v>327</v>
      </c>
      <c r="B47" s="9" t="s">
        <v>614</v>
      </c>
      <c r="C47" t="s">
        <v>232</v>
      </c>
      <c r="D47">
        <v>5652</v>
      </c>
      <c r="E47">
        <v>1458.2</v>
      </c>
      <c r="G47">
        <v>100001.2</v>
      </c>
      <c r="H47">
        <v>0</v>
      </c>
      <c r="I47">
        <v>117096.15896834701</v>
      </c>
      <c r="J47">
        <v>0</v>
      </c>
      <c r="K47">
        <v>9.2137597955794757</v>
      </c>
      <c r="L47">
        <v>1.7216333367493055</v>
      </c>
      <c r="M47">
        <v>7.4921264588301701</v>
      </c>
      <c r="N47">
        <v>2028</v>
      </c>
      <c r="P47">
        <v>375900</v>
      </c>
      <c r="S47">
        <v>86.162286521585287</v>
      </c>
      <c r="T47">
        <v>25.793550782024063</v>
      </c>
      <c r="V47">
        <v>154.15410757254071</v>
      </c>
      <c r="W47">
        <v>0</v>
      </c>
      <c r="X47">
        <v>0</v>
      </c>
      <c r="Z47" t="s">
        <v>228</v>
      </c>
      <c r="AA47" t="s">
        <v>228</v>
      </c>
      <c r="AB47" t="s">
        <v>228</v>
      </c>
      <c r="AF47">
        <v>0</v>
      </c>
      <c r="AG47" t="s">
        <v>490</v>
      </c>
      <c r="AH47">
        <v>0</v>
      </c>
      <c r="AI47" t="s">
        <v>181</v>
      </c>
      <c r="AJ47">
        <v>358000</v>
      </c>
      <c r="AQ47">
        <v>486989.24342000001</v>
      </c>
      <c r="AR47">
        <v>871279.01600000006</v>
      </c>
      <c r="AS47">
        <v>-384289.77258000005</v>
      </c>
      <c r="AT47">
        <v>1458.2</v>
      </c>
      <c r="AU47">
        <v>0</v>
      </c>
      <c r="AV47">
        <v>10000.120000000001</v>
      </c>
      <c r="AW47">
        <v>11709.615896834701</v>
      </c>
      <c r="AX47">
        <v>-251.29589683469931</v>
      </c>
      <c r="AY47">
        <v>0</v>
      </c>
    </row>
    <row r="48" spans="1:51" hidden="1" x14ac:dyDescent="0.35">
      <c r="A48" t="s">
        <v>326</v>
      </c>
      <c r="C48" t="s">
        <v>223</v>
      </c>
      <c r="D48">
        <v>5749</v>
      </c>
      <c r="E48">
        <v>11924</v>
      </c>
      <c r="F48">
        <v>0</v>
      </c>
      <c r="G48">
        <v>67397.42086752638</v>
      </c>
      <c r="H48">
        <v>0</v>
      </c>
      <c r="I48">
        <v>207186.40093786636</v>
      </c>
      <c r="J48">
        <v>0</v>
      </c>
      <c r="K48">
        <v>64.31085817720421</v>
      </c>
      <c r="L48">
        <v>3.04620593808</v>
      </c>
      <c r="M48">
        <v>61.26465223912421</v>
      </c>
      <c r="N48">
        <v>2028</v>
      </c>
      <c r="O48" t="s">
        <v>224</v>
      </c>
      <c r="P48">
        <v>857159.6</v>
      </c>
      <c r="Q48">
        <v>0</v>
      </c>
      <c r="S48">
        <v>247.36041335884502</v>
      </c>
      <c r="T48">
        <v>207.36041335884502</v>
      </c>
      <c r="U48">
        <v>0</v>
      </c>
      <c r="V48">
        <v>98.958125587058618</v>
      </c>
      <c r="W48">
        <v>0</v>
      </c>
      <c r="X48">
        <v>0</v>
      </c>
      <c r="Z48" t="s">
        <v>225</v>
      </c>
      <c r="AA48">
        <v>13</v>
      </c>
      <c r="AB48">
        <v>45.41</v>
      </c>
      <c r="AF48">
        <v>0</v>
      </c>
      <c r="AG48">
        <v>0</v>
      </c>
      <c r="AI48" t="s">
        <v>174</v>
      </c>
      <c r="AJ48">
        <v>448422</v>
      </c>
      <c r="AM48">
        <v>50000</v>
      </c>
      <c r="AP48" t="s">
        <v>233</v>
      </c>
      <c r="AQ48">
        <v>1422075.0164000001</v>
      </c>
      <c r="AR48">
        <v>568910.26399999997</v>
      </c>
      <c r="AS48">
        <v>853164.75240000011</v>
      </c>
      <c r="AT48">
        <v>11924</v>
      </c>
      <c r="AU48">
        <v>0</v>
      </c>
      <c r="AV48">
        <v>6739.742086752638</v>
      </c>
      <c r="AW48">
        <v>20718.640093786638</v>
      </c>
      <c r="AX48">
        <v>-2054.8980070340003</v>
      </c>
      <c r="AY48" t="e">
        <v>#VALUE!</v>
      </c>
    </row>
    <row r="49" spans="1:51" hidden="1" x14ac:dyDescent="0.35">
      <c r="A49" t="s">
        <v>323</v>
      </c>
      <c r="C49" t="s">
        <v>172</v>
      </c>
      <c r="D49">
        <v>5861</v>
      </c>
      <c r="E49">
        <v>3486</v>
      </c>
      <c r="G49">
        <v>57353</v>
      </c>
      <c r="H49">
        <v>0</v>
      </c>
      <c r="I49">
        <v>88398.473739742098</v>
      </c>
      <c r="J49">
        <v>0.1</v>
      </c>
      <c r="K49">
        <v>19.354926634216906</v>
      </c>
      <c r="L49">
        <v>1.2996989879850576</v>
      </c>
      <c r="M49">
        <v>18.055227646231849</v>
      </c>
      <c r="N49">
        <v>2033</v>
      </c>
      <c r="O49">
        <v>2022</v>
      </c>
      <c r="P49">
        <v>800000</v>
      </c>
      <c r="Q49">
        <v>0</v>
      </c>
      <c r="S49">
        <v>92.851922982426217</v>
      </c>
      <c r="T49">
        <v>59.463689575157829</v>
      </c>
      <c r="V49">
        <v>88.618186526617521</v>
      </c>
      <c r="W49">
        <v>2034</v>
      </c>
      <c r="X49">
        <v>172.8</v>
      </c>
      <c r="Z49">
        <v>76.800000000000011</v>
      </c>
      <c r="AA49">
        <v>16</v>
      </c>
      <c r="AB49">
        <v>40</v>
      </c>
      <c r="AF49">
        <v>28000</v>
      </c>
      <c r="AG49" t="s">
        <v>491</v>
      </c>
      <c r="AH49">
        <v>50000</v>
      </c>
      <c r="AI49" t="s">
        <v>174</v>
      </c>
      <c r="AJ49">
        <v>196929.6</v>
      </c>
      <c r="AM49">
        <v>1100000</v>
      </c>
      <c r="AO49" t="s">
        <v>184</v>
      </c>
      <c r="AP49" t="s">
        <v>492</v>
      </c>
      <c r="AQ49">
        <v>544205.12060000002</v>
      </c>
      <c r="AR49">
        <v>519391.19123250531</v>
      </c>
      <c r="AS49">
        <v>24813.929367494711</v>
      </c>
      <c r="AT49">
        <v>3486</v>
      </c>
      <c r="AU49">
        <v>0</v>
      </c>
      <c r="AV49">
        <v>5735.3</v>
      </c>
      <c r="AW49">
        <v>8839.8473739742094</v>
      </c>
      <c r="AX49">
        <v>381.45262602578987</v>
      </c>
      <c r="AY49" t="s">
        <v>484</v>
      </c>
    </row>
    <row r="50" spans="1:51" hidden="1" x14ac:dyDescent="0.35">
      <c r="A50" t="s">
        <v>322</v>
      </c>
      <c r="C50" t="s">
        <v>172</v>
      </c>
      <c r="D50">
        <v>6146</v>
      </c>
      <c r="E50">
        <v>2742.7</v>
      </c>
      <c r="G50">
        <v>97031.1</v>
      </c>
      <c r="H50">
        <v>0</v>
      </c>
      <c r="I50">
        <v>116266.20805392732</v>
      </c>
      <c r="J50">
        <v>0.1</v>
      </c>
      <c r="K50">
        <v>15.991162388284796</v>
      </c>
      <c r="L50">
        <v>1.7094307916383531</v>
      </c>
      <c r="M50">
        <v>14.281731596646443</v>
      </c>
      <c r="N50">
        <v>2033</v>
      </c>
      <c r="O50" t="s">
        <v>269</v>
      </c>
      <c r="P50">
        <v>750000</v>
      </c>
      <c r="Q50">
        <v>0</v>
      </c>
      <c r="S50">
        <v>98.482681853237878</v>
      </c>
      <c r="T50">
        <v>44.61510730068337</v>
      </c>
      <c r="V50">
        <v>14.970188412443134</v>
      </c>
      <c r="W50">
        <v>2034</v>
      </c>
      <c r="X50">
        <v>172.8</v>
      </c>
      <c r="Z50">
        <v>115.28530175178446</v>
      </c>
      <c r="AA50">
        <v>33</v>
      </c>
      <c r="AB50">
        <v>25</v>
      </c>
      <c r="AF50">
        <v>28000</v>
      </c>
      <c r="AG50" t="s">
        <v>493</v>
      </c>
      <c r="AH50">
        <v>50000</v>
      </c>
      <c r="AI50" t="s">
        <v>181</v>
      </c>
      <c r="AJ50">
        <v>147504</v>
      </c>
      <c r="AM50">
        <v>1100000</v>
      </c>
      <c r="AO50" t="s">
        <v>204</v>
      </c>
      <c r="AP50" t="s">
        <v>483</v>
      </c>
      <c r="AQ50">
        <v>605274.56267000001</v>
      </c>
      <c r="AR50">
        <v>92006.777982875501</v>
      </c>
      <c r="AS50">
        <v>513267.78468712454</v>
      </c>
      <c r="AT50">
        <v>2742.7</v>
      </c>
      <c r="AU50">
        <v>0</v>
      </c>
      <c r="AV50">
        <v>9703.11</v>
      </c>
      <c r="AW50">
        <v>11626.620805392733</v>
      </c>
      <c r="AX50">
        <v>819.18919460726829</v>
      </c>
      <c r="AY50" t="s">
        <v>484</v>
      </c>
    </row>
    <row r="51" spans="1:51" hidden="1" x14ac:dyDescent="0.35">
      <c r="A51" t="s">
        <v>321</v>
      </c>
      <c r="C51" t="s">
        <v>172</v>
      </c>
      <c r="D51">
        <v>6191</v>
      </c>
      <c r="E51">
        <v>2328.6999999999998</v>
      </c>
      <c r="G51">
        <v>72004.3</v>
      </c>
      <c r="H51">
        <v>0</v>
      </c>
      <c r="I51">
        <v>89373.975509964832</v>
      </c>
      <c r="J51">
        <v>0.1</v>
      </c>
      <c r="K51">
        <v>13.424738835256951</v>
      </c>
      <c r="L51">
        <v>1.3140415281885105</v>
      </c>
      <c r="M51">
        <v>12.11069730706844</v>
      </c>
      <c r="N51">
        <v>2030</v>
      </c>
      <c r="O51">
        <v>2033</v>
      </c>
      <c r="P51">
        <v>500000</v>
      </c>
      <c r="Q51">
        <v>0</v>
      </c>
      <c r="S51">
        <v>77.288485813277333</v>
      </c>
      <c r="T51">
        <v>37.605288979163298</v>
      </c>
      <c r="V51">
        <v>22.61501571400197</v>
      </c>
      <c r="W51">
        <v>2034</v>
      </c>
      <c r="X51">
        <v>172.8</v>
      </c>
      <c r="Z51">
        <v>76.800000000000011</v>
      </c>
      <c r="AA51">
        <v>25</v>
      </c>
      <c r="AB51">
        <v>10</v>
      </c>
      <c r="AF51">
        <v>28000</v>
      </c>
      <c r="AG51" t="s">
        <v>494</v>
      </c>
      <c r="AH51">
        <v>50000</v>
      </c>
      <c r="AI51" t="s">
        <v>181</v>
      </c>
      <c r="AJ51">
        <v>208017.6</v>
      </c>
      <c r="AM51">
        <v>1100000</v>
      </c>
      <c r="AO51" t="s">
        <v>184</v>
      </c>
      <c r="AP51" t="s">
        <v>492</v>
      </c>
      <c r="AQ51">
        <v>478493.01566999999</v>
      </c>
      <c r="AR51">
        <v>140009.5622853862</v>
      </c>
      <c r="AS51">
        <v>338483.45338461379</v>
      </c>
      <c r="AT51">
        <v>2328.6999999999998</v>
      </c>
      <c r="AU51">
        <v>0</v>
      </c>
      <c r="AV51">
        <v>7200.43</v>
      </c>
      <c r="AW51">
        <v>8937.3975509964839</v>
      </c>
      <c r="AX51">
        <v>591.7324490035171</v>
      </c>
      <c r="AY51" t="s">
        <v>484</v>
      </c>
    </row>
    <row r="52" spans="1:51" hidden="1" x14ac:dyDescent="0.35">
      <c r="A52" t="s">
        <v>319</v>
      </c>
      <c r="C52" t="s">
        <v>223</v>
      </c>
      <c r="D52">
        <v>6238</v>
      </c>
      <c r="E52">
        <v>1326.4</v>
      </c>
      <c r="F52">
        <v>0</v>
      </c>
      <c r="G52">
        <v>100498.4</v>
      </c>
      <c r="H52">
        <v>0</v>
      </c>
      <c r="I52">
        <v>116048.22415005861</v>
      </c>
      <c r="J52">
        <v>0</v>
      </c>
      <c r="K52">
        <v>8.5211733949758219</v>
      </c>
      <c r="L52">
        <v>1.7062258329182589</v>
      </c>
      <c r="M52">
        <v>6.8149475620575632</v>
      </c>
      <c r="N52" t="s">
        <v>320</v>
      </c>
      <c r="O52" t="s">
        <v>224</v>
      </c>
      <c r="P52">
        <v>32500</v>
      </c>
      <c r="Q52">
        <v>0</v>
      </c>
      <c r="S52">
        <v>76.227771696056422</v>
      </c>
      <c r="T52">
        <v>21.25814348188522</v>
      </c>
      <c r="V52">
        <v>0</v>
      </c>
      <c r="W52">
        <v>2024</v>
      </c>
      <c r="X52">
        <v>616.31999999999994</v>
      </c>
      <c r="Z52">
        <v>48</v>
      </c>
      <c r="AA52" t="s">
        <v>233</v>
      </c>
      <c r="AB52" t="e">
        <v>#N/A</v>
      </c>
      <c r="AF52">
        <v>0</v>
      </c>
      <c r="AG52">
        <v>0</v>
      </c>
      <c r="AH52">
        <v>25000</v>
      </c>
      <c r="AI52" t="s">
        <v>181</v>
      </c>
      <c r="AP52">
        <v>0</v>
      </c>
      <c r="AQ52">
        <v>475508.83983999997</v>
      </c>
      <c r="AR52">
        <v>0</v>
      </c>
      <c r="AS52">
        <v>475508.83983999997</v>
      </c>
      <c r="AT52">
        <v>1326.4</v>
      </c>
      <c r="AU52">
        <v>0</v>
      </c>
      <c r="AV52">
        <v>10049.84</v>
      </c>
      <c r="AW52">
        <v>11604.822415005861</v>
      </c>
      <c r="AX52">
        <v>-228.58241500586155</v>
      </c>
    </row>
    <row r="53" spans="1:51" hidden="1" x14ac:dyDescent="0.35">
      <c r="A53" t="s">
        <v>313</v>
      </c>
      <c r="C53" t="s">
        <v>223</v>
      </c>
      <c r="D53">
        <v>6250</v>
      </c>
      <c r="E53">
        <v>2500.597642836638</v>
      </c>
      <c r="F53">
        <v>0</v>
      </c>
      <c r="G53">
        <v>73270.80890973036</v>
      </c>
      <c r="H53">
        <v>0</v>
      </c>
      <c r="I53">
        <v>102586.13883747524</v>
      </c>
      <c r="J53">
        <v>0</v>
      </c>
      <c r="K53">
        <v>14.3561868</v>
      </c>
      <c r="L53">
        <v>1.5082964126836313</v>
      </c>
      <c r="M53">
        <v>12.847890387316369</v>
      </c>
      <c r="N53">
        <v>2030</v>
      </c>
      <c r="O53" t="s">
        <v>224</v>
      </c>
      <c r="P53">
        <v>618750</v>
      </c>
      <c r="Q53">
        <v>0</v>
      </c>
      <c r="S53">
        <v>80</v>
      </c>
      <c r="T53">
        <v>40</v>
      </c>
      <c r="U53">
        <v>0</v>
      </c>
      <c r="V53">
        <v>0</v>
      </c>
      <c r="W53" t="e">
        <v>#N/A</v>
      </c>
      <c r="X53">
        <v>0</v>
      </c>
      <c r="Z53">
        <v>180.13328398716322</v>
      </c>
      <c r="AA53">
        <v>50</v>
      </c>
      <c r="AB53" t="e">
        <v>#N/A</v>
      </c>
      <c r="AF53">
        <v>0</v>
      </c>
      <c r="AG53">
        <v>0</v>
      </c>
      <c r="AH53">
        <v>0</v>
      </c>
      <c r="AI53" t="s">
        <v>233</v>
      </c>
      <c r="AJ53">
        <v>343750</v>
      </c>
      <c r="AL53">
        <v>0</v>
      </c>
      <c r="AM53">
        <v>0</v>
      </c>
      <c r="AP53" t="e">
        <v>#N/A</v>
      </c>
      <c r="AQ53">
        <v>500000</v>
      </c>
      <c r="AR53">
        <v>0</v>
      </c>
      <c r="AS53">
        <v>500000</v>
      </c>
      <c r="AT53">
        <v>2500.597642836638</v>
      </c>
      <c r="AU53">
        <v>0</v>
      </c>
      <c r="AV53">
        <v>7327.0808909730367</v>
      </c>
      <c r="AW53">
        <v>10258.613883747525</v>
      </c>
      <c r="AX53">
        <v>-430.93534993785033</v>
      </c>
      <c r="AY53" t="e">
        <v>#N/A</v>
      </c>
    </row>
    <row r="54" spans="1:51" hidden="1" x14ac:dyDescent="0.35">
      <c r="A54" t="s">
        <v>311</v>
      </c>
      <c r="C54" t="s">
        <v>172</v>
      </c>
      <c r="D54">
        <v>6263</v>
      </c>
      <c r="E54">
        <v>20.2</v>
      </c>
      <c r="G54">
        <v>107112.7</v>
      </c>
      <c r="H54">
        <v>0</v>
      </c>
      <c r="I54">
        <v>107349.51125439625</v>
      </c>
      <c r="J54">
        <v>0</v>
      </c>
      <c r="K54">
        <v>1.682117139913049</v>
      </c>
      <c r="L54">
        <v>1.5783309964016174</v>
      </c>
      <c r="M54">
        <v>0.10378614351143156</v>
      </c>
      <c r="N54">
        <v>2035</v>
      </c>
      <c r="O54" t="s">
        <v>268</v>
      </c>
      <c r="P54">
        <v>50000</v>
      </c>
      <c r="Q54">
        <v>0</v>
      </c>
      <c r="S54">
        <v>58.676041772313582</v>
      </c>
      <c r="T54">
        <v>0.32245205492575441</v>
      </c>
      <c r="V54">
        <v>45.316240114960884</v>
      </c>
      <c r="W54">
        <v>2028</v>
      </c>
      <c r="X54">
        <v>8.64</v>
      </c>
      <c r="Y54" t="s">
        <v>180</v>
      </c>
      <c r="Z54">
        <v>172.92795262767672</v>
      </c>
      <c r="AA54">
        <v>57</v>
      </c>
      <c r="AB54">
        <v>0</v>
      </c>
      <c r="AF54">
        <v>0</v>
      </c>
      <c r="AG54" t="s">
        <v>488</v>
      </c>
      <c r="AH54">
        <v>0</v>
      </c>
      <c r="AI54" t="s">
        <v>312</v>
      </c>
      <c r="AJ54">
        <v>0</v>
      </c>
      <c r="AM54">
        <v>50000</v>
      </c>
      <c r="AN54" t="s">
        <v>187</v>
      </c>
      <c r="AP54">
        <v>0</v>
      </c>
      <c r="AQ54">
        <v>367488.04961999995</v>
      </c>
      <c r="AR54">
        <v>283815.61184000003</v>
      </c>
      <c r="AS54">
        <v>83672.43777999992</v>
      </c>
      <c r="AT54">
        <v>20.2</v>
      </c>
      <c r="AU54">
        <v>0</v>
      </c>
      <c r="AV54">
        <v>10711.27</v>
      </c>
      <c r="AW54">
        <v>10734.951125439626</v>
      </c>
      <c r="AX54">
        <v>-3.4811254396245204</v>
      </c>
      <c r="AY54" t="s">
        <v>469</v>
      </c>
    </row>
    <row r="55" spans="1:51" x14ac:dyDescent="0.35">
      <c r="A55" t="s">
        <v>310</v>
      </c>
      <c r="B55" s="9" t="s">
        <v>614</v>
      </c>
      <c r="C55" t="s">
        <v>223</v>
      </c>
      <c r="D55">
        <v>6279</v>
      </c>
      <c r="E55">
        <v>2512.2004158994</v>
      </c>
      <c r="F55">
        <v>0</v>
      </c>
      <c r="G55">
        <v>73610.785463071516</v>
      </c>
      <c r="H55">
        <v>0</v>
      </c>
      <c r="I55">
        <v>103062.13852168113</v>
      </c>
      <c r="J55">
        <v>0</v>
      </c>
      <c r="K55">
        <v>14.422799506752</v>
      </c>
      <c r="L55">
        <v>1.5152949080384837</v>
      </c>
      <c r="M55">
        <v>12.907504598713516</v>
      </c>
      <c r="N55">
        <v>2025</v>
      </c>
      <c r="O55" t="s">
        <v>224</v>
      </c>
      <c r="P55">
        <v>831143</v>
      </c>
      <c r="Q55">
        <v>2025</v>
      </c>
      <c r="S55">
        <v>80</v>
      </c>
      <c r="T55">
        <v>40</v>
      </c>
      <c r="U55">
        <v>0</v>
      </c>
      <c r="V55">
        <v>84.218015875139344</v>
      </c>
      <c r="W55" t="e">
        <v>#N/A</v>
      </c>
      <c r="X55" t="e">
        <v>#N/A</v>
      </c>
      <c r="Z55" t="s">
        <v>225</v>
      </c>
      <c r="AA55">
        <v>50</v>
      </c>
      <c r="AB55">
        <v>45.41</v>
      </c>
      <c r="AF55">
        <v>14000</v>
      </c>
      <c r="AG55">
        <v>0</v>
      </c>
      <c r="AH55">
        <v>25000</v>
      </c>
      <c r="AI55" t="s">
        <v>233</v>
      </c>
      <c r="AJ55">
        <v>408135</v>
      </c>
      <c r="AM55">
        <v>50000</v>
      </c>
      <c r="AP55" t="e">
        <v>#N/A</v>
      </c>
      <c r="AQ55">
        <v>502320</v>
      </c>
      <c r="AR55">
        <v>528804.92167999991</v>
      </c>
      <c r="AS55">
        <v>-26484.921679999912</v>
      </c>
      <c r="AT55">
        <v>2512.2004158994</v>
      </c>
      <c r="AU55">
        <v>0</v>
      </c>
      <c r="AV55">
        <v>7361.0785463071516</v>
      </c>
      <c r="AW55">
        <v>10306.213852168114</v>
      </c>
      <c r="AX55">
        <v>-432.93488996156157</v>
      </c>
      <c r="AY55" t="e">
        <v>#VALUE!</v>
      </c>
    </row>
    <row r="56" spans="1:51" hidden="1" x14ac:dyDescent="0.35">
      <c r="A56" t="s">
        <v>308</v>
      </c>
      <c r="C56" t="s">
        <v>172</v>
      </c>
      <c r="D56">
        <v>6329</v>
      </c>
      <c r="E56">
        <v>2963.6</v>
      </c>
      <c r="G56">
        <v>75711.600000000006</v>
      </c>
      <c r="H56">
        <v>0</v>
      </c>
      <c r="I56">
        <v>99409.37317702228</v>
      </c>
      <c r="J56">
        <v>0.1</v>
      </c>
      <c r="K56">
        <v>16.850751204878339</v>
      </c>
      <c r="L56">
        <v>1.4615892814483986</v>
      </c>
      <c r="M56">
        <v>15.38916192342994</v>
      </c>
      <c r="N56">
        <v>2028</v>
      </c>
      <c r="O56" t="s">
        <v>269</v>
      </c>
      <c r="P56">
        <v>750000</v>
      </c>
      <c r="Q56">
        <v>0</v>
      </c>
      <c r="S56">
        <v>87.631086926844688</v>
      </c>
      <c r="T56">
        <v>46.814531515247268</v>
      </c>
      <c r="V56">
        <v>31.413043450782116</v>
      </c>
      <c r="W56">
        <v>2034</v>
      </c>
      <c r="X56">
        <v>172.8</v>
      </c>
      <c r="Z56">
        <v>76.800000000000011</v>
      </c>
      <c r="AA56">
        <v>35</v>
      </c>
      <c r="AB56">
        <v>40</v>
      </c>
      <c r="AF56">
        <v>28000</v>
      </c>
      <c r="AG56" t="s">
        <v>495</v>
      </c>
      <c r="AH56">
        <v>50000</v>
      </c>
      <c r="AI56" t="s">
        <v>181</v>
      </c>
      <c r="AJ56">
        <v>212654.40000000002</v>
      </c>
      <c r="AM56">
        <v>1100000</v>
      </c>
      <c r="AO56" t="s">
        <v>184</v>
      </c>
      <c r="AP56" t="s">
        <v>492</v>
      </c>
      <c r="AQ56">
        <v>554617.14916000003</v>
      </c>
      <c r="AR56">
        <v>198813.152</v>
      </c>
      <c r="AS56">
        <v>355803.99716000003</v>
      </c>
      <c r="AT56">
        <v>2963.6</v>
      </c>
      <c r="AU56">
        <v>0</v>
      </c>
      <c r="AV56">
        <v>7571.1600000000008</v>
      </c>
      <c r="AW56">
        <v>9940.937317702228</v>
      </c>
      <c r="AX56">
        <v>593.82268229777219</v>
      </c>
      <c r="AY56" t="s">
        <v>484</v>
      </c>
    </row>
    <row r="57" spans="1:51" hidden="1" x14ac:dyDescent="0.35">
      <c r="A57" t="s">
        <v>304</v>
      </c>
      <c r="C57" t="s">
        <v>172</v>
      </c>
      <c r="D57">
        <v>6506</v>
      </c>
      <c r="E57">
        <v>3873.6</v>
      </c>
      <c r="G57">
        <v>64495.5</v>
      </c>
      <c r="H57">
        <v>0</v>
      </c>
      <c r="I57">
        <v>87925.591090269649</v>
      </c>
      <c r="J57">
        <v>0.2</v>
      </c>
      <c r="K57">
        <v>21.518210402233247</v>
      </c>
      <c r="L57">
        <v>1.2927463215536832</v>
      </c>
      <c r="M57">
        <v>20.225464080679565</v>
      </c>
      <c r="N57">
        <v>2029</v>
      </c>
      <c r="O57" t="s">
        <v>269</v>
      </c>
      <c r="P57">
        <v>1500000</v>
      </c>
      <c r="Q57">
        <v>0</v>
      </c>
      <c r="S57">
        <v>93.34861158315401</v>
      </c>
      <c r="T57">
        <v>59.524657387027361</v>
      </c>
      <c r="V57">
        <v>29.04348374736508</v>
      </c>
      <c r="W57">
        <v>2034</v>
      </c>
      <c r="X57">
        <v>172.8</v>
      </c>
      <c r="Z57">
        <v>115.2</v>
      </c>
      <c r="AA57">
        <v>19</v>
      </c>
      <c r="AB57">
        <v>40</v>
      </c>
      <c r="AF57">
        <v>28000</v>
      </c>
      <c r="AG57" t="s">
        <v>496</v>
      </c>
      <c r="AH57">
        <v>60000</v>
      </c>
      <c r="AI57" t="s">
        <v>177</v>
      </c>
      <c r="AJ57">
        <v>218601.60000000001</v>
      </c>
      <c r="AM57">
        <v>1100000</v>
      </c>
      <c r="AO57" t="s">
        <v>184</v>
      </c>
      <c r="AP57" t="s">
        <v>177</v>
      </c>
      <c r="AQ57">
        <v>607326.06695999997</v>
      </c>
      <c r="AR57">
        <v>188956.90526035722</v>
      </c>
      <c r="AS57">
        <v>418369.16169964278</v>
      </c>
      <c r="AT57">
        <v>3873.6</v>
      </c>
      <c r="AU57">
        <v>0</v>
      </c>
      <c r="AV57">
        <v>6449.55</v>
      </c>
      <c r="AW57">
        <v>8792.5591090269645</v>
      </c>
      <c r="AX57">
        <v>1530.5908909730351</v>
      </c>
      <c r="AY57" t="s">
        <v>484</v>
      </c>
    </row>
    <row r="58" spans="1:51" hidden="1" x14ac:dyDescent="0.35">
      <c r="A58" t="s">
        <v>303</v>
      </c>
      <c r="C58" t="s">
        <v>223</v>
      </c>
      <c r="D58">
        <v>6548</v>
      </c>
      <c r="E58">
        <v>2619.8261384470889</v>
      </c>
      <c r="F58">
        <v>0</v>
      </c>
      <c r="G58">
        <v>76764.36107854631</v>
      </c>
      <c r="H58">
        <v>0</v>
      </c>
      <c r="I58">
        <v>107477.44593724606</v>
      </c>
      <c r="J58">
        <v>0</v>
      </c>
      <c r="K58">
        <v>15.040689786624</v>
      </c>
      <c r="L58">
        <v>1.5802119856403869</v>
      </c>
      <c r="M58">
        <v>13.460477800983613</v>
      </c>
      <c r="N58">
        <v>2032</v>
      </c>
      <c r="P58">
        <v>360000</v>
      </c>
      <c r="S58">
        <v>80</v>
      </c>
      <c r="T58">
        <v>40</v>
      </c>
      <c r="U58">
        <v>0</v>
      </c>
      <c r="V58">
        <v>155.78017463347589</v>
      </c>
      <c r="X58" t="e">
        <v>#N/A</v>
      </c>
      <c r="Z58" t="s">
        <v>225</v>
      </c>
      <c r="AA58">
        <v>50</v>
      </c>
      <c r="AB58">
        <v>45.41</v>
      </c>
      <c r="AI58" t="s">
        <v>174</v>
      </c>
      <c r="AJ58">
        <v>200000</v>
      </c>
      <c r="AP58" t="e">
        <v>#N/A</v>
      </c>
      <c r="AQ58">
        <v>523840</v>
      </c>
      <c r="AR58">
        <v>1020048.5835000002</v>
      </c>
      <c r="AS58">
        <v>-496208.58350000018</v>
      </c>
      <c r="AT58">
        <v>2619.8261384470889</v>
      </c>
      <c r="AU58">
        <v>0</v>
      </c>
      <c r="AV58">
        <v>7676.4361078546317</v>
      </c>
      <c r="AW58">
        <v>10747.744593724607</v>
      </c>
      <c r="AX58">
        <v>-451.48234742288514</v>
      </c>
      <c r="AY58" t="e">
        <v>#VALUE!</v>
      </c>
    </row>
    <row r="59" spans="1:51" x14ac:dyDescent="0.35">
      <c r="A59" t="s">
        <v>497</v>
      </c>
      <c r="B59" s="9" t="s">
        <v>614</v>
      </c>
      <c r="C59" t="s">
        <v>227</v>
      </c>
      <c r="D59">
        <v>6580</v>
      </c>
      <c r="E59">
        <v>2322.6570000000002</v>
      </c>
      <c r="G59">
        <v>228128</v>
      </c>
      <c r="I59">
        <v>255357.27315357563</v>
      </c>
      <c r="J59">
        <v>0</v>
      </c>
      <c r="K59">
        <v>15.688093513088074</v>
      </c>
      <c r="L59">
        <v>3.754449318541984</v>
      </c>
      <c r="M59">
        <v>11.93364419454609</v>
      </c>
      <c r="N59">
        <v>2033</v>
      </c>
      <c r="O59" t="s">
        <v>228</v>
      </c>
      <c r="P59">
        <v>55000</v>
      </c>
      <c r="Q59">
        <v>0</v>
      </c>
      <c r="S59">
        <v>153.58403107867781</v>
      </c>
      <c r="T59">
        <v>35.290302203297877</v>
      </c>
      <c r="V59">
        <v>120.37569713069908</v>
      </c>
      <c r="W59">
        <v>2024</v>
      </c>
      <c r="X59">
        <v>34.56</v>
      </c>
      <c r="Z59">
        <v>115.2</v>
      </c>
      <c r="AA59" t="s">
        <v>233</v>
      </c>
      <c r="AB59">
        <v>30</v>
      </c>
      <c r="AF59">
        <v>0</v>
      </c>
      <c r="AG59" t="s">
        <v>220</v>
      </c>
      <c r="AH59">
        <v>0</v>
      </c>
      <c r="AI59" t="s">
        <v>174</v>
      </c>
      <c r="AJ59">
        <v>55000</v>
      </c>
      <c r="AM59">
        <v>0</v>
      </c>
      <c r="AN59" t="s">
        <v>229</v>
      </c>
      <c r="AQ59">
        <v>1010582.9244976999</v>
      </c>
      <c r="AR59">
        <v>792072.08711999992</v>
      </c>
      <c r="AS59">
        <v>218510.83737770002</v>
      </c>
      <c r="AT59">
        <v>2322.6570000000002</v>
      </c>
      <c r="AU59">
        <v>0</v>
      </c>
      <c r="AV59">
        <v>22812.800000000003</v>
      </c>
      <c r="AW59">
        <v>25535.727315357566</v>
      </c>
      <c r="AX59">
        <v>-400.27031535756396</v>
      </c>
      <c r="AY59" t="e">
        <v>#VALUE!</v>
      </c>
    </row>
    <row r="60" spans="1:51" x14ac:dyDescent="0.35">
      <c r="A60" t="s">
        <v>301</v>
      </c>
      <c r="B60" s="9" t="s">
        <v>614</v>
      </c>
      <c r="C60" t="s">
        <v>223</v>
      </c>
      <c r="D60">
        <v>6605</v>
      </c>
      <c r="E60">
        <v>2642.6315889497591</v>
      </c>
      <c r="F60">
        <v>0</v>
      </c>
      <c r="G60">
        <v>77432.59085580305</v>
      </c>
      <c r="H60">
        <v>0</v>
      </c>
      <c r="I60">
        <v>108413.03152344383</v>
      </c>
      <c r="J60">
        <v>0</v>
      </c>
      <c r="K60">
        <v>15.17161821024</v>
      </c>
      <c r="L60">
        <v>1.5939676489240617</v>
      </c>
      <c r="M60">
        <v>13.577650561315938</v>
      </c>
      <c r="N60">
        <v>2032</v>
      </c>
      <c r="O60" t="s">
        <v>224</v>
      </c>
      <c r="P60">
        <v>270000</v>
      </c>
      <c r="Q60">
        <v>0</v>
      </c>
      <c r="S60">
        <v>80</v>
      </c>
      <c r="T60">
        <v>40</v>
      </c>
      <c r="U60">
        <v>0</v>
      </c>
      <c r="V60">
        <v>121.98903743224828</v>
      </c>
      <c r="W60" t="e">
        <v>#N/A</v>
      </c>
      <c r="X60" t="e">
        <v>#N/A</v>
      </c>
      <c r="Z60">
        <v>96</v>
      </c>
      <c r="AA60">
        <v>14</v>
      </c>
      <c r="AB60">
        <v>45.41</v>
      </c>
      <c r="AF60">
        <v>0</v>
      </c>
      <c r="AG60">
        <v>0</v>
      </c>
      <c r="AI60" t="s">
        <v>174</v>
      </c>
      <c r="AJ60">
        <v>150000</v>
      </c>
      <c r="AP60" t="e">
        <v>#N/A</v>
      </c>
      <c r="AQ60">
        <v>528400</v>
      </c>
      <c r="AR60">
        <v>805737.59223999991</v>
      </c>
      <c r="AS60">
        <v>-277337.59223999991</v>
      </c>
      <c r="AT60">
        <v>2642.6315889497591</v>
      </c>
      <c r="AU60">
        <v>0</v>
      </c>
      <c r="AV60">
        <v>7743.2590855803055</v>
      </c>
      <c r="AW60">
        <v>10841.303152344384</v>
      </c>
      <c r="AX60">
        <v>-455.41247781431957</v>
      </c>
      <c r="AY60" t="s">
        <v>469</v>
      </c>
    </row>
    <row r="61" spans="1:51" hidden="1" x14ac:dyDescent="0.35">
      <c r="A61" t="s">
        <v>298</v>
      </c>
      <c r="C61" t="s">
        <v>172</v>
      </c>
      <c r="D61">
        <v>6639</v>
      </c>
      <c r="E61">
        <v>3497.2</v>
      </c>
      <c r="G61">
        <v>49283.8</v>
      </c>
      <c r="H61">
        <v>0</v>
      </c>
      <c r="I61">
        <v>72226.102133645953</v>
      </c>
      <c r="J61">
        <v>0.2</v>
      </c>
      <c r="K61">
        <v>19.295762636515597</v>
      </c>
      <c r="L61">
        <v>1.0619209572054193</v>
      </c>
      <c r="M61">
        <v>18.233841679310178</v>
      </c>
      <c r="N61">
        <v>2032</v>
      </c>
      <c r="O61">
        <v>2028</v>
      </c>
      <c r="P61">
        <v>800000</v>
      </c>
      <c r="Q61">
        <v>0</v>
      </c>
      <c r="S61">
        <v>77.992580587437857</v>
      </c>
      <c r="T61">
        <v>52.664018213586381</v>
      </c>
      <c r="V61">
        <v>305.92674438921523</v>
      </c>
      <c r="W61">
        <v>2034</v>
      </c>
      <c r="X61">
        <v>172.8</v>
      </c>
      <c r="Z61">
        <v>76.800000000000011</v>
      </c>
      <c r="AA61">
        <v>17</v>
      </c>
      <c r="AB61">
        <v>15</v>
      </c>
      <c r="AF61">
        <v>28000</v>
      </c>
      <c r="AG61" t="s">
        <v>498</v>
      </c>
      <c r="AH61">
        <v>50000</v>
      </c>
      <c r="AI61" t="s">
        <v>177</v>
      </c>
      <c r="AJ61">
        <v>223070.40000000002</v>
      </c>
      <c r="AM61">
        <v>1100000</v>
      </c>
      <c r="AO61" t="s">
        <v>184</v>
      </c>
      <c r="AP61" t="s">
        <v>177</v>
      </c>
      <c r="AQ61">
        <v>517792.74251999991</v>
      </c>
      <c r="AR61">
        <v>2031047.656</v>
      </c>
      <c r="AS61">
        <v>-1513254.9134800001</v>
      </c>
      <c r="AT61">
        <v>3497.2</v>
      </c>
      <c r="AU61">
        <v>0</v>
      </c>
      <c r="AV61">
        <v>4928.380000000001</v>
      </c>
      <c r="AW61">
        <v>7222.6102133645954</v>
      </c>
      <c r="AX61">
        <v>1202.9697866354063</v>
      </c>
      <c r="AY61" t="s">
        <v>484</v>
      </c>
    </row>
    <row r="62" spans="1:51" x14ac:dyDescent="0.35">
      <c r="A62" t="s">
        <v>293</v>
      </c>
      <c r="B62" s="9" t="s">
        <v>614</v>
      </c>
      <c r="C62" t="s">
        <v>232</v>
      </c>
      <c r="D62">
        <v>6840</v>
      </c>
      <c r="E62">
        <v>2636</v>
      </c>
      <c r="G62">
        <v>63885.599999999999</v>
      </c>
      <c r="H62">
        <v>0</v>
      </c>
      <c r="I62">
        <v>75830.637092614299</v>
      </c>
      <c r="J62">
        <v>0.2</v>
      </c>
      <c r="K62">
        <v>14.937224767207685</v>
      </c>
      <c r="L62">
        <v>1.1149174654044263</v>
      </c>
      <c r="M62">
        <v>13.822307301803258</v>
      </c>
      <c r="N62">
        <v>2026</v>
      </c>
      <c r="P62">
        <v>1040550</v>
      </c>
      <c r="R62" t="s">
        <v>236</v>
      </c>
      <c r="S62">
        <v>70.396881111111114</v>
      </c>
      <c r="T62">
        <v>38.528801111111108</v>
      </c>
      <c r="V62">
        <v>51.173085630623618</v>
      </c>
      <c r="W62">
        <v>0</v>
      </c>
      <c r="X62">
        <v>0</v>
      </c>
      <c r="Z62" t="s">
        <v>228</v>
      </c>
      <c r="AA62" t="s">
        <v>228</v>
      </c>
      <c r="AB62" t="s">
        <v>228</v>
      </c>
      <c r="AF62">
        <v>0</v>
      </c>
      <c r="AG62" t="s">
        <v>499</v>
      </c>
      <c r="AH62">
        <v>0</v>
      </c>
      <c r="AI62" t="s">
        <v>177</v>
      </c>
      <c r="AJ62">
        <v>991000</v>
      </c>
      <c r="AK62" t="s">
        <v>237</v>
      </c>
      <c r="AQ62">
        <v>481514.66680000001</v>
      </c>
      <c r="AR62">
        <v>350023.90571346553</v>
      </c>
      <c r="AS62">
        <v>131490.76108653448</v>
      </c>
      <c r="AT62">
        <v>2636</v>
      </c>
      <c r="AU62">
        <v>0</v>
      </c>
      <c r="AV62">
        <v>6388.56</v>
      </c>
      <c r="AW62">
        <v>7583.0637092614306</v>
      </c>
      <c r="AX62">
        <v>1441.4962907385707</v>
      </c>
      <c r="AY62">
        <v>0</v>
      </c>
    </row>
    <row r="63" spans="1:51" hidden="1" x14ac:dyDescent="0.35">
      <c r="A63" t="s">
        <v>292</v>
      </c>
      <c r="C63" t="s">
        <v>172</v>
      </c>
      <c r="D63">
        <v>6844</v>
      </c>
      <c r="E63">
        <v>1933.5</v>
      </c>
      <c r="G63">
        <v>291874.3</v>
      </c>
      <c r="H63">
        <v>0</v>
      </c>
      <c r="I63">
        <v>314541.35744431417</v>
      </c>
      <c r="J63">
        <v>0</v>
      </c>
      <c r="K63">
        <v>14.558800582645011</v>
      </c>
      <c r="L63">
        <v>4.624616994558238</v>
      </c>
      <c r="M63">
        <v>9.934183588086773</v>
      </c>
      <c r="N63">
        <v>2026</v>
      </c>
      <c r="O63" t="s">
        <v>268</v>
      </c>
      <c r="P63">
        <v>1100000</v>
      </c>
      <c r="Q63" t="s">
        <v>500</v>
      </c>
      <c r="S63">
        <v>173.75495338252483</v>
      </c>
      <c r="T63">
        <v>28.244270799240212</v>
      </c>
      <c r="V63">
        <v>20.457270935912653</v>
      </c>
      <c r="W63">
        <v>2034</v>
      </c>
      <c r="X63">
        <v>172.8</v>
      </c>
      <c r="Z63" t="s">
        <v>225</v>
      </c>
      <c r="AA63">
        <v>88</v>
      </c>
      <c r="AB63">
        <v>25</v>
      </c>
      <c r="AF63">
        <v>28000</v>
      </c>
      <c r="AG63" t="s">
        <v>501</v>
      </c>
      <c r="AH63">
        <v>0</v>
      </c>
      <c r="AI63" t="s">
        <v>181</v>
      </c>
      <c r="AJ63">
        <v>250000</v>
      </c>
      <c r="AM63">
        <v>1100000</v>
      </c>
      <c r="AO63" t="s">
        <v>241</v>
      </c>
      <c r="AP63" t="s">
        <v>483</v>
      </c>
      <c r="AQ63">
        <v>1189178.9009499999</v>
      </c>
      <c r="AR63">
        <v>140009.5622853862</v>
      </c>
      <c r="AS63">
        <v>1049169.3386646137</v>
      </c>
      <c r="AT63">
        <v>1933.5</v>
      </c>
      <c r="AU63">
        <v>0</v>
      </c>
      <c r="AV63">
        <v>29187.43</v>
      </c>
      <c r="AW63">
        <v>31454.13574443142</v>
      </c>
      <c r="AX63">
        <v>-333.20574443141959</v>
      </c>
      <c r="AY63" t="e">
        <v>#VALUE!</v>
      </c>
    </row>
    <row r="64" spans="1:51" hidden="1" x14ac:dyDescent="0.35">
      <c r="A64" t="s">
        <v>291</v>
      </c>
      <c r="C64" t="s">
        <v>223</v>
      </c>
      <c r="D64">
        <v>6922</v>
      </c>
      <c r="E64">
        <v>2769.4619013944334</v>
      </c>
      <c r="F64">
        <v>0</v>
      </c>
      <c r="G64">
        <v>81148.886283704574</v>
      </c>
      <c r="H64">
        <v>0</v>
      </c>
      <c r="I64">
        <v>113616.20048528058</v>
      </c>
      <c r="J64">
        <v>0</v>
      </c>
      <c r="K64">
        <v>15.899764004735998</v>
      </c>
      <c r="L64">
        <v>1.6704684429753756</v>
      </c>
      <c r="M64">
        <v>14.229295561760622</v>
      </c>
      <c r="N64">
        <v>2033</v>
      </c>
      <c r="P64">
        <v>360000</v>
      </c>
      <c r="S64">
        <v>80</v>
      </c>
      <c r="T64">
        <v>40</v>
      </c>
      <c r="U64">
        <v>0</v>
      </c>
      <c r="V64">
        <v>-140.28389876750123</v>
      </c>
      <c r="X64" t="e">
        <v>#N/A</v>
      </c>
      <c r="Z64" t="s">
        <v>225</v>
      </c>
      <c r="AA64">
        <v>50</v>
      </c>
      <c r="AB64">
        <v>45.41</v>
      </c>
      <c r="AI64" t="s">
        <v>181</v>
      </c>
      <c r="AJ64">
        <v>200000</v>
      </c>
      <c r="AP64" t="e">
        <v>#N/A</v>
      </c>
      <c r="AQ64">
        <v>553760</v>
      </c>
      <c r="AR64">
        <v>-971045.14726864349</v>
      </c>
      <c r="AS64">
        <v>1524805.1472686436</v>
      </c>
      <c r="AT64">
        <v>2769.4619013944334</v>
      </c>
      <c r="AU64">
        <v>0</v>
      </c>
      <c r="AV64">
        <v>8114.8886283704578</v>
      </c>
      <c r="AW64">
        <v>11361.620048528059</v>
      </c>
      <c r="AX64">
        <v>-477.26951876316707</v>
      </c>
      <c r="AY64" t="e">
        <v>#VALUE!</v>
      </c>
    </row>
    <row r="65" spans="1:51" hidden="1" x14ac:dyDescent="0.35">
      <c r="A65" t="s">
        <v>290</v>
      </c>
      <c r="C65" t="s">
        <v>286</v>
      </c>
      <c r="D65">
        <v>6980</v>
      </c>
      <c r="E65">
        <v>1060.4000000000001</v>
      </c>
      <c r="G65">
        <v>66187.7</v>
      </c>
      <c r="H65">
        <v>0</v>
      </c>
      <c r="I65">
        <v>78619.118522860488</v>
      </c>
      <c r="K65">
        <v>6.6041744995777112</v>
      </c>
      <c r="L65">
        <v>1.1559157580172175</v>
      </c>
      <c r="M65">
        <v>5.4482587415604939</v>
      </c>
      <c r="N65">
        <v>2031</v>
      </c>
      <c r="O65" t="s">
        <v>224</v>
      </c>
      <c r="P65">
        <v>349000</v>
      </c>
      <c r="Q65">
        <v>0</v>
      </c>
      <c r="S65">
        <v>47.54256287106017</v>
      </c>
      <c r="T65">
        <v>15.188346194842408</v>
      </c>
      <c r="V65">
        <v>86.993941197707741</v>
      </c>
      <c r="W65">
        <v>0</v>
      </c>
      <c r="X65">
        <v>0</v>
      </c>
      <c r="Z65" t="s">
        <v>225</v>
      </c>
      <c r="AA65">
        <v>50</v>
      </c>
      <c r="AB65">
        <v>45.41</v>
      </c>
      <c r="AF65">
        <v>0</v>
      </c>
      <c r="AG65">
        <v>0</v>
      </c>
      <c r="AQ65">
        <v>331847.08883999998</v>
      </c>
      <c r="AR65">
        <v>607217.70955999999</v>
      </c>
      <c r="AS65">
        <v>-275370.62072000001</v>
      </c>
      <c r="AT65">
        <v>1060.4000000000001</v>
      </c>
      <c r="AU65">
        <v>0</v>
      </c>
      <c r="AV65">
        <v>6618.77</v>
      </c>
      <c r="AW65">
        <v>7861.911852286049</v>
      </c>
      <c r="AX65">
        <v>-182.74185228604892</v>
      </c>
      <c r="AY65" t="e">
        <v>#VALUE!</v>
      </c>
    </row>
    <row r="66" spans="1:51" x14ac:dyDescent="0.35">
      <c r="A66" t="s">
        <v>289</v>
      </c>
      <c r="B66" s="9" t="s">
        <v>614</v>
      </c>
      <c r="C66" t="s">
        <v>232</v>
      </c>
      <c r="D66">
        <v>7000</v>
      </c>
      <c r="E66">
        <v>2363.6999999999998</v>
      </c>
      <c r="G66">
        <v>118663.6</v>
      </c>
      <c r="H66">
        <v>0</v>
      </c>
      <c r="I66">
        <v>117099.22701055101</v>
      </c>
      <c r="J66">
        <v>0.2</v>
      </c>
      <c r="K66">
        <v>14.296618225892463</v>
      </c>
      <c r="L66">
        <v>1.7216784453487977</v>
      </c>
      <c r="M66">
        <v>12.574939780543666</v>
      </c>
      <c r="N66">
        <v>2029</v>
      </c>
      <c r="P66">
        <v>894550</v>
      </c>
      <c r="S66">
        <v>91.599101538571432</v>
      </c>
      <c r="T66">
        <v>33.759072509999996</v>
      </c>
      <c r="V66">
        <v>52.387577933983358</v>
      </c>
      <c r="W66">
        <v>0</v>
      </c>
      <c r="X66">
        <v>0</v>
      </c>
      <c r="Z66" t="s">
        <v>228</v>
      </c>
      <c r="AA66" t="s">
        <v>228</v>
      </c>
      <c r="AB66" t="s">
        <v>228</v>
      </c>
      <c r="AF66">
        <v>0</v>
      </c>
      <c r="AG66" t="s">
        <v>502</v>
      </c>
      <c r="AH66">
        <v>25000</v>
      </c>
      <c r="AI66" t="s">
        <v>177</v>
      </c>
      <c r="AJ66">
        <v>821000</v>
      </c>
      <c r="AQ66">
        <v>641193.71077000001</v>
      </c>
      <c r="AR66">
        <v>366713.04553788353</v>
      </c>
      <c r="AS66">
        <v>274480.66523211647</v>
      </c>
      <c r="AT66">
        <v>2363.6999999999998</v>
      </c>
      <c r="AU66">
        <v>0</v>
      </c>
      <c r="AV66">
        <v>11866.36</v>
      </c>
      <c r="AW66">
        <v>11709.922701055102</v>
      </c>
      <c r="AX66">
        <v>2520.1372989448992</v>
      </c>
      <c r="AY66">
        <v>0</v>
      </c>
    </row>
    <row r="67" spans="1:51" x14ac:dyDescent="0.35">
      <c r="A67" t="s">
        <v>284</v>
      </c>
      <c r="B67" s="9" t="s">
        <v>614</v>
      </c>
      <c r="C67" t="s">
        <v>232</v>
      </c>
      <c r="D67">
        <v>7100</v>
      </c>
      <c r="E67">
        <v>2005.7</v>
      </c>
      <c r="G67">
        <v>112915.9</v>
      </c>
      <c r="H67">
        <v>0</v>
      </c>
      <c r="I67">
        <v>136429.3818288394</v>
      </c>
      <c r="J67">
        <v>0</v>
      </c>
      <c r="K67">
        <v>12.31102649575319</v>
      </c>
      <c r="L67">
        <v>2.0058845135314991</v>
      </c>
      <c r="M67">
        <v>10.305141982221691</v>
      </c>
      <c r="N67">
        <v>2026</v>
      </c>
      <c r="P67">
        <v>380100</v>
      </c>
      <c r="S67">
        <v>82.505790784507042</v>
      </c>
      <c r="T67">
        <v>28.242544192957748</v>
      </c>
      <c r="V67">
        <v>47.772504405633804</v>
      </c>
      <c r="W67">
        <v>0</v>
      </c>
      <c r="X67">
        <v>0</v>
      </c>
      <c r="Z67" t="s">
        <v>228</v>
      </c>
      <c r="AA67" t="s">
        <v>228</v>
      </c>
      <c r="AB67" t="s">
        <v>228</v>
      </c>
      <c r="AF67">
        <v>0</v>
      </c>
      <c r="AG67" t="s">
        <v>503</v>
      </c>
      <c r="AH67">
        <v>0</v>
      </c>
      <c r="AI67" t="s">
        <v>181</v>
      </c>
      <c r="AJ67">
        <v>362000</v>
      </c>
      <c r="AQ67">
        <v>585791.11456999998</v>
      </c>
      <c r="AR67">
        <v>339184.78128</v>
      </c>
      <c r="AS67">
        <v>246606.33328999998</v>
      </c>
      <c r="AT67">
        <v>2005.7</v>
      </c>
      <c r="AU67">
        <v>0</v>
      </c>
      <c r="AV67">
        <v>11291.59</v>
      </c>
      <c r="AW67">
        <v>13642.93818288394</v>
      </c>
      <c r="AX67">
        <v>-345.64818288393872</v>
      </c>
      <c r="AY67">
        <v>0</v>
      </c>
    </row>
    <row r="68" spans="1:51" x14ac:dyDescent="0.35">
      <c r="A68" t="s">
        <v>283</v>
      </c>
      <c r="B68" s="9" t="s">
        <v>614</v>
      </c>
      <c r="C68" t="s">
        <v>172</v>
      </c>
      <c r="D68">
        <v>7236</v>
      </c>
      <c r="E68">
        <v>3032</v>
      </c>
      <c r="G68">
        <v>67220.2</v>
      </c>
      <c r="H68">
        <v>0</v>
      </c>
      <c r="I68">
        <v>102765.33481828839</v>
      </c>
      <c r="J68">
        <v>0</v>
      </c>
      <c r="K68">
        <v>17.089128465509514</v>
      </c>
      <c r="L68">
        <v>1.5109310830015774</v>
      </c>
      <c r="M68">
        <v>15.578197382507938</v>
      </c>
      <c r="N68">
        <v>2035</v>
      </c>
      <c r="O68" t="s">
        <v>233</v>
      </c>
      <c r="P68">
        <v>952919.2</v>
      </c>
      <c r="Q68">
        <v>0</v>
      </c>
      <c r="S68">
        <v>73.588012382531787</v>
      </c>
      <c r="T68">
        <v>41.891588612493088</v>
      </c>
      <c r="V68">
        <v>48.457065008291877</v>
      </c>
      <c r="W68">
        <v>0</v>
      </c>
      <c r="X68">
        <v>0</v>
      </c>
      <c r="Z68" t="s">
        <v>225</v>
      </c>
      <c r="AA68">
        <v>25</v>
      </c>
      <c r="AB68">
        <v>0</v>
      </c>
      <c r="AF68">
        <v>0</v>
      </c>
      <c r="AG68" t="s">
        <v>233</v>
      </c>
      <c r="AH68">
        <v>25000</v>
      </c>
      <c r="AI68" t="s">
        <v>233</v>
      </c>
      <c r="AJ68">
        <v>173664</v>
      </c>
      <c r="AM68">
        <v>607824</v>
      </c>
      <c r="AQ68">
        <v>532482.85759999999</v>
      </c>
      <c r="AR68">
        <v>350635.3224</v>
      </c>
      <c r="AS68">
        <v>181847.53519999998</v>
      </c>
      <c r="AT68">
        <v>3032</v>
      </c>
      <c r="AU68">
        <v>0</v>
      </c>
      <c r="AV68">
        <v>6722.02</v>
      </c>
      <c r="AW68">
        <v>10276.533481828839</v>
      </c>
      <c r="AX68">
        <v>-522.51348182883885</v>
      </c>
      <c r="AY68" t="e">
        <v>#VALUE!</v>
      </c>
    </row>
    <row r="69" spans="1:51" hidden="1" x14ac:dyDescent="0.35">
      <c r="A69" t="s">
        <v>282</v>
      </c>
      <c r="C69" t="s">
        <v>223</v>
      </c>
      <c r="D69">
        <v>7381</v>
      </c>
      <c r="E69">
        <v>10520.5</v>
      </c>
      <c r="F69">
        <v>0</v>
      </c>
      <c r="G69">
        <v>130900.9</v>
      </c>
      <c r="H69">
        <v>0</v>
      </c>
      <c r="I69">
        <v>177965.33105509964</v>
      </c>
      <c r="J69">
        <v>0.3</v>
      </c>
      <c r="K69">
        <v>57.791536729795546</v>
      </c>
      <c r="L69">
        <v>2.6165764054900253</v>
      </c>
      <c r="M69">
        <v>55.174960324305523</v>
      </c>
      <c r="N69">
        <v>2033</v>
      </c>
      <c r="O69" t="s">
        <v>224</v>
      </c>
      <c r="P69">
        <v>3043796.8</v>
      </c>
      <c r="Q69">
        <v>0</v>
      </c>
      <c r="S69">
        <v>203.01211635957185</v>
      </c>
      <c r="T69">
        <v>142.50082103373526</v>
      </c>
      <c r="V69">
        <v>97.166370661246745</v>
      </c>
      <c r="W69">
        <v>2024</v>
      </c>
      <c r="X69">
        <v>34.56</v>
      </c>
      <c r="Z69">
        <v>144.10662718973057</v>
      </c>
      <c r="AA69">
        <v>55</v>
      </c>
      <c r="AB69">
        <v>40</v>
      </c>
      <c r="AF69">
        <v>0</v>
      </c>
      <c r="AG69" t="s">
        <v>471</v>
      </c>
      <c r="AH69">
        <v>0</v>
      </c>
      <c r="AJ69">
        <v>967000</v>
      </c>
      <c r="AK69" t="s">
        <v>197</v>
      </c>
      <c r="AL69">
        <v>814498</v>
      </c>
      <c r="AP69" t="s">
        <v>177</v>
      </c>
      <c r="AQ69">
        <v>1498432.4308499999</v>
      </c>
      <c r="AR69">
        <v>717184.98185066227</v>
      </c>
      <c r="AS69">
        <v>781247.44899933762</v>
      </c>
      <c r="AT69">
        <v>10520.5</v>
      </c>
      <c r="AU69">
        <v>0</v>
      </c>
      <c r="AV69">
        <v>13090.09</v>
      </c>
      <c r="AW69">
        <v>17796.533105509963</v>
      </c>
      <c r="AX69">
        <v>5814.0568944900369</v>
      </c>
      <c r="AY69" t="s">
        <v>469</v>
      </c>
    </row>
    <row r="70" spans="1:51" hidden="1" x14ac:dyDescent="0.35">
      <c r="A70" t="s">
        <v>280</v>
      </c>
      <c r="C70" t="s">
        <v>172</v>
      </c>
      <c r="D70">
        <v>7790</v>
      </c>
      <c r="E70">
        <v>4533</v>
      </c>
      <c r="G70">
        <v>77719.7</v>
      </c>
      <c r="H70">
        <v>0</v>
      </c>
      <c r="I70">
        <v>130861.55228604923</v>
      </c>
      <c r="J70">
        <v>0</v>
      </c>
      <c r="K70">
        <v>25.214249368332858</v>
      </c>
      <c r="L70">
        <v>1.9240222130200335</v>
      </c>
      <c r="M70">
        <v>23.290227155312824</v>
      </c>
      <c r="N70">
        <v>2030</v>
      </c>
      <c r="O70" t="s">
        <v>269</v>
      </c>
      <c r="P70">
        <v>750000</v>
      </c>
      <c r="Q70">
        <v>0</v>
      </c>
      <c r="S70">
        <v>92.21710881899871</v>
      </c>
      <c r="T70">
        <v>58.176079756097565</v>
      </c>
      <c r="V70">
        <v>41.191964349857024</v>
      </c>
      <c r="W70">
        <v>2034</v>
      </c>
      <c r="X70">
        <v>172.8</v>
      </c>
      <c r="Z70">
        <v>57.6</v>
      </c>
      <c r="AA70">
        <v>50</v>
      </c>
      <c r="AB70">
        <v>80</v>
      </c>
      <c r="AF70">
        <v>28000</v>
      </c>
      <c r="AG70" t="s">
        <v>504</v>
      </c>
      <c r="AH70">
        <v>50000</v>
      </c>
      <c r="AI70" t="s">
        <v>174</v>
      </c>
      <c r="AJ70">
        <v>261744</v>
      </c>
      <c r="AM70">
        <v>1100000</v>
      </c>
      <c r="AO70" t="s">
        <v>184</v>
      </c>
      <c r="AP70" t="s">
        <v>174</v>
      </c>
      <c r="AQ70">
        <v>718371.27769999998</v>
      </c>
      <c r="AR70">
        <v>320885.40228538623</v>
      </c>
      <c r="AS70">
        <v>397485.87541461375</v>
      </c>
      <c r="AT70">
        <v>4533</v>
      </c>
      <c r="AU70">
        <v>0</v>
      </c>
      <c r="AV70">
        <v>7771.97</v>
      </c>
      <c r="AW70">
        <v>13086.155228604925</v>
      </c>
      <c r="AX70">
        <v>-781.1852286049234</v>
      </c>
      <c r="AY70" t="s">
        <v>470</v>
      </c>
    </row>
    <row r="71" spans="1:51" x14ac:dyDescent="0.35">
      <c r="A71" t="s">
        <v>279</v>
      </c>
      <c r="B71" s="9" t="s">
        <v>614</v>
      </c>
      <c r="C71" t="s">
        <v>232</v>
      </c>
      <c r="D71">
        <v>7931</v>
      </c>
      <c r="E71">
        <v>3108</v>
      </c>
      <c r="G71">
        <v>49878.1</v>
      </c>
      <c r="H71">
        <v>0</v>
      </c>
      <c r="I71">
        <v>69051.36628370457</v>
      </c>
      <c r="J71">
        <v>0.2</v>
      </c>
      <c r="K71">
        <v>17.237734489810332</v>
      </c>
      <c r="L71">
        <v>1.015243669728298</v>
      </c>
      <c r="M71">
        <v>16.222490820082033</v>
      </c>
      <c r="N71">
        <v>2027</v>
      </c>
      <c r="P71">
        <v>1059450</v>
      </c>
      <c r="R71" t="s">
        <v>236</v>
      </c>
      <c r="S71">
        <v>60.636716177026862</v>
      </c>
      <c r="T71">
        <v>39.178630538393648</v>
      </c>
      <c r="V71">
        <v>31.072432288488208</v>
      </c>
      <c r="W71">
        <v>0</v>
      </c>
      <c r="X71">
        <v>0</v>
      </c>
      <c r="Z71" t="s">
        <v>228</v>
      </c>
      <c r="AA71" t="s">
        <v>228</v>
      </c>
      <c r="AB71" t="s">
        <v>228</v>
      </c>
      <c r="AF71">
        <v>0</v>
      </c>
      <c r="AG71" t="s">
        <v>505</v>
      </c>
      <c r="AH71">
        <v>0</v>
      </c>
      <c r="AI71" t="s">
        <v>177</v>
      </c>
      <c r="AJ71">
        <v>1009000</v>
      </c>
      <c r="AK71" t="s">
        <v>237</v>
      </c>
      <c r="AQ71">
        <v>480909.79600000003</v>
      </c>
      <c r="AR71">
        <v>246435.46047999998</v>
      </c>
      <c r="AS71">
        <v>234474.33552000005</v>
      </c>
      <c r="AT71">
        <v>3108</v>
      </c>
      <c r="AU71">
        <v>0</v>
      </c>
      <c r="AV71">
        <v>4987.8100000000004</v>
      </c>
      <c r="AW71">
        <v>6905.1366283704574</v>
      </c>
      <c r="AX71">
        <v>1190.673371629543</v>
      </c>
      <c r="AY71">
        <v>0</v>
      </c>
    </row>
    <row r="72" spans="1:51" hidden="1" x14ac:dyDescent="0.35">
      <c r="A72" t="s">
        <v>278</v>
      </c>
      <c r="C72" t="s">
        <v>262</v>
      </c>
      <c r="D72">
        <v>7998</v>
      </c>
      <c r="E72">
        <v>2118.5</v>
      </c>
      <c r="G72">
        <v>152254</v>
      </c>
      <c r="H72">
        <v>0</v>
      </c>
      <c r="I72">
        <v>177089.87338804221</v>
      </c>
      <c r="K72">
        <v>13.488405035791144</v>
      </c>
      <c r="L72">
        <v>2.6037047868323517</v>
      </c>
      <c r="M72">
        <v>10.884700248958794</v>
      </c>
      <c r="N72">
        <v>2032</v>
      </c>
      <c r="O72" t="s">
        <v>224</v>
      </c>
      <c r="P72">
        <v>1047927</v>
      </c>
      <c r="Q72">
        <v>0</v>
      </c>
      <c r="S72">
        <v>91.434110508877211</v>
      </c>
      <c r="T72">
        <v>26.481541366591649</v>
      </c>
      <c r="V72">
        <v>37.266679819954994</v>
      </c>
      <c r="W72">
        <v>0</v>
      </c>
      <c r="X72">
        <v>0</v>
      </c>
      <c r="Z72" t="s">
        <v>225</v>
      </c>
      <c r="AA72">
        <v>50</v>
      </c>
      <c r="AB72">
        <v>55.41</v>
      </c>
      <c r="AF72">
        <v>0</v>
      </c>
      <c r="AI72" t="s">
        <v>233</v>
      </c>
      <c r="AJ72">
        <v>515515</v>
      </c>
      <c r="AM72">
        <v>120000</v>
      </c>
      <c r="AQ72">
        <v>731290.01584999997</v>
      </c>
      <c r="AR72">
        <v>298058.90520000004</v>
      </c>
      <c r="AS72">
        <v>433231.11064999993</v>
      </c>
      <c r="AT72">
        <v>2118.5</v>
      </c>
      <c r="AU72">
        <v>0</v>
      </c>
      <c r="AV72">
        <v>15225.400000000001</v>
      </c>
      <c r="AW72">
        <v>17708.987338804222</v>
      </c>
      <c r="AX72">
        <v>-365.08733880422005</v>
      </c>
      <c r="AY72" t="e">
        <v>#VALUE!</v>
      </c>
    </row>
    <row r="73" spans="1:51" x14ac:dyDescent="0.35">
      <c r="A73" t="s">
        <v>276</v>
      </c>
      <c r="B73" s="9" t="s">
        <v>614</v>
      </c>
      <c r="C73" t="s">
        <v>232</v>
      </c>
      <c r="D73">
        <v>8090</v>
      </c>
      <c r="E73">
        <v>3150.4</v>
      </c>
      <c r="G73">
        <v>65033.8</v>
      </c>
      <c r="H73">
        <v>0</v>
      </c>
      <c r="I73">
        <v>81573.58161781948</v>
      </c>
      <c r="J73">
        <v>0.2</v>
      </c>
      <c r="K73">
        <v>17.685721088480804</v>
      </c>
      <c r="L73">
        <v>1.1993544344118197</v>
      </c>
      <c r="M73">
        <v>16.486366654068984</v>
      </c>
      <c r="N73">
        <v>2024</v>
      </c>
      <c r="P73">
        <v>1084650</v>
      </c>
      <c r="S73">
        <v>66.36094326823239</v>
      </c>
      <c r="T73">
        <v>38.932596469715698</v>
      </c>
      <c r="V73">
        <v>43.466998348081091</v>
      </c>
      <c r="W73">
        <v>0</v>
      </c>
      <c r="X73">
        <v>0</v>
      </c>
      <c r="Z73" t="s">
        <v>228</v>
      </c>
      <c r="AA73" t="s">
        <v>228</v>
      </c>
      <c r="AB73" t="s">
        <v>228</v>
      </c>
      <c r="AF73">
        <v>0</v>
      </c>
      <c r="AG73" t="s">
        <v>506</v>
      </c>
      <c r="AH73">
        <v>0</v>
      </c>
      <c r="AI73" t="s">
        <v>177</v>
      </c>
      <c r="AJ73">
        <v>1033000</v>
      </c>
      <c r="AQ73">
        <v>536860.03104000003</v>
      </c>
      <c r="AR73">
        <v>351648.01663597603</v>
      </c>
      <c r="AS73">
        <v>185212.014404024</v>
      </c>
      <c r="AT73">
        <v>3150.4</v>
      </c>
      <c r="AU73">
        <v>0</v>
      </c>
      <c r="AV73">
        <v>6503.380000000001</v>
      </c>
      <c r="AW73">
        <v>8157.3581617819482</v>
      </c>
      <c r="AX73">
        <v>1496.4218382180525</v>
      </c>
      <c r="AY73">
        <v>0</v>
      </c>
    </row>
    <row r="74" spans="1:51" hidden="1" x14ac:dyDescent="0.35">
      <c r="A74" t="s">
        <v>275</v>
      </c>
      <c r="C74" t="s">
        <v>223</v>
      </c>
      <c r="D74">
        <v>8100</v>
      </c>
      <c r="E74">
        <v>3240.7745451162828</v>
      </c>
      <c r="F74">
        <v>0</v>
      </c>
      <c r="G74">
        <v>94958.968347010552</v>
      </c>
      <c r="H74">
        <v>0</v>
      </c>
      <c r="I74">
        <v>132951.63593336791</v>
      </c>
      <c r="J74">
        <v>0</v>
      </c>
      <c r="K74">
        <v>18.6056180928</v>
      </c>
      <c r="L74">
        <v>1.9547521508379861</v>
      </c>
      <c r="M74">
        <v>16.650865941962014</v>
      </c>
      <c r="N74">
        <v>2034</v>
      </c>
      <c r="P74">
        <v>450000</v>
      </c>
      <c r="S74">
        <v>80</v>
      </c>
      <c r="T74">
        <v>40</v>
      </c>
      <c r="U74">
        <v>0</v>
      </c>
      <c r="V74">
        <v>0</v>
      </c>
      <c r="X74">
        <v>0</v>
      </c>
      <c r="Z74" t="s">
        <v>225</v>
      </c>
      <c r="AA74">
        <v>50</v>
      </c>
      <c r="AB74">
        <v>150</v>
      </c>
      <c r="AI74" t="s">
        <v>174</v>
      </c>
      <c r="AJ74">
        <v>250000</v>
      </c>
      <c r="AP74" t="e">
        <v>#N/A</v>
      </c>
      <c r="AQ74">
        <v>648000</v>
      </c>
      <c r="AR74">
        <v>0</v>
      </c>
      <c r="AS74">
        <v>648000</v>
      </c>
      <c r="AT74">
        <v>3240.7745451162828</v>
      </c>
      <c r="AU74">
        <v>0</v>
      </c>
      <c r="AV74">
        <v>9495.8968347010559</v>
      </c>
      <c r="AW74">
        <v>13295.163593336792</v>
      </c>
      <c r="AX74">
        <v>-558.4922135194538</v>
      </c>
    </row>
    <row r="75" spans="1:51" hidden="1" x14ac:dyDescent="0.35">
      <c r="A75" t="s">
        <v>273</v>
      </c>
      <c r="C75" t="s">
        <v>223</v>
      </c>
      <c r="D75">
        <v>8114</v>
      </c>
      <c r="E75">
        <v>3246.3758838362369</v>
      </c>
      <c r="F75">
        <v>0</v>
      </c>
      <c r="G75">
        <v>95123.094958968359</v>
      </c>
      <c r="H75">
        <v>0</v>
      </c>
      <c r="I75">
        <v>119863.28599592746</v>
      </c>
      <c r="J75">
        <v>0.1</v>
      </c>
      <c r="K75">
        <v>18.637775951231998</v>
      </c>
      <c r="L75">
        <v>1.7623176613221576</v>
      </c>
      <c r="M75">
        <v>16.87545828990984</v>
      </c>
      <c r="N75">
        <v>2022</v>
      </c>
      <c r="O75" t="s">
        <v>224</v>
      </c>
      <c r="P75">
        <v>496500</v>
      </c>
      <c r="Q75">
        <v>0</v>
      </c>
      <c r="S75">
        <v>80</v>
      </c>
      <c r="T75">
        <v>40</v>
      </c>
      <c r="U75">
        <v>0</v>
      </c>
      <c r="V75">
        <v>750.36211363076166</v>
      </c>
      <c r="W75">
        <v>2024</v>
      </c>
      <c r="X75">
        <v>112.32000000000001</v>
      </c>
      <c r="Z75">
        <v>96</v>
      </c>
      <c r="AA75">
        <v>50</v>
      </c>
      <c r="AB75">
        <v>80</v>
      </c>
      <c r="AF75">
        <v>14000</v>
      </c>
      <c r="AG75" t="s">
        <v>507</v>
      </c>
      <c r="AH75">
        <v>25000</v>
      </c>
      <c r="AI75" t="s">
        <v>174</v>
      </c>
      <c r="AJ75">
        <v>250000</v>
      </c>
      <c r="AP75" t="e">
        <v>#N/A</v>
      </c>
      <c r="AQ75">
        <v>649120</v>
      </c>
      <c r="AR75">
        <v>6088438.1900000004</v>
      </c>
      <c r="AS75">
        <v>-5439318.1900000004</v>
      </c>
      <c r="AT75">
        <v>3246.3758838362369</v>
      </c>
      <c r="AU75">
        <v>0</v>
      </c>
      <c r="AV75">
        <v>9512.3094958968359</v>
      </c>
      <c r="AW75">
        <v>11986.328599592747</v>
      </c>
      <c r="AX75">
        <v>772.35678014032601</v>
      </c>
      <c r="AY75" t="s">
        <v>465</v>
      </c>
    </row>
    <row r="76" spans="1:51" x14ac:dyDescent="0.35">
      <c r="A76" t="s">
        <v>265</v>
      </c>
      <c r="B76" s="9" t="s">
        <v>614</v>
      </c>
      <c r="C76" t="s">
        <v>232</v>
      </c>
      <c r="D76">
        <v>8140</v>
      </c>
      <c r="E76">
        <v>4381.6000000000004</v>
      </c>
      <c r="G76">
        <v>82216.7</v>
      </c>
      <c r="H76">
        <v>0</v>
      </c>
      <c r="I76">
        <v>106866.91216881595</v>
      </c>
      <c r="J76">
        <v>0.2</v>
      </c>
      <c r="K76">
        <v>24.47638921154552</v>
      </c>
      <c r="L76">
        <v>1.5712354718230159</v>
      </c>
      <c r="M76">
        <v>22.905153739722504</v>
      </c>
      <c r="N76">
        <v>2027</v>
      </c>
      <c r="P76">
        <v>1106700</v>
      </c>
      <c r="S76">
        <v>88.277476678132672</v>
      </c>
      <c r="T76">
        <v>53.815144933660939</v>
      </c>
      <c r="V76">
        <v>131.8446083046683</v>
      </c>
      <c r="W76">
        <v>0</v>
      </c>
      <c r="X76">
        <v>0</v>
      </c>
      <c r="Z76" t="s">
        <v>228</v>
      </c>
      <c r="AA76" t="s">
        <v>228</v>
      </c>
      <c r="AB76" t="s">
        <v>228</v>
      </c>
      <c r="AF76">
        <v>0</v>
      </c>
      <c r="AG76" t="s">
        <v>508</v>
      </c>
      <c r="AH76">
        <v>0</v>
      </c>
      <c r="AI76" t="s">
        <v>177</v>
      </c>
      <c r="AJ76">
        <v>1054000</v>
      </c>
      <c r="AQ76">
        <v>718578.66015999997</v>
      </c>
      <c r="AR76">
        <v>1073215.1115999999</v>
      </c>
      <c r="AS76">
        <v>-354636.45143999998</v>
      </c>
      <c r="AT76">
        <v>4381.6000000000004</v>
      </c>
      <c r="AU76">
        <v>0</v>
      </c>
      <c r="AV76">
        <v>8221.67</v>
      </c>
      <c r="AW76">
        <v>10686.691216881596</v>
      </c>
      <c r="AX76">
        <v>1916.5787831184043</v>
      </c>
      <c r="AY76">
        <v>0</v>
      </c>
    </row>
    <row r="77" spans="1:51" hidden="1" x14ac:dyDescent="0.35">
      <c r="A77" t="s">
        <v>509</v>
      </c>
      <c r="C77" t="s">
        <v>227</v>
      </c>
      <c r="D77">
        <v>8380</v>
      </c>
      <c r="E77">
        <v>3352.8013195153644</v>
      </c>
      <c r="G77">
        <v>98241.500586166483</v>
      </c>
      <c r="I77">
        <v>137547.4949532868</v>
      </c>
      <c r="J77">
        <v>0</v>
      </c>
      <c r="K77">
        <v>19.248775261440002</v>
      </c>
      <c r="L77">
        <v>2.0223238301262132</v>
      </c>
      <c r="M77">
        <v>17.226451431313791</v>
      </c>
      <c r="N77">
        <v>2024</v>
      </c>
      <c r="P77">
        <v>0</v>
      </c>
      <c r="Q77">
        <v>0</v>
      </c>
      <c r="S77">
        <v>80</v>
      </c>
      <c r="T77">
        <v>40</v>
      </c>
      <c r="V77">
        <v>0</v>
      </c>
      <c r="W77">
        <v>2024</v>
      </c>
      <c r="X77">
        <v>120.96000000000001</v>
      </c>
      <c r="Z77" t="s">
        <v>225</v>
      </c>
      <c r="AB77" t="e">
        <v>#N/A</v>
      </c>
      <c r="AF77">
        <v>0</v>
      </c>
      <c r="AG77" t="s">
        <v>220</v>
      </c>
      <c r="AH77">
        <v>0</v>
      </c>
      <c r="AI77" t="s">
        <v>233</v>
      </c>
      <c r="AQ77">
        <v>670400</v>
      </c>
      <c r="AR77">
        <v>0</v>
      </c>
      <c r="AS77">
        <v>670400</v>
      </c>
      <c r="AT77">
        <v>3352.8013195153644</v>
      </c>
      <c r="AU77">
        <v>0</v>
      </c>
      <c r="AV77">
        <v>9824.1500586166494</v>
      </c>
      <c r="AW77">
        <v>13754.74949532868</v>
      </c>
      <c r="AX77">
        <v>577.79811719666759</v>
      </c>
    </row>
    <row r="78" spans="1:51" hidden="1" x14ac:dyDescent="0.35">
      <c r="A78" t="s">
        <v>264</v>
      </c>
      <c r="C78" t="s">
        <v>239</v>
      </c>
      <c r="D78">
        <v>8488</v>
      </c>
      <c r="E78">
        <v>3396.0116467835815</v>
      </c>
      <c r="F78">
        <v>0</v>
      </c>
      <c r="G78">
        <v>99507.620164126623</v>
      </c>
      <c r="H78">
        <v>0</v>
      </c>
      <c r="I78">
        <v>139320.18343239839</v>
      </c>
      <c r="J78">
        <v>0</v>
      </c>
      <c r="K78">
        <v>19.496850169344</v>
      </c>
      <c r="L78">
        <v>2.0483871921373864</v>
      </c>
      <c r="M78">
        <v>17.448462977206614</v>
      </c>
      <c r="N78">
        <v>2024</v>
      </c>
      <c r="O78" t="s">
        <v>224</v>
      </c>
      <c r="P78">
        <v>363000</v>
      </c>
      <c r="Q78">
        <v>0</v>
      </c>
      <c r="S78">
        <v>80</v>
      </c>
      <c r="T78">
        <v>40</v>
      </c>
      <c r="V78">
        <v>27.757217455230915</v>
      </c>
      <c r="W78">
        <v>0</v>
      </c>
      <c r="X78">
        <v>0</v>
      </c>
      <c r="Z78" t="s">
        <v>225</v>
      </c>
      <c r="AA78">
        <v>50</v>
      </c>
      <c r="AB78">
        <v>0</v>
      </c>
      <c r="AF78">
        <v>0</v>
      </c>
      <c r="AG78" t="s">
        <v>176</v>
      </c>
      <c r="AH78">
        <v>30000</v>
      </c>
      <c r="AI78" t="s">
        <v>233</v>
      </c>
      <c r="AJ78">
        <v>180000</v>
      </c>
      <c r="AQ78">
        <v>679040</v>
      </c>
      <c r="AR78">
        <v>235603.26175999999</v>
      </c>
      <c r="AS78">
        <v>443436.73823999998</v>
      </c>
      <c r="AT78">
        <v>3396.0116467835815</v>
      </c>
      <c r="AU78">
        <v>0</v>
      </c>
      <c r="AV78">
        <v>9950.7620164126638</v>
      </c>
      <c r="AW78">
        <v>13932.018343239841</v>
      </c>
      <c r="AX78">
        <v>-585.24468004359551</v>
      </c>
      <c r="AY78" t="e">
        <v>#VALUE!</v>
      </c>
    </row>
    <row r="79" spans="1:51" hidden="1" x14ac:dyDescent="0.35">
      <c r="A79" t="s">
        <v>261</v>
      </c>
      <c r="C79" t="s">
        <v>262</v>
      </c>
      <c r="D79">
        <v>8500</v>
      </c>
      <c r="E79">
        <v>2832.4</v>
      </c>
      <c r="G79">
        <v>189702.2</v>
      </c>
      <c r="H79">
        <v>0</v>
      </c>
      <c r="I79">
        <v>222907.35826494725</v>
      </c>
      <c r="K79">
        <v>17.830013920451471</v>
      </c>
      <c r="L79">
        <v>3.2773469461059932</v>
      </c>
      <c r="M79">
        <v>14.552666974345478</v>
      </c>
      <c r="N79">
        <v>2026</v>
      </c>
      <c r="O79" t="s">
        <v>224</v>
      </c>
      <c r="P79">
        <v>1114500</v>
      </c>
      <c r="Q79">
        <v>0</v>
      </c>
      <c r="S79">
        <v>109.46308376941177</v>
      </c>
      <c r="T79">
        <v>33.31438889882353</v>
      </c>
      <c r="V79">
        <v>55.2131826800723</v>
      </c>
      <c r="W79">
        <v>0</v>
      </c>
      <c r="X79">
        <v>0</v>
      </c>
      <c r="Z79" t="s">
        <v>225</v>
      </c>
      <c r="AA79" t="s">
        <v>233</v>
      </c>
      <c r="AB79">
        <v>55.41</v>
      </c>
      <c r="AF79">
        <v>0</v>
      </c>
      <c r="AI79" t="s">
        <v>181</v>
      </c>
      <c r="AJ79">
        <v>552500</v>
      </c>
      <c r="AM79">
        <v>120000</v>
      </c>
      <c r="AQ79">
        <v>930436.21204000001</v>
      </c>
      <c r="AR79">
        <v>469312.05278061453</v>
      </c>
      <c r="AS79">
        <v>461124.15925938549</v>
      </c>
      <c r="AT79">
        <v>2832.4</v>
      </c>
      <c r="AU79">
        <v>0</v>
      </c>
      <c r="AV79">
        <v>18970.22</v>
      </c>
      <c r="AW79">
        <v>22290.735826494725</v>
      </c>
      <c r="AX79">
        <v>-488.11582649472257</v>
      </c>
      <c r="AY79" t="e">
        <v>#VALUE!</v>
      </c>
    </row>
    <row r="80" spans="1:51" x14ac:dyDescent="0.35">
      <c r="A80" t="s">
        <v>258</v>
      </c>
      <c r="B80" s="9" t="s">
        <v>614</v>
      </c>
      <c r="C80" t="s">
        <v>172</v>
      </c>
      <c r="D80">
        <v>8575</v>
      </c>
      <c r="E80">
        <v>4773.3</v>
      </c>
      <c r="G80">
        <v>31397.1</v>
      </c>
      <c r="H80">
        <v>0</v>
      </c>
      <c r="I80">
        <v>87356.068347010558</v>
      </c>
      <c r="J80">
        <v>0</v>
      </c>
      <c r="K80">
        <v>25.809244010678171</v>
      </c>
      <c r="L80">
        <v>1.2843727818110451</v>
      </c>
      <c r="M80">
        <v>24.524871228867127</v>
      </c>
      <c r="N80">
        <v>2035</v>
      </c>
      <c r="O80" t="s">
        <v>233</v>
      </c>
      <c r="P80">
        <v>1092140</v>
      </c>
      <c r="Q80">
        <v>0</v>
      </c>
      <c r="S80">
        <v>68.144935665306122</v>
      </c>
      <c r="T80">
        <v>55.652002114285715</v>
      </c>
      <c r="V80">
        <v>21.150058868804663</v>
      </c>
      <c r="W80" t="s">
        <v>474</v>
      </c>
      <c r="X80">
        <v>0</v>
      </c>
      <c r="Z80">
        <v>172.92795262767672</v>
      </c>
      <c r="AA80">
        <v>25</v>
      </c>
      <c r="AB80">
        <v>0</v>
      </c>
      <c r="AF80">
        <v>1400</v>
      </c>
      <c r="AG80">
        <v>0</v>
      </c>
      <c r="AI80" t="s">
        <v>233</v>
      </c>
      <c r="AJ80">
        <v>205800</v>
      </c>
      <c r="AM80">
        <v>720300</v>
      </c>
      <c r="AP80">
        <v>0</v>
      </c>
      <c r="AQ80">
        <v>584342.82333000004</v>
      </c>
      <c r="AR80">
        <v>181361.7548</v>
      </c>
      <c r="AS80">
        <v>402981.06853000005</v>
      </c>
      <c r="AT80">
        <v>4773.3</v>
      </c>
      <c r="AU80">
        <v>0</v>
      </c>
      <c r="AV80">
        <v>3139.71</v>
      </c>
      <c r="AW80">
        <v>8735.6068347010569</v>
      </c>
      <c r="AX80">
        <v>-822.59683470105665</v>
      </c>
      <c r="AY80" t="s">
        <v>469</v>
      </c>
    </row>
    <row r="81" spans="1:51" hidden="1" x14ac:dyDescent="0.35">
      <c r="A81" t="s">
        <v>257</v>
      </c>
      <c r="C81" t="s">
        <v>172</v>
      </c>
      <c r="D81">
        <v>8654</v>
      </c>
      <c r="E81">
        <v>1707.4</v>
      </c>
      <c r="G81">
        <v>103775.8</v>
      </c>
      <c r="H81">
        <v>0</v>
      </c>
      <c r="I81">
        <v>111412.9913950762</v>
      </c>
      <c r="J81">
        <v>0.1</v>
      </c>
      <c r="K81">
        <v>10.592581704210337</v>
      </c>
      <c r="L81">
        <v>1.6380752521914632</v>
      </c>
      <c r="M81">
        <v>8.9545064520188742</v>
      </c>
      <c r="N81">
        <v>2035</v>
      </c>
      <c r="O81">
        <v>2029</v>
      </c>
      <c r="P81">
        <v>1500000</v>
      </c>
      <c r="Q81">
        <v>0</v>
      </c>
      <c r="S81">
        <v>60.640423242431247</v>
      </c>
      <c r="T81">
        <v>19.724889431476775</v>
      </c>
      <c r="V81">
        <v>24.526750222399528</v>
      </c>
      <c r="W81">
        <v>2034</v>
      </c>
      <c r="X81">
        <v>172.8</v>
      </c>
      <c r="Z81">
        <v>115.28530175178446</v>
      </c>
      <c r="AA81">
        <v>29</v>
      </c>
      <c r="AB81">
        <v>55</v>
      </c>
      <c r="AF81">
        <v>28000</v>
      </c>
      <c r="AG81" t="s">
        <v>510</v>
      </c>
      <c r="AH81">
        <v>50000</v>
      </c>
      <c r="AI81" t="s">
        <v>181</v>
      </c>
      <c r="AJ81">
        <v>662031</v>
      </c>
      <c r="AM81">
        <v>1789430</v>
      </c>
      <c r="AN81" t="s">
        <v>187</v>
      </c>
      <c r="AO81" t="s">
        <v>204</v>
      </c>
      <c r="AP81" t="s">
        <v>483</v>
      </c>
      <c r="AQ81">
        <v>524782.22274</v>
      </c>
      <c r="AR81">
        <v>212254.49642464551</v>
      </c>
      <c r="AS81">
        <v>312527.72631535446</v>
      </c>
      <c r="AT81">
        <v>1707.4</v>
      </c>
      <c r="AU81">
        <v>0</v>
      </c>
      <c r="AV81">
        <v>10377.580000000002</v>
      </c>
      <c r="AW81">
        <v>11141.299139507621</v>
      </c>
      <c r="AX81">
        <v>943.68086049238082</v>
      </c>
      <c r="AY81" t="s">
        <v>484</v>
      </c>
    </row>
    <row r="82" spans="1:51" hidden="1" x14ac:dyDescent="0.35">
      <c r="A82" t="s">
        <v>256</v>
      </c>
      <c r="C82" t="s">
        <v>223</v>
      </c>
      <c r="D82">
        <v>8717</v>
      </c>
      <c r="E82">
        <v>15795.2</v>
      </c>
      <c r="F82">
        <v>0</v>
      </c>
      <c r="G82">
        <v>74274.600000000006</v>
      </c>
      <c r="H82">
        <v>0</v>
      </c>
      <c r="I82">
        <v>259446.93294255569</v>
      </c>
      <c r="J82">
        <v>0</v>
      </c>
      <c r="K82">
        <v>84.969177199124289</v>
      </c>
      <c r="L82">
        <v>3.8145784866607646</v>
      </c>
      <c r="M82">
        <v>81.154598712463525</v>
      </c>
      <c r="N82">
        <v>2034</v>
      </c>
      <c r="O82" t="s">
        <v>224</v>
      </c>
      <c r="P82">
        <v>765000</v>
      </c>
      <c r="Q82">
        <v>0</v>
      </c>
      <c r="S82">
        <v>210.22914189744179</v>
      </c>
      <c r="T82">
        <v>181.15664732362052</v>
      </c>
      <c r="V82">
        <v>59.415546229207287</v>
      </c>
      <c r="W82">
        <v>0</v>
      </c>
      <c r="X82">
        <v>0</v>
      </c>
      <c r="Z82">
        <v>144.10662718973057</v>
      </c>
      <c r="AA82">
        <v>41</v>
      </c>
      <c r="AB82">
        <v>150</v>
      </c>
      <c r="AF82">
        <v>0</v>
      </c>
      <c r="AG82">
        <v>0</v>
      </c>
      <c r="AH82">
        <v>50000</v>
      </c>
      <c r="AI82" t="s">
        <v>181</v>
      </c>
      <c r="AJ82">
        <v>300000</v>
      </c>
      <c r="AL82">
        <v>100000</v>
      </c>
      <c r="AP82" t="s">
        <v>422</v>
      </c>
      <c r="AQ82">
        <v>1832567.42992</v>
      </c>
      <c r="AR82">
        <v>517925.31647999992</v>
      </c>
      <c r="AS82">
        <v>1314642.11344</v>
      </c>
      <c r="AT82">
        <v>15795.2</v>
      </c>
      <c r="AU82">
        <v>0</v>
      </c>
      <c r="AV82">
        <v>7427.4600000000009</v>
      </c>
      <c r="AW82">
        <v>25944.693294255572</v>
      </c>
      <c r="AX82">
        <v>-2722.0332942555688</v>
      </c>
      <c r="AY82" t="s">
        <v>484</v>
      </c>
    </row>
    <row r="83" spans="1:51" hidden="1" x14ac:dyDescent="0.35">
      <c r="A83" t="s">
        <v>255</v>
      </c>
      <c r="C83" t="s">
        <v>223</v>
      </c>
      <c r="D83">
        <v>8752</v>
      </c>
      <c r="E83">
        <v>7420.7</v>
      </c>
      <c r="F83">
        <v>0</v>
      </c>
      <c r="G83">
        <v>134410.20000000001</v>
      </c>
      <c r="H83">
        <v>0</v>
      </c>
      <c r="I83">
        <v>154983.85746776083</v>
      </c>
      <c r="J83">
        <v>0.3</v>
      </c>
      <c r="K83">
        <v>41.382287227096882</v>
      </c>
      <c r="L83">
        <v>2.2786859793294076</v>
      </c>
      <c r="M83">
        <v>39.103601247767472</v>
      </c>
      <c r="N83">
        <v>2034</v>
      </c>
      <c r="O83" t="s">
        <v>224</v>
      </c>
      <c r="P83">
        <v>482500</v>
      </c>
      <c r="Q83">
        <v>0</v>
      </c>
      <c r="S83">
        <v>137.16867546503656</v>
      </c>
      <c r="T83">
        <v>84.768355263939668</v>
      </c>
      <c r="V83">
        <v>59.177938354661784</v>
      </c>
      <c r="W83">
        <v>2024</v>
      </c>
      <c r="X83">
        <v>17.28</v>
      </c>
      <c r="Z83">
        <v>144.10662718973057</v>
      </c>
      <c r="AA83">
        <v>23</v>
      </c>
      <c r="AB83">
        <v>50</v>
      </c>
      <c r="AF83">
        <v>0</v>
      </c>
      <c r="AG83" t="s">
        <v>511</v>
      </c>
      <c r="AH83">
        <v>25000</v>
      </c>
      <c r="AI83" t="s">
        <v>174</v>
      </c>
      <c r="AJ83">
        <v>250000</v>
      </c>
      <c r="AP83" t="s">
        <v>177</v>
      </c>
      <c r="AQ83">
        <v>1200500.24767</v>
      </c>
      <c r="AR83">
        <v>517925.31647999992</v>
      </c>
      <c r="AS83">
        <v>682574.93119000003</v>
      </c>
      <c r="AT83">
        <v>7420.7</v>
      </c>
      <c r="AU83">
        <v>0</v>
      </c>
      <c r="AV83">
        <v>13441.020000000002</v>
      </c>
      <c r="AW83">
        <v>15498.385746776083</v>
      </c>
      <c r="AX83">
        <v>5363.3342532239185</v>
      </c>
      <c r="AY83" t="s">
        <v>469</v>
      </c>
    </row>
    <row r="84" spans="1:51" hidden="1" x14ac:dyDescent="0.35">
      <c r="A84" t="s">
        <v>253</v>
      </c>
      <c r="B84" s="9" t="s">
        <v>614</v>
      </c>
      <c r="C84" t="s">
        <v>172</v>
      </c>
      <c r="D84">
        <v>8862</v>
      </c>
      <c r="E84">
        <v>4238</v>
      </c>
      <c r="G84">
        <v>64036.2</v>
      </c>
      <c r="H84">
        <v>0</v>
      </c>
      <c r="I84">
        <v>113719.67010550995</v>
      </c>
      <c r="J84">
        <v>0</v>
      </c>
      <c r="K84">
        <v>23.446528154791579</v>
      </c>
      <c r="L84">
        <v>1.6719897289773855</v>
      </c>
      <c r="M84">
        <v>21.774538425814193</v>
      </c>
      <c r="N84" t="s">
        <v>228</v>
      </c>
      <c r="O84" t="s">
        <v>233</v>
      </c>
      <c r="P84">
        <v>1400</v>
      </c>
      <c r="Q84">
        <v>0</v>
      </c>
      <c r="S84">
        <v>71.3</v>
      </c>
      <c r="T84">
        <v>47.810732543443919</v>
      </c>
      <c r="V84">
        <v>283.98579164974052</v>
      </c>
      <c r="W84" t="s">
        <v>474</v>
      </c>
      <c r="X84">
        <v>0</v>
      </c>
      <c r="Z84" t="s">
        <v>225</v>
      </c>
      <c r="AB84" t="e">
        <v>#N/A</v>
      </c>
      <c r="AF84">
        <v>1400</v>
      </c>
      <c r="AG84">
        <v>0</v>
      </c>
      <c r="AI84" t="s">
        <v>233</v>
      </c>
      <c r="AP84">
        <v>0</v>
      </c>
      <c r="AQ84">
        <v>631860.6</v>
      </c>
      <c r="AR84">
        <v>2516682.0856000003</v>
      </c>
      <c r="AS84">
        <v>-1884821.4856000002</v>
      </c>
      <c r="AT84">
        <v>4238</v>
      </c>
      <c r="AU84">
        <v>0</v>
      </c>
      <c r="AV84">
        <v>6403.62</v>
      </c>
      <c r="AW84">
        <v>11371.967010550996</v>
      </c>
      <c r="AX84">
        <v>730.34701055099686</v>
      </c>
    </row>
    <row r="85" spans="1:51" hidden="1" x14ac:dyDescent="0.35">
      <c r="A85" t="s">
        <v>252</v>
      </c>
      <c r="C85" t="s">
        <v>223</v>
      </c>
      <c r="D85">
        <v>8964</v>
      </c>
      <c r="E85">
        <v>3586.4571632620195</v>
      </c>
      <c r="F85">
        <v>0</v>
      </c>
      <c r="G85">
        <v>105087.92497069169</v>
      </c>
      <c r="H85">
        <v>0</v>
      </c>
      <c r="I85">
        <v>147133.1437662605</v>
      </c>
      <c r="J85">
        <v>0</v>
      </c>
      <c r="K85">
        <v>20.590217356031999</v>
      </c>
      <c r="L85">
        <v>2.1632590469273718</v>
      </c>
      <c r="M85">
        <v>18.426958309104627</v>
      </c>
      <c r="N85">
        <v>2034</v>
      </c>
      <c r="O85" t="s">
        <v>224</v>
      </c>
      <c r="P85">
        <v>495000</v>
      </c>
      <c r="Q85">
        <v>2023</v>
      </c>
      <c r="S85">
        <v>80</v>
      </c>
      <c r="T85">
        <v>40</v>
      </c>
      <c r="U85">
        <v>0</v>
      </c>
      <c r="V85">
        <v>118.36683554216869</v>
      </c>
      <c r="W85" t="e">
        <v>#N/A</v>
      </c>
      <c r="X85" t="e">
        <v>#N/A</v>
      </c>
      <c r="Z85">
        <v>288.21325437946115</v>
      </c>
      <c r="AA85" t="s">
        <v>233</v>
      </c>
      <c r="AB85">
        <v>55.41</v>
      </c>
      <c r="AF85">
        <v>0</v>
      </c>
      <c r="AG85">
        <v>0</v>
      </c>
      <c r="AI85" t="s">
        <v>233</v>
      </c>
      <c r="AJ85">
        <v>275000</v>
      </c>
      <c r="AP85" t="e">
        <v>#N/A</v>
      </c>
      <c r="AQ85">
        <v>717120</v>
      </c>
      <c r="AR85">
        <v>1061040.3138000001</v>
      </c>
      <c r="AS85">
        <v>-343920.31380000012</v>
      </c>
      <c r="AT85">
        <v>3586.4571632620195</v>
      </c>
      <c r="AU85">
        <v>0</v>
      </c>
      <c r="AV85">
        <v>10508.792497069169</v>
      </c>
      <c r="AW85">
        <v>14713.314376626051</v>
      </c>
      <c r="AX85">
        <v>-618.06471629486259</v>
      </c>
      <c r="AY85" t="e">
        <v>#VALUE!</v>
      </c>
    </row>
    <row r="86" spans="1:51" hidden="1" x14ac:dyDescent="0.35">
      <c r="A86" t="s">
        <v>250</v>
      </c>
      <c r="C86" t="s">
        <v>172</v>
      </c>
      <c r="D86">
        <v>9137</v>
      </c>
      <c r="E86">
        <v>2822.1</v>
      </c>
      <c r="G86">
        <v>188721.7</v>
      </c>
      <c r="H86">
        <v>0</v>
      </c>
      <c r="I86">
        <v>199625.49717467761</v>
      </c>
      <c r="J86">
        <v>0.1</v>
      </c>
      <c r="K86">
        <v>17.760901876196648</v>
      </c>
      <c r="L86">
        <v>2.9350400032675892</v>
      </c>
      <c r="M86">
        <v>14.825861872929059</v>
      </c>
      <c r="N86">
        <v>2035</v>
      </c>
      <c r="O86">
        <v>2028</v>
      </c>
      <c r="P86">
        <v>750000</v>
      </c>
      <c r="Q86">
        <v>0</v>
      </c>
      <c r="S86">
        <v>101.35285019262341</v>
      </c>
      <c r="T86">
        <v>30.879123542738313</v>
      </c>
      <c r="V86">
        <v>24.517379846406694</v>
      </c>
      <c r="W86">
        <v>2034</v>
      </c>
      <c r="X86">
        <v>172.8</v>
      </c>
      <c r="Z86">
        <v>230.57060350356892</v>
      </c>
      <c r="AA86">
        <v>64</v>
      </c>
      <c r="AB86">
        <v>25</v>
      </c>
      <c r="AF86">
        <v>28000</v>
      </c>
      <c r="AG86" t="s">
        <v>512</v>
      </c>
      <c r="AH86">
        <v>50000</v>
      </c>
      <c r="AI86" t="s">
        <v>181</v>
      </c>
      <c r="AJ86">
        <v>219288</v>
      </c>
      <c r="AM86">
        <v>850000</v>
      </c>
      <c r="AO86" t="s">
        <v>204</v>
      </c>
      <c r="AP86" t="s">
        <v>483</v>
      </c>
      <c r="AQ86">
        <v>926060.99221000005</v>
      </c>
      <c r="AR86">
        <v>224015.29965661795</v>
      </c>
      <c r="AS86">
        <v>702045.69255338213</v>
      </c>
      <c r="AT86">
        <v>2822.1</v>
      </c>
      <c r="AU86">
        <v>0</v>
      </c>
      <c r="AV86">
        <v>18872.170000000002</v>
      </c>
      <c r="AW86">
        <v>19962.549717467762</v>
      </c>
      <c r="AX86">
        <v>1731.7202825322383</v>
      </c>
      <c r="AY86" t="s">
        <v>484</v>
      </c>
    </row>
    <row r="87" spans="1:51" hidden="1" x14ac:dyDescent="0.35">
      <c r="A87" t="s">
        <v>248</v>
      </c>
      <c r="C87" t="s">
        <v>227</v>
      </c>
      <c r="D87">
        <v>9247</v>
      </c>
      <c r="E87">
        <v>7443.1009999999997</v>
      </c>
      <c r="F87">
        <v>0</v>
      </c>
      <c r="G87">
        <v>23852.350000000002</v>
      </c>
      <c r="H87">
        <v>0</v>
      </c>
      <c r="I87">
        <v>83332.706228018767</v>
      </c>
      <c r="J87">
        <v>0.25</v>
      </c>
      <c r="K87">
        <v>39.875740759160252</v>
      </c>
      <c r="L87">
        <v>1.2252183705058626</v>
      </c>
      <c r="M87">
        <v>38.650522388654387</v>
      </c>
      <c r="N87">
        <v>2025</v>
      </c>
      <c r="O87" t="s">
        <v>228</v>
      </c>
      <c r="P87">
        <v>400000</v>
      </c>
      <c r="S87">
        <v>89.27397297351574</v>
      </c>
      <c r="T87">
        <v>80.47282468758516</v>
      </c>
      <c r="U87">
        <v>0</v>
      </c>
      <c r="V87">
        <v>0</v>
      </c>
      <c r="W87">
        <v>0</v>
      </c>
      <c r="X87">
        <v>0</v>
      </c>
      <c r="Z87">
        <v>1330.2150202128978</v>
      </c>
      <c r="AA87">
        <v>50</v>
      </c>
      <c r="AB87">
        <v>55</v>
      </c>
      <c r="AF87">
        <v>0</v>
      </c>
      <c r="AG87">
        <v>0</v>
      </c>
      <c r="AH87">
        <v>0</v>
      </c>
      <c r="AI87" t="s">
        <v>181</v>
      </c>
      <c r="AJ87">
        <v>300000</v>
      </c>
      <c r="AM87">
        <v>100000</v>
      </c>
      <c r="AN87" t="s">
        <v>229</v>
      </c>
      <c r="AQ87">
        <v>825516.42808610003</v>
      </c>
      <c r="AR87">
        <v>0</v>
      </c>
      <c r="AS87">
        <v>825516.42808610003</v>
      </c>
      <c r="AT87">
        <v>7443.1009999999997</v>
      </c>
      <c r="AU87">
        <v>0</v>
      </c>
      <c r="AV87">
        <v>2385.2350000000001</v>
      </c>
      <c r="AW87">
        <v>8333.2706228018778</v>
      </c>
      <c r="AX87">
        <v>1495.0653771981215</v>
      </c>
      <c r="AY87" t="s">
        <v>469</v>
      </c>
    </row>
    <row r="88" spans="1:51" hidden="1" x14ac:dyDescent="0.35">
      <c r="A88" t="s">
        <v>247</v>
      </c>
      <c r="C88" t="s">
        <v>172</v>
      </c>
      <c r="D88">
        <v>9375</v>
      </c>
      <c r="E88">
        <v>3512.9</v>
      </c>
      <c r="G88">
        <v>103624.9</v>
      </c>
      <c r="H88">
        <v>0</v>
      </c>
      <c r="I88">
        <v>130327.00554513483</v>
      </c>
      <c r="J88">
        <v>0.1</v>
      </c>
      <c r="K88">
        <v>20.178096814690424</v>
      </c>
      <c r="L88">
        <v>1.9161629160344023</v>
      </c>
      <c r="M88">
        <v>18.261933898656022</v>
      </c>
      <c r="N88">
        <v>2031</v>
      </c>
      <c r="O88">
        <v>2028</v>
      </c>
      <c r="P88">
        <v>500000</v>
      </c>
      <c r="Q88">
        <v>0</v>
      </c>
      <c r="S88">
        <v>75.175914718933328</v>
      </c>
      <c r="T88">
        <v>37.461977780266672</v>
      </c>
      <c r="V88">
        <v>36.918019967999996</v>
      </c>
      <c r="W88">
        <v>2034</v>
      </c>
      <c r="X88">
        <v>172.8</v>
      </c>
      <c r="Z88">
        <v>172.92795262767672</v>
      </c>
      <c r="AA88">
        <v>34</v>
      </c>
      <c r="AB88">
        <v>30</v>
      </c>
      <c r="AF88">
        <v>28000</v>
      </c>
      <c r="AG88" t="s">
        <v>513</v>
      </c>
      <c r="AH88">
        <v>50000</v>
      </c>
      <c r="AI88" t="s">
        <v>181</v>
      </c>
      <c r="AJ88">
        <v>225000</v>
      </c>
      <c r="AM88">
        <v>1100000</v>
      </c>
      <c r="AO88" t="s">
        <v>204</v>
      </c>
      <c r="AP88" t="s">
        <v>483</v>
      </c>
      <c r="AQ88">
        <v>704774.20048999996</v>
      </c>
      <c r="AR88">
        <v>346106.43719999999</v>
      </c>
      <c r="AS88">
        <v>358667.76328999997</v>
      </c>
      <c r="AT88">
        <v>3512.9</v>
      </c>
      <c r="AU88">
        <v>0</v>
      </c>
      <c r="AV88">
        <v>10362.49</v>
      </c>
      <c r="AW88">
        <v>13032.700554513483</v>
      </c>
      <c r="AX88">
        <v>842.68944548651598</v>
      </c>
      <c r="AY88" t="s">
        <v>484</v>
      </c>
    </row>
    <row r="89" spans="1:51" hidden="1" x14ac:dyDescent="0.35">
      <c r="A89" t="s">
        <v>245</v>
      </c>
      <c r="C89" t="s">
        <v>172</v>
      </c>
      <c r="D89">
        <v>9404</v>
      </c>
      <c r="E89">
        <v>7572</v>
      </c>
      <c r="G89">
        <v>110767.2</v>
      </c>
      <c r="H89">
        <v>0</v>
      </c>
      <c r="I89">
        <v>169605.81284876904</v>
      </c>
      <c r="J89">
        <v>0.15</v>
      </c>
      <c r="K89">
        <v>41.838117865187705</v>
      </c>
      <c r="L89">
        <v>2.4936686572771061</v>
      </c>
      <c r="M89">
        <v>39.3444492079106</v>
      </c>
      <c r="N89">
        <v>2029</v>
      </c>
      <c r="O89" t="s">
        <v>268</v>
      </c>
      <c r="P89">
        <v>1100000</v>
      </c>
      <c r="Q89" t="s">
        <v>514</v>
      </c>
      <c r="S89">
        <v>120.68871922586133</v>
      </c>
      <c r="T89">
        <v>80.499684091875793</v>
      </c>
      <c r="V89">
        <v>37.708719825606131</v>
      </c>
      <c r="W89">
        <v>2028</v>
      </c>
      <c r="X89">
        <v>25.919999999999998</v>
      </c>
      <c r="Y89" t="s">
        <v>180</v>
      </c>
      <c r="Z89">
        <v>149.64918977395098</v>
      </c>
      <c r="AA89">
        <v>35</v>
      </c>
      <c r="AB89">
        <v>40</v>
      </c>
      <c r="AF89">
        <v>0</v>
      </c>
      <c r="AG89" t="s">
        <v>468</v>
      </c>
      <c r="AH89">
        <v>0</v>
      </c>
      <c r="AI89" t="s">
        <v>181</v>
      </c>
      <c r="AJ89">
        <v>606300</v>
      </c>
      <c r="AK89" t="s">
        <v>246</v>
      </c>
      <c r="AL89">
        <v>382229</v>
      </c>
      <c r="AM89">
        <v>788900</v>
      </c>
      <c r="AN89" t="s">
        <v>187</v>
      </c>
      <c r="AP89">
        <v>0</v>
      </c>
      <c r="AQ89">
        <v>1134956.7156</v>
      </c>
      <c r="AR89">
        <v>354612.80124000006</v>
      </c>
      <c r="AS89">
        <v>780343.91435999994</v>
      </c>
      <c r="AT89">
        <v>7572</v>
      </c>
      <c r="AU89">
        <v>0</v>
      </c>
      <c r="AV89">
        <v>11076.720000000001</v>
      </c>
      <c r="AW89">
        <v>16960.581284876906</v>
      </c>
      <c r="AX89">
        <v>1688.1387151230956</v>
      </c>
      <c r="AY89" t="s">
        <v>469</v>
      </c>
    </row>
    <row r="90" spans="1:51" hidden="1" x14ac:dyDescent="0.35">
      <c r="A90" t="s">
        <v>242</v>
      </c>
      <c r="C90" t="s">
        <v>172</v>
      </c>
      <c r="D90">
        <v>9417</v>
      </c>
      <c r="E90">
        <v>2241.4</v>
      </c>
      <c r="G90">
        <v>120371.2</v>
      </c>
      <c r="H90">
        <v>0</v>
      </c>
      <c r="I90">
        <v>146647.87057444314</v>
      </c>
      <c r="J90">
        <v>0</v>
      </c>
      <c r="K90">
        <v>13.672275793135478</v>
      </c>
      <c r="L90">
        <v>2.1561242056838652</v>
      </c>
      <c r="M90">
        <v>11.516151587451613</v>
      </c>
      <c r="N90">
        <v>2023</v>
      </c>
      <c r="O90">
        <v>2029</v>
      </c>
      <c r="P90">
        <v>28000</v>
      </c>
      <c r="Q90">
        <v>0</v>
      </c>
      <c r="S90">
        <v>67.40925612615483</v>
      </c>
      <c r="T90">
        <v>23.795946749495592</v>
      </c>
      <c r="V90">
        <v>293.55849794201981</v>
      </c>
      <c r="W90">
        <v>2034</v>
      </c>
      <c r="X90">
        <v>172.8</v>
      </c>
      <c r="Z90">
        <v>230.57060350356892</v>
      </c>
      <c r="AA90">
        <v>52</v>
      </c>
      <c r="AB90">
        <v>0</v>
      </c>
      <c r="AF90">
        <v>28000</v>
      </c>
      <c r="AG90" t="s">
        <v>515</v>
      </c>
      <c r="AI90" t="s">
        <v>243</v>
      </c>
      <c r="AL90">
        <v>0</v>
      </c>
      <c r="AO90" t="s">
        <v>244</v>
      </c>
      <c r="AP90" t="s">
        <v>412</v>
      </c>
      <c r="AQ90">
        <v>634792.96493999998</v>
      </c>
      <c r="AR90">
        <v>2764440.3751200004</v>
      </c>
      <c r="AS90">
        <v>-2129647.4101800006</v>
      </c>
      <c r="AT90">
        <v>2241.4</v>
      </c>
      <c r="AU90">
        <v>0</v>
      </c>
      <c r="AV90">
        <v>12037.12</v>
      </c>
      <c r="AW90">
        <v>14664.787057444315</v>
      </c>
      <c r="AX90">
        <v>-386.26705744431456</v>
      </c>
      <c r="AY90" t="s">
        <v>469</v>
      </c>
    </row>
    <row r="91" spans="1:51" hidden="1" x14ac:dyDescent="0.35">
      <c r="A91" t="s">
        <v>240</v>
      </c>
      <c r="C91" t="s">
        <v>172</v>
      </c>
      <c r="D91">
        <v>9424</v>
      </c>
      <c r="E91">
        <v>1859.8</v>
      </c>
      <c r="G91">
        <v>125057.2</v>
      </c>
      <c r="H91">
        <v>0</v>
      </c>
      <c r="I91">
        <v>132174.22325908559</v>
      </c>
      <c r="J91">
        <v>0.1</v>
      </c>
      <c r="K91">
        <v>11.71476503693318</v>
      </c>
      <c r="L91">
        <v>1.9433220613436102</v>
      </c>
      <c r="M91">
        <v>9.7714429755895704</v>
      </c>
      <c r="N91">
        <v>2034</v>
      </c>
      <c r="O91" t="s">
        <v>219</v>
      </c>
      <c r="P91">
        <v>750000</v>
      </c>
      <c r="Q91">
        <v>0</v>
      </c>
      <c r="S91">
        <v>65.007503945246171</v>
      </c>
      <c r="T91">
        <v>19.730003266129032</v>
      </c>
      <c r="V91">
        <v>33.210305602716467</v>
      </c>
      <c r="W91">
        <v>2034</v>
      </c>
      <c r="X91">
        <v>172.8</v>
      </c>
      <c r="Z91">
        <v>230.57060350356892</v>
      </c>
      <c r="AA91">
        <v>41</v>
      </c>
      <c r="AB91">
        <v>30</v>
      </c>
      <c r="AF91">
        <v>28000</v>
      </c>
      <c r="AG91" t="s">
        <v>516</v>
      </c>
      <c r="AH91">
        <v>0</v>
      </c>
      <c r="AI91" t="s">
        <v>181</v>
      </c>
      <c r="AJ91">
        <v>226176</v>
      </c>
      <c r="AM91">
        <v>1100000</v>
      </c>
      <c r="AO91" t="s">
        <v>241</v>
      </c>
      <c r="AP91" t="s">
        <v>483</v>
      </c>
      <c r="AQ91">
        <v>612630.71717999992</v>
      </c>
      <c r="AR91">
        <v>312973.92</v>
      </c>
      <c r="AS91">
        <v>299656.79717999994</v>
      </c>
      <c r="AT91">
        <v>1859.8</v>
      </c>
      <c r="AU91">
        <v>0</v>
      </c>
      <c r="AV91">
        <v>12505.720000000001</v>
      </c>
      <c r="AW91">
        <v>13217.422325908559</v>
      </c>
      <c r="AX91">
        <v>1148.0976740914411</v>
      </c>
      <c r="AY91" t="s">
        <v>484</v>
      </c>
    </row>
    <row r="92" spans="1:51" hidden="1" x14ac:dyDescent="0.35">
      <c r="A92" t="s">
        <v>238</v>
      </c>
      <c r="C92" t="s">
        <v>239</v>
      </c>
      <c r="D92">
        <v>9428</v>
      </c>
      <c r="E92">
        <v>0</v>
      </c>
      <c r="G92">
        <v>573582</v>
      </c>
      <c r="H92">
        <v>0</v>
      </c>
      <c r="I92">
        <v>573582</v>
      </c>
      <c r="J92">
        <v>0</v>
      </c>
      <c r="K92">
        <v>8.4332219029172162</v>
      </c>
      <c r="L92">
        <v>8.4332219029172162</v>
      </c>
      <c r="M92">
        <v>0</v>
      </c>
      <c r="N92">
        <v>2024</v>
      </c>
      <c r="O92" t="s">
        <v>224</v>
      </c>
      <c r="P92">
        <v>579000</v>
      </c>
      <c r="Q92">
        <v>0</v>
      </c>
      <c r="S92">
        <v>207.5797394993636</v>
      </c>
      <c r="T92">
        <v>0</v>
      </c>
      <c r="V92">
        <v>29.521538022910484</v>
      </c>
      <c r="W92">
        <v>0</v>
      </c>
      <c r="X92">
        <v>0</v>
      </c>
      <c r="Z92">
        <v>399.06450606386932</v>
      </c>
      <c r="AA92">
        <v>50</v>
      </c>
      <c r="AB92">
        <v>0</v>
      </c>
      <c r="AF92">
        <v>0</v>
      </c>
      <c r="AH92">
        <v>30000</v>
      </c>
      <c r="AJ92">
        <v>300000</v>
      </c>
      <c r="AQ92">
        <v>1957061.784</v>
      </c>
      <c r="AR92">
        <v>278329.06048000004</v>
      </c>
      <c r="AS92">
        <v>1678732.72352</v>
      </c>
      <c r="AT92">
        <v>0</v>
      </c>
      <c r="AU92">
        <v>0</v>
      </c>
      <c r="AV92">
        <v>57358.200000000004</v>
      </c>
      <c r="AW92">
        <v>57358.200000000004</v>
      </c>
      <c r="AX92">
        <v>0</v>
      </c>
      <c r="AY92" t="s">
        <v>469</v>
      </c>
    </row>
    <row r="93" spans="1:51" x14ac:dyDescent="0.35">
      <c r="A93" t="s">
        <v>235</v>
      </c>
      <c r="B93" s="9" t="s">
        <v>614</v>
      </c>
      <c r="C93" t="s">
        <v>232</v>
      </c>
      <c r="D93">
        <v>9460</v>
      </c>
      <c r="E93">
        <v>3684.3</v>
      </c>
      <c r="G93">
        <v>96328.1</v>
      </c>
      <c r="H93">
        <v>0</v>
      </c>
      <c r="I93">
        <v>111616.29008206332</v>
      </c>
      <c r="J93">
        <v>0.2</v>
      </c>
      <c r="K93">
        <v>20.980998122109689</v>
      </c>
      <c r="L93">
        <v>1.6410642981167785</v>
      </c>
      <c r="M93">
        <v>19.339933823992911</v>
      </c>
      <c r="N93">
        <v>2025</v>
      </c>
      <c r="P93">
        <v>1142400</v>
      </c>
      <c r="R93" t="s">
        <v>236</v>
      </c>
      <c r="S93">
        <v>73.680065795983097</v>
      </c>
      <c r="T93">
        <v>38.936780679704022</v>
      </c>
      <c r="V93">
        <v>40.978697257481748</v>
      </c>
      <c r="W93">
        <v>0</v>
      </c>
      <c r="X93">
        <v>0</v>
      </c>
      <c r="Z93" t="s">
        <v>228</v>
      </c>
      <c r="AA93" t="s">
        <v>228</v>
      </c>
      <c r="AB93" t="s">
        <v>228</v>
      </c>
      <c r="AF93">
        <v>0</v>
      </c>
      <c r="AG93" t="s">
        <v>517</v>
      </c>
      <c r="AH93">
        <v>0</v>
      </c>
      <c r="AI93" t="s">
        <v>177</v>
      </c>
      <c r="AJ93">
        <v>1088000</v>
      </c>
      <c r="AK93" t="s">
        <v>237</v>
      </c>
      <c r="AN93" t="s">
        <v>187</v>
      </c>
      <c r="AQ93">
        <v>697013.42243000015</v>
      </c>
      <c r="AR93">
        <v>387658.47605577734</v>
      </c>
      <c r="AS93">
        <v>309354.94637422281</v>
      </c>
      <c r="AT93">
        <v>3684.3</v>
      </c>
      <c r="AU93">
        <v>0</v>
      </c>
      <c r="AV93">
        <v>9632.8100000000013</v>
      </c>
      <c r="AW93">
        <v>11161.629008206333</v>
      </c>
      <c r="AX93">
        <v>2155.4809917936673</v>
      </c>
      <c r="AY93">
        <v>0</v>
      </c>
    </row>
    <row r="94" spans="1:51" hidden="1" x14ac:dyDescent="0.35">
      <c r="A94" t="s">
        <v>518</v>
      </c>
      <c r="B94" s="9" t="s">
        <v>614</v>
      </c>
      <c r="C94" t="s">
        <v>227</v>
      </c>
      <c r="D94">
        <v>9800</v>
      </c>
      <c r="E94">
        <v>3920.9371039678485</v>
      </c>
      <c r="G94">
        <v>114888.62837045721</v>
      </c>
      <c r="I94">
        <v>160855.06569716119</v>
      </c>
      <c r="J94">
        <v>0</v>
      </c>
      <c r="K94">
        <v>22.5105009024</v>
      </c>
      <c r="L94">
        <v>2.3650087750879343</v>
      </c>
      <c r="M94">
        <v>20.145492127312068</v>
      </c>
      <c r="N94">
        <v>2036</v>
      </c>
      <c r="P94">
        <v>1</v>
      </c>
      <c r="Q94">
        <v>0</v>
      </c>
      <c r="S94">
        <v>80</v>
      </c>
      <c r="T94">
        <v>40</v>
      </c>
      <c r="V94">
        <v>80</v>
      </c>
      <c r="W94">
        <v>2022</v>
      </c>
      <c r="X94">
        <v>34.56</v>
      </c>
      <c r="Z94">
        <v>345.85590525535343</v>
      </c>
      <c r="AA94">
        <v>50</v>
      </c>
      <c r="AB94" t="e">
        <v>#N/A</v>
      </c>
      <c r="AF94">
        <v>0</v>
      </c>
      <c r="AG94" t="s">
        <v>220</v>
      </c>
      <c r="AH94">
        <v>0</v>
      </c>
      <c r="AJ94">
        <v>0</v>
      </c>
      <c r="AL94">
        <v>0</v>
      </c>
      <c r="AM94">
        <v>1</v>
      </c>
      <c r="AN94" t="s">
        <v>234</v>
      </c>
      <c r="AQ94">
        <v>784000</v>
      </c>
      <c r="AR94">
        <v>784000</v>
      </c>
      <c r="AS94">
        <v>0</v>
      </c>
      <c r="AT94">
        <v>3920.9371039678485</v>
      </c>
      <c r="AU94">
        <v>0</v>
      </c>
      <c r="AV94">
        <v>11488.862837045723</v>
      </c>
      <c r="AW94">
        <v>16085.506569716119</v>
      </c>
      <c r="AX94">
        <v>-675.70662870254819</v>
      </c>
    </row>
    <row r="95" spans="1:51" x14ac:dyDescent="0.35">
      <c r="A95" t="s">
        <v>231</v>
      </c>
      <c r="B95" s="9" t="s">
        <v>614</v>
      </c>
      <c r="C95" t="s">
        <v>232</v>
      </c>
      <c r="D95">
        <v>9882</v>
      </c>
      <c r="E95">
        <v>1842.15</v>
      </c>
      <c r="F95">
        <v>0</v>
      </c>
      <c r="G95">
        <v>120443.8</v>
      </c>
      <c r="H95">
        <v>0</v>
      </c>
      <c r="I95">
        <v>113631.94504103165</v>
      </c>
      <c r="J95">
        <v>0.2</v>
      </c>
      <c r="K95">
        <v>11.553208788412713</v>
      </c>
      <c r="L95">
        <v>1.6706999309446835</v>
      </c>
      <c r="M95">
        <v>9.8825088574680287</v>
      </c>
      <c r="N95">
        <v>2028</v>
      </c>
      <c r="O95" t="s">
        <v>224</v>
      </c>
      <c r="P95">
        <v>931350</v>
      </c>
      <c r="Q95" t="e">
        <v>#N/A</v>
      </c>
      <c r="S95">
        <v>60.223155051103014</v>
      </c>
      <c r="T95">
        <v>20</v>
      </c>
      <c r="U95">
        <v>0</v>
      </c>
      <c r="V95">
        <v>61.328507868852455</v>
      </c>
      <c r="W95">
        <v>0</v>
      </c>
      <c r="X95">
        <v>0</v>
      </c>
      <c r="AA95">
        <v>50</v>
      </c>
      <c r="AB95">
        <v>0</v>
      </c>
      <c r="AF95">
        <v>0</v>
      </c>
      <c r="AG95" t="e">
        <v>#N/A</v>
      </c>
      <c r="AH95">
        <v>0</v>
      </c>
      <c r="AI95" t="s">
        <v>181</v>
      </c>
      <c r="AJ95">
        <v>887000</v>
      </c>
      <c r="AP95" t="e">
        <v>#N/A</v>
      </c>
      <c r="AQ95">
        <v>595125.218215</v>
      </c>
      <c r="AR95">
        <v>606048.31475999998</v>
      </c>
      <c r="AS95">
        <v>-10923.096544999979</v>
      </c>
      <c r="AT95">
        <v>1842.15</v>
      </c>
      <c r="AU95">
        <v>0</v>
      </c>
      <c r="AV95">
        <v>12044.380000000001</v>
      </c>
      <c r="AW95">
        <v>11363.194504103165</v>
      </c>
      <c r="AX95">
        <v>2523.3354958968357</v>
      </c>
      <c r="AY95" t="s">
        <v>465</v>
      </c>
    </row>
    <row r="96" spans="1:51" hidden="1" x14ac:dyDescent="0.35">
      <c r="A96" t="s">
        <v>230</v>
      </c>
      <c r="C96" t="s">
        <v>172</v>
      </c>
      <c r="D96">
        <v>9901</v>
      </c>
      <c r="E96">
        <v>4645.7</v>
      </c>
      <c r="G96">
        <v>156274.5</v>
      </c>
      <c r="H96">
        <v>0</v>
      </c>
      <c r="I96">
        <v>168590.05720984761</v>
      </c>
      <c r="J96">
        <v>0.2</v>
      </c>
      <c r="K96">
        <v>26.967689473343921</v>
      </c>
      <c r="L96">
        <v>2.478734275266925</v>
      </c>
      <c r="M96">
        <v>24.488955198076994</v>
      </c>
      <c r="N96">
        <v>2034</v>
      </c>
      <c r="O96">
        <v>2028</v>
      </c>
      <c r="P96">
        <v>800000</v>
      </c>
      <c r="Q96">
        <v>0</v>
      </c>
      <c r="S96">
        <v>100.76432297444703</v>
      </c>
      <c r="T96">
        <v>46.910308834461162</v>
      </c>
      <c r="V96">
        <v>20.956890345110832</v>
      </c>
      <c r="W96">
        <v>2034</v>
      </c>
      <c r="X96">
        <v>172.8</v>
      </c>
      <c r="Z96">
        <v>172.92795262767672</v>
      </c>
      <c r="AA96">
        <v>61</v>
      </c>
      <c r="AB96">
        <v>30</v>
      </c>
      <c r="AF96">
        <v>28000</v>
      </c>
      <c r="AG96" t="s">
        <v>519</v>
      </c>
      <c r="AH96">
        <v>50000</v>
      </c>
      <c r="AI96" t="s">
        <v>177</v>
      </c>
      <c r="AJ96">
        <v>332673.60000000003</v>
      </c>
      <c r="AM96">
        <v>1100000</v>
      </c>
      <c r="AO96" t="s">
        <v>184</v>
      </c>
      <c r="AP96" t="s">
        <v>177</v>
      </c>
      <c r="AQ96">
        <v>997667.56177000003</v>
      </c>
      <c r="AR96">
        <v>207494.17130694236</v>
      </c>
      <c r="AS96">
        <v>790173.39046305767</v>
      </c>
      <c r="AT96">
        <v>4645.7</v>
      </c>
      <c r="AU96">
        <v>0</v>
      </c>
      <c r="AV96">
        <v>15627.45</v>
      </c>
      <c r="AW96">
        <v>16859.005720984762</v>
      </c>
      <c r="AX96">
        <v>3414.1442790152396</v>
      </c>
      <c r="AY96" t="s">
        <v>484</v>
      </c>
    </row>
    <row r="97" spans="1:51" hidden="1" x14ac:dyDescent="0.35">
      <c r="A97" t="s">
        <v>520</v>
      </c>
      <c r="C97" t="s">
        <v>227</v>
      </c>
      <c r="D97">
        <v>9960</v>
      </c>
      <c r="E97">
        <v>4792.3339999999998</v>
      </c>
      <c r="G97">
        <v>170644</v>
      </c>
      <c r="I97">
        <v>204143.49917936695</v>
      </c>
      <c r="J97">
        <v>0.1</v>
      </c>
      <c r="K97">
        <v>27.957629850448427</v>
      </c>
      <c r="L97">
        <v>3.0014669717975808</v>
      </c>
      <c r="M97">
        <v>24.956162878650847</v>
      </c>
      <c r="N97">
        <v>2030</v>
      </c>
      <c r="O97" t="s">
        <v>228</v>
      </c>
      <c r="P97">
        <v>2184000</v>
      </c>
      <c r="Q97">
        <v>0</v>
      </c>
      <c r="S97">
        <v>106.56186658809236</v>
      </c>
      <c r="T97">
        <v>0</v>
      </c>
      <c r="V97">
        <v>137.85994269076303</v>
      </c>
      <c r="W97">
        <v>2022</v>
      </c>
      <c r="X97">
        <v>540</v>
      </c>
      <c r="Z97">
        <v>153.60000000000002</v>
      </c>
      <c r="AA97">
        <v>50</v>
      </c>
      <c r="AB97">
        <v>0</v>
      </c>
      <c r="AF97">
        <v>0</v>
      </c>
      <c r="AG97" t="s">
        <v>220</v>
      </c>
      <c r="AH97">
        <v>0</v>
      </c>
      <c r="AI97" t="s">
        <v>181</v>
      </c>
      <c r="AJ97">
        <v>2047500</v>
      </c>
      <c r="AM97">
        <v>136500</v>
      </c>
      <c r="AN97" t="s">
        <v>229</v>
      </c>
      <c r="AQ97">
        <v>1061356.1912173999</v>
      </c>
      <c r="AR97">
        <v>1373085.0291999998</v>
      </c>
      <c r="AS97">
        <v>-311728.83798259986</v>
      </c>
      <c r="AT97">
        <v>4792.3339999999998</v>
      </c>
      <c r="AU97">
        <v>0</v>
      </c>
      <c r="AV97">
        <v>17064.400000000001</v>
      </c>
      <c r="AW97">
        <v>20414.349917936695</v>
      </c>
      <c r="AX97">
        <v>1442.384082063305</v>
      </c>
      <c r="AY97" t="s">
        <v>478</v>
      </c>
    </row>
    <row r="98" spans="1:51" hidden="1" x14ac:dyDescent="0.35">
      <c r="A98" t="s">
        <v>222</v>
      </c>
      <c r="C98" t="s">
        <v>223</v>
      </c>
      <c r="D98">
        <v>9963</v>
      </c>
      <c r="E98">
        <v>3986.1526904930279</v>
      </c>
      <c r="F98">
        <v>0</v>
      </c>
      <c r="G98">
        <v>470800.2</v>
      </c>
      <c r="H98">
        <v>0</v>
      </c>
      <c r="I98">
        <v>517531.18113121955</v>
      </c>
      <c r="J98">
        <v>0</v>
      </c>
      <c r="K98">
        <v>28.089686894440614</v>
      </c>
      <c r="L98">
        <v>7.609121785827341</v>
      </c>
      <c r="M98">
        <v>20.480565108613273</v>
      </c>
      <c r="N98">
        <v>2031</v>
      </c>
      <c r="O98" t="s">
        <v>224</v>
      </c>
      <c r="P98">
        <v>314000</v>
      </c>
      <c r="Q98">
        <v>0</v>
      </c>
      <c r="S98">
        <v>201.23359253236976</v>
      </c>
      <c r="T98">
        <v>40</v>
      </c>
      <c r="U98">
        <v>0</v>
      </c>
      <c r="V98">
        <v>157.59930832078692</v>
      </c>
      <c r="W98">
        <v>0</v>
      </c>
      <c r="X98">
        <v>0</v>
      </c>
      <c r="Z98" t="s">
        <v>225</v>
      </c>
      <c r="AA98">
        <v>102</v>
      </c>
      <c r="AB98">
        <v>65.41</v>
      </c>
      <c r="AF98">
        <v>14000</v>
      </c>
      <c r="AG98">
        <v>0</v>
      </c>
      <c r="AH98">
        <v>0</v>
      </c>
      <c r="AI98" t="s">
        <v>226</v>
      </c>
      <c r="AJ98">
        <v>100000</v>
      </c>
      <c r="AL98">
        <v>75000</v>
      </c>
      <c r="AP98" t="e">
        <v>#N/A</v>
      </c>
      <c r="AQ98">
        <v>2004890.2823999999</v>
      </c>
      <c r="AR98">
        <v>1570161.9088000001</v>
      </c>
      <c r="AS98">
        <v>434728.37359999982</v>
      </c>
      <c r="AT98">
        <v>3986.1526904930279</v>
      </c>
      <c r="AU98">
        <v>0</v>
      </c>
      <c r="AV98">
        <v>47080.020000000004</v>
      </c>
      <c r="AW98">
        <v>51753.118113121956</v>
      </c>
      <c r="AX98">
        <v>-686.94542262892355</v>
      </c>
      <c r="AY98" t="e">
        <v>#VALUE!</v>
      </c>
    </row>
    <row r="99" spans="1:51" hidden="1" x14ac:dyDescent="0.35">
      <c r="A99" t="s">
        <v>218</v>
      </c>
      <c r="C99" t="s">
        <v>172</v>
      </c>
      <c r="D99">
        <v>9990</v>
      </c>
      <c r="E99">
        <v>867.5</v>
      </c>
      <c r="G99">
        <v>131267.9</v>
      </c>
      <c r="H99">
        <v>0</v>
      </c>
      <c r="I99">
        <v>141437.88827667056</v>
      </c>
      <c r="J99">
        <v>0</v>
      </c>
      <c r="K99">
        <v>6.5366756872917637</v>
      </c>
      <c r="L99">
        <v>2.0795232369864749</v>
      </c>
      <c r="M99">
        <v>4.4571524503052888</v>
      </c>
      <c r="N99">
        <v>2032</v>
      </c>
      <c r="O99" t="s">
        <v>219</v>
      </c>
      <c r="P99">
        <v>750000</v>
      </c>
      <c r="Q99">
        <v>0</v>
      </c>
      <c r="S99">
        <v>53.515049204204196</v>
      </c>
      <c r="T99">
        <v>8.6816082832832819</v>
      </c>
      <c r="V99">
        <v>28.029942399476717</v>
      </c>
      <c r="W99">
        <v>2034</v>
      </c>
      <c r="X99">
        <v>172.8</v>
      </c>
      <c r="Z99">
        <v>172.92795262767672</v>
      </c>
      <c r="AA99">
        <v>54</v>
      </c>
      <c r="AB99">
        <v>0</v>
      </c>
      <c r="AF99">
        <v>28000</v>
      </c>
      <c r="AG99" t="s">
        <v>219</v>
      </c>
      <c r="AH99">
        <v>0</v>
      </c>
      <c r="AI99" t="s">
        <v>220</v>
      </c>
      <c r="AJ99">
        <v>239760</v>
      </c>
      <c r="AL99">
        <v>0</v>
      </c>
      <c r="AM99">
        <v>1100000</v>
      </c>
      <c r="AO99" t="s">
        <v>221</v>
      </c>
      <c r="AP99" t="s">
        <v>521</v>
      </c>
      <c r="AQ99">
        <v>534615.3415499999</v>
      </c>
      <c r="AR99">
        <v>280019.1245707724</v>
      </c>
      <c r="AS99">
        <v>254596.21697922749</v>
      </c>
      <c r="AT99">
        <v>867.5</v>
      </c>
      <c r="AU99">
        <v>0</v>
      </c>
      <c r="AV99">
        <v>13126.79</v>
      </c>
      <c r="AW99">
        <v>14143.788827667056</v>
      </c>
      <c r="AX99">
        <v>-149.49882766705559</v>
      </c>
      <c r="AY99" t="s">
        <v>484</v>
      </c>
    </row>
    <row r="100" spans="1:51" hidden="1" x14ac:dyDescent="0.35">
      <c r="A100" t="s">
        <v>260</v>
      </c>
      <c r="C100" t="s">
        <v>172</v>
      </c>
      <c r="D100">
        <v>10200</v>
      </c>
      <c r="E100">
        <v>2839.6</v>
      </c>
      <c r="G100">
        <v>102379.5</v>
      </c>
      <c r="H100">
        <v>0</v>
      </c>
      <c r="I100">
        <v>122102.15961313013</v>
      </c>
      <c r="J100">
        <v>0.1</v>
      </c>
      <c r="K100">
        <v>16.584365853040929</v>
      </c>
      <c r="L100">
        <v>1.7952352180559064</v>
      </c>
      <c r="M100">
        <v>14.789130634985023</v>
      </c>
      <c r="N100">
        <v>2033</v>
      </c>
      <c r="O100">
        <v>2035</v>
      </c>
      <c r="P100">
        <v>750000</v>
      </c>
      <c r="Q100">
        <v>0</v>
      </c>
      <c r="S100">
        <v>62.079508584313729</v>
      </c>
      <c r="T100">
        <v>27.832562113725491</v>
      </c>
      <c r="V100">
        <v>51.234272705882347</v>
      </c>
      <c r="W100">
        <v>2034</v>
      </c>
      <c r="X100">
        <v>172.8</v>
      </c>
      <c r="Z100">
        <v>230.57060350356892</v>
      </c>
      <c r="AA100">
        <v>43</v>
      </c>
      <c r="AB100">
        <v>40</v>
      </c>
      <c r="AF100">
        <v>28000</v>
      </c>
      <c r="AG100" t="s">
        <v>522</v>
      </c>
      <c r="AH100">
        <v>50000</v>
      </c>
      <c r="AI100" t="s">
        <v>181</v>
      </c>
      <c r="AJ100">
        <v>244800</v>
      </c>
      <c r="AM100">
        <v>1100000</v>
      </c>
      <c r="AO100" t="s">
        <v>204</v>
      </c>
      <c r="AP100" t="s">
        <v>483</v>
      </c>
      <c r="AQ100">
        <v>633210.98756000004</v>
      </c>
      <c r="AR100">
        <v>522589.58159999992</v>
      </c>
      <c r="AS100">
        <v>110621.40596000012</v>
      </c>
      <c r="AT100">
        <v>2839.6</v>
      </c>
      <c r="AU100">
        <v>0</v>
      </c>
      <c r="AV100">
        <v>10237.950000000001</v>
      </c>
      <c r="AW100">
        <v>12210.215961313013</v>
      </c>
      <c r="AX100">
        <v>867.3340386869877</v>
      </c>
      <c r="AY100" t="s">
        <v>484</v>
      </c>
    </row>
    <row r="101" spans="1:51" hidden="1" x14ac:dyDescent="0.35">
      <c r="A101" t="s">
        <v>392</v>
      </c>
      <c r="C101" t="s">
        <v>227</v>
      </c>
      <c r="D101">
        <v>10218</v>
      </c>
      <c r="E101">
        <v>6033.009</v>
      </c>
      <c r="F101">
        <v>0</v>
      </c>
      <c r="G101">
        <v>26237.584999999999</v>
      </c>
      <c r="H101">
        <v>0</v>
      </c>
      <c r="I101">
        <v>72723.402700762032</v>
      </c>
      <c r="J101">
        <v>0.25</v>
      </c>
      <c r="K101">
        <v>32.422808753190345</v>
      </c>
      <c r="L101">
        <v>1.0692326337136371</v>
      </c>
      <c r="M101">
        <v>31.35357611947671</v>
      </c>
      <c r="N101">
        <v>2031</v>
      </c>
      <c r="O101" t="s">
        <v>228</v>
      </c>
      <c r="P101">
        <v>350000</v>
      </c>
      <c r="S101">
        <v>67.790110697289094</v>
      </c>
      <c r="T101">
        <v>59.02884234536112</v>
      </c>
      <c r="U101">
        <v>0</v>
      </c>
      <c r="V101">
        <v>97.451096943479726</v>
      </c>
      <c r="W101">
        <v>0</v>
      </c>
      <c r="X101">
        <v>0</v>
      </c>
      <c r="Z101">
        <v>1330.2150202128978</v>
      </c>
      <c r="AA101">
        <v>50</v>
      </c>
      <c r="AB101">
        <v>80</v>
      </c>
      <c r="AF101">
        <v>0</v>
      </c>
      <c r="AG101">
        <v>0</v>
      </c>
      <c r="AH101">
        <v>0</v>
      </c>
      <c r="AI101" t="s">
        <v>181</v>
      </c>
      <c r="AJ101">
        <v>95000</v>
      </c>
      <c r="AL101">
        <v>159375</v>
      </c>
      <c r="AM101">
        <v>0</v>
      </c>
      <c r="AN101" t="s">
        <v>229</v>
      </c>
      <c r="AQ101">
        <v>692679.35110490001</v>
      </c>
      <c r="AR101">
        <v>995755.30856847588</v>
      </c>
      <c r="AS101">
        <v>-303075.95746357588</v>
      </c>
      <c r="AT101">
        <v>6033.009</v>
      </c>
      <c r="AU101">
        <v>0</v>
      </c>
      <c r="AV101">
        <v>2623.7584999999999</v>
      </c>
      <c r="AW101">
        <v>7272.3402700762035</v>
      </c>
      <c r="AX101">
        <v>1384.4272299237964</v>
      </c>
      <c r="AY101" t="s">
        <v>469</v>
      </c>
    </row>
    <row r="102" spans="1:51" hidden="1" x14ac:dyDescent="0.35">
      <c r="A102" t="s">
        <v>249</v>
      </c>
      <c r="C102" t="s">
        <v>172</v>
      </c>
      <c r="D102">
        <v>10279</v>
      </c>
      <c r="E102">
        <v>4159.3</v>
      </c>
      <c r="G102">
        <v>129465.60000000001</v>
      </c>
      <c r="H102">
        <v>0</v>
      </c>
      <c r="I102">
        <v>160403.79967174679</v>
      </c>
      <c r="J102">
        <v>0.1</v>
      </c>
      <c r="K102">
        <v>23.990598980425911</v>
      </c>
      <c r="L102">
        <v>2.3583739320671153</v>
      </c>
      <c r="M102">
        <v>21.632225048358798</v>
      </c>
      <c r="N102">
        <v>2029</v>
      </c>
      <c r="O102">
        <v>2036</v>
      </c>
      <c r="P102">
        <v>600000</v>
      </c>
      <c r="Q102">
        <v>0</v>
      </c>
      <c r="S102">
        <v>83.429051457340208</v>
      </c>
      <c r="T102">
        <v>40.454382014787434</v>
      </c>
      <c r="V102">
        <v>16.247435813003257</v>
      </c>
      <c r="W102">
        <v>2024</v>
      </c>
      <c r="X102">
        <v>345.6</v>
      </c>
      <c r="Z102">
        <v>115.28530175178446</v>
      </c>
      <c r="AA102">
        <v>43</v>
      </c>
      <c r="AB102">
        <v>55</v>
      </c>
      <c r="AF102">
        <v>28000</v>
      </c>
      <c r="AG102" t="s">
        <v>512</v>
      </c>
      <c r="AH102">
        <v>50000</v>
      </c>
      <c r="AI102" t="s">
        <v>181</v>
      </c>
      <c r="AJ102">
        <v>246696</v>
      </c>
      <c r="AM102">
        <v>1400000</v>
      </c>
      <c r="AO102" t="s">
        <v>204</v>
      </c>
      <c r="AP102" t="s">
        <v>483</v>
      </c>
      <c r="AQ102">
        <v>857567.21993000002</v>
      </c>
      <c r="AR102">
        <v>167007.39272186047</v>
      </c>
      <c r="AS102">
        <v>690559.82720813958</v>
      </c>
      <c r="AT102">
        <v>4159.3</v>
      </c>
      <c r="AU102">
        <v>0</v>
      </c>
      <c r="AV102">
        <v>12946.560000000001</v>
      </c>
      <c r="AW102">
        <v>16040.37996717468</v>
      </c>
      <c r="AX102">
        <v>1065.4800328253204</v>
      </c>
      <c r="AY102" t="s">
        <v>470</v>
      </c>
    </row>
    <row r="103" spans="1:51" hidden="1" x14ac:dyDescent="0.35">
      <c r="A103" t="s">
        <v>270</v>
      </c>
      <c r="C103" t="s">
        <v>232</v>
      </c>
      <c r="D103">
        <v>10800</v>
      </c>
      <c r="E103">
        <v>3377.9</v>
      </c>
      <c r="G103">
        <v>150143.79999999999</v>
      </c>
      <c r="H103">
        <v>0</v>
      </c>
      <c r="I103">
        <v>151795.22757327079</v>
      </c>
      <c r="J103">
        <v>0.2</v>
      </c>
      <c r="K103">
        <v>20.145162156258241</v>
      </c>
      <c r="L103">
        <v>2.2318044114515629</v>
      </c>
      <c r="M103">
        <v>17.913357744806678</v>
      </c>
      <c r="N103">
        <v>2026</v>
      </c>
      <c r="P103">
        <v>1216900</v>
      </c>
      <c r="S103">
        <v>78.703695721296285</v>
      </c>
      <c r="T103">
        <v>31.269376684259264</v>
      </c>
      <c r="V103">
        <v>36.731509433333329</v>
      </c>
      <c r="W103">
        <v>0</v>
      </c>
      <c r="X103">
        <v>0</v>
      </c>
      <c r="Z103" t="s">
        <v>228</v>
      </c>
      <c r="AA103" t="s">
        <v>228</v>
      </c>
      <c r="AB103" t="s">
        <v>228</v>
      </c>
      <c r="AF103">
        <v>0</v>
      </c>
      <c r="AG103" t="s">
        <v>523</v>
      </c>
      <c r="AH103">
        <v>25000</v>
      </c>
      <c r="AI103" t="s">
        <v>177</v>
      </c>
      <c r="AJ103">
        <v>1128000</v>
      </c>
      <c r="AN103" t="s">
        <v>187</v>
      </c>
      <c r="AQ103">
        <v>849999.9137899999</v>
      </c>
      <c r="AR103">
        <v>396700.30187999993</v>
      </c>
      <c r="AS103">
        <v>453299.61190999998</v>
      </c>
      <c r="AT103">
        <v>3377.9</v>
      </c>
      <c r="AU103">
        <v>0</v>
      </c>
      <c r="AV103">
        <v>15014.38</v>
      </c>
      <c r="AW103">
        <v>15179.52275732708</v>
      </c>
      <c r="AX103">
        <v>3212.7572426729184</v>
      </c>
      <c r="AY103">
        <v>0</v>
      </c>
    </row>
    <row r="104" spans="1:51" hidden="1" x14ac:dyDescent="0.35">
      <c r="A104" t="s">
        <v>194</v>
      </c>
      <c r="C104" t="s">
        <v>172</v>
      </c>
      <c r="D104">
        <v>10868</v>
      </c>
      <c r="E104">
        <v>9026.1</v>
      </c>
      <c r="G104">
        <v>231538.6</v>
      </c>
      <c r="H104">
        <v>0</v>
      </c>
      <c r="I104">
        <v>236148.1806096131</v>
      </c>
      <c r="J104">
        <v>0.3</v>
      </c>
      <c r="K104">
        <v>51.335484125299082</v>
      </c>
      <c r="L104">
        <v>3.4720231964235975</v>
      </c>
      <c r="M104">
        <v>47.863460928875483</v>
      </c>
      <c r="N104">
        <v>2031</v>
      </c>
      <c r="O104" t="s">
        <v>268</v>
      </c>
      <c r="P104">
        <v>3900525.2</v>
      </c>
      <c r="Q104" t="s">
        <v>524</v>
      </c>
      <c r="S104">
        <v>155.72359030272361</v>
      </c>
      <c r="T104">
        <v>83.032230052447559</v>
      </c>
      <c r="V104" t="e">
        <v>#REF!</v>
      </c>
      <c r="W104">
        <v>2028</v>
      </c>
      <c r="X104">
        <v>17.28</v>
      </c>
      <c r="Z104">
        <v>172.92795262767672</v>
      </c>
      <c r="AA104">
        <v>94</v>
      </c>
      <c r="AB104">
        <v>20</v>
      </c>
      <c r="AF104">
        <v>0</v>
      </c>
      <c r="AG104" t="s">
        <v>525</v>
      </c>
      <c r="AH104">
        <v>0</v>
      </c>
      <c r="AI104" t="s">
        <v>174</v>
      </c>
      <c r="AJ104">
        <v>1975259</v>
      </c>
      <c r="AK104" t="s">
        <v>195</v>
      </c>
      <c r="AM104">
        <v>345059</v>
      </c>
      <c r="AP104">
        <v>0</v>
      </c>
      <c r="AQ104">
        <v>1692403.9794100001</v>
      </c>
      <c r="AR104" t="e">
        <v>#REF!</v>
      </c>
      <c r="AS104" t="e">
        <v>#REF!</v>
      </c>
      <c r="AT104">
        <v>9026.1</v>
      </c>
      <c r="AU104">
        <v>0</v>
      </c>
      <c r="AV104">
        <v>23153.86</v>
      </c>
      <c r="AW104">
        <v>23614.818060961312</v>
      </c>
      <c r="AX104">
        <v>8565.1419390386873</v>
      </c>
      <c r="AY104" t="s">
        <v>469</v>
      </c>
    </row>
    <row r="105" spans="1:51" hidden="1" x14ac:dyDescent="0.35">
      <c r="A105" t="s">
        <v>384</v>
      </c>
      <c r="C105" t="s">
        <v>223</v>
      </c>
      <c r="D105">
        <v>10890</v>
      </c>
      <c r="E105">
        <v>4357.041332878558</v>
      </c>
      <c r="F105">
        <v>0</v>
      </c>
      <c r="G105">
        <v>127667.0574443142</v>
      </c>
      <c r="H105">
        <v>0</v>
      </c>
      <c r="I105">
        <v>178746.08831041688</v>
      </c>
      <c r="J105">
        <v>0</v>
      </c>
      <c r="K105">
        <v>25.014219880319995</v>
      </c>
      <c r="L105">
        <v>2.6280556694599597</v>
      </c>
      <c r="M105">
        <v>22.386164210860034</v>
      </c>
      <c r="N105">
        <v>2028</v>
      </c>
      <c r="O105" t="s">
        <v>224</v>
      </c>
      <c r="P105">
        <v>46500</v>
      </c>
      <c r="Q105">
        <v>0</v>
      </c>
      <c r="S105">
        <v>80</v>
      </c>
      <c r="T105">
        <v>40</v>
      </c>
      <c r="U105">
        <v>0</v>
      </c>
      <c r="V105">
        <v>1.2224058769513315</v>
      </c>
      <c r="W105" t="e">
        <v>#N/A</v>
      </c>
      <c r="X105" t="e">
        <v>#N/A</v>
      </c>
      <c r="Z105">
        <v>576.4265087589223</v>
      </c>
      <c r="AA105">
        <v>50</v>
      </c>
      <c r="AB105">
        <v>193</v>
      </c>
      <c r="AF105">
        <v>14000</v>
      </c>
      <c r="AG105">
        <v>0</v>
      </c>
      <c r="AH105">
        <v>25000</v>
      </c>
      <c r="AI105" t="s">
        <v>233</v>
      </c>
      <c r="AP105" t="e">
        <v>#N/A</v>
      </c>
      <c r="AQ105">
        <v>871200</v>
      </c>
      <c r="AR105">
        <v>13312</v>
      </c>
      <c r="AS105">
        <v>857888</v>
      </c>
      <c r="AT105">
        <v>4357.041332878558</v>
      </c>
      <c r="AU105">
        <v>0</v>
      </c>
      <c r="AV105">
        <v>12766.70574443142</v>
      </c>
      <c r="AW105">
        <v>17874.608831041689</v>
      </c>
      <c r="AX105">
        <v>-750.86175373171136</v>
      </c>
      <c r="AY105" t="s">
        <v>469</v>
      </c>
    </row>
    <row r="106" spans="1:51" hidden="1" x14ac:dyDescent="0.35">
      <c r="A106" t="s">
        <v>344</v>
      </c>
      <c r="C106" t="s">
        <v>223</v>
      </c>
      <c r="D106">
        <v>11003</v>
      </c>
      <c r="E106">
        <v>3707.4</v>
      </c>
      <c r="F106">
        <v>0</v>
      </c>
      <c r="G106">
        <v>66811.5</v>
      </c>
      <c r="H106">
        <v>0</v>
      </c>
      <c r="I106">
        <v>88219.657209847588</v>
      </c>
      <c r="J106">
        <v>0.2</v>
      </c>
      <c r="K106">
        <v>20.669691254665214</v>
      </c>
      <c r="L106">
        <v>1.2970698966319296</v>
      </c>
      <c r="M106">
        <v>19.372621358033285</v>
      </c>
      <c r="N106">
        <v>2034</v>
      </c>
      <c r="O106" t="s">
        <v>224</v>
      </c>
      <c r="P106">
        <v>746000</v>
      </c>
      <c r="Q106">
        <v>0</v>
      </c>
      <c r="S106">
        <v>54.404456161046994</v>
      </c>
      <c r="T106">
        <v>33.686393996182858</v>
      </c>
      <c r="V106">
        <v>65.18085811602856</v>
      </c>
      <c r="W106">
        <v>2024</v>
      </c>
      <c r="X106">
        <v>25.919999999999998</v>
      </c>
      <c r="Z106">
        <v>288.21325437946115</v>
      </c>
      <c r="AA106">
        <v>39</v>
      </c>
      <c r="AB106">
        <v>70</v>
      </c>
      <c r="AF106">
        <v>14000</v>
      </c>
      <c r="AG106" t="s">
        <v>471</v>
      </c>
      <c r="AH106">
        <v>0</v>
      </c>
      <c r="AI106" t="s">
        <v>174</v>
      </c>
      <c r="AJ106">
        <v>340000</v>
      </c>
      <c r="AL106">
        <v>75000</v>
      </c>
      <c r="AP106" t="s">
        <v>177</v>
      </c>
      <c r="AQ106">
        <v>598612.23114000005</v>
      </c>
      <c r="AR106">
        <v>717184.98185066227</v>
      </c>
      <c r="AS106">
        <v>-118572.75071066222</v>
      </c>
      <c r="AT106">
        <v>3707.4</v>
      </c>
      <c r="AU106">
        <v>0</v>
      </c>
      <c r="AV106">
        <v>6681.1500000000005</v>
      </c>
      <c r="AW106">
        <v>8821.9657209847592</v>
      </c>
      <c r="AX106">
        <v>1566.5842790152419</v>
      </c>
      <c r="AY106" t="s">
        <v>469</v>
      </c>
    </row>
    <row r="107" spans="1:51" hidden="1" x14ac:dyDescent="0.35">
      <c r="A107" t="s">
        <v>315</v>
      </c>
      <c r="C107" t="s">
        <v>223</v>
      </c>
      <c r="D107">
        <v>11179</v>
      </c>
      <c r="E107">
        <v>33880.5</v>
      </c>
      <c r="F107">
        <v>0</v>
      </c>
      <c r="G107">
        <v>77235.899999999994</v>
      </c>
      <c r="H107">
        <v>0</v>
      </c>
      <c r="I107">
        <v>474428.1626025791</v>
      </c>
      <c r="J107">
        <v>0</v>
      </c>
      <c r="K107">
        <v>181.05095579626297</v>
      </c>
      <c r="L107">
        <v>6.9753896953196586</v>
      </c>
      <c r="M107">
        <v>174.07556610094332</v>
      </c>
      <c r="N107">
        <v>2033</v>
      </c>
      <c r="O107" t="s">
        <v>224</v>
      </c>
      <c r="P107">
        <v>1522500</v>
      </c>
      <c r="Q107">
        <v>0</v>
      </c>
      <c r="S107">
        <v>326.57385695053227</v>
      </c>
      <c r="T107">
        <v>303.00029126487163</v>
      </c>
      <c r="V107">
        <v>37.267427193845606</v>
      </c>
      <c r="W107">
        <v>0</v>
      </c>
      <c r="X107">
        <v>0</v>
      </c>
      <c r="Z107">
        <v>48</v>
      </c>
      <c r="AA107">
        <v>19</v>
      </c>
      <c r="AB107">
        <v>540</v>
      </c>
      <c r="AF107">
        <v>0</v>
      </c>
      <c r="AG107">
        <v>0</v>
      </c>
      <c r="AH107">
        <v>25000</v>
      </c>
      <c r="AI107" t="s">
        <v>226</v>
      </c>
      <c r="AJ107">
        <v>650000</v>
      </c>
      <c r="AL107">
        <v>200000</v>
      </c>
      <c r="AP107" t="s">
        <v>181</v>
      </c>
      <c r="AQ107">
        <v>3650769.1468500001</v>
      </c>
      <c r="AR107">
        <v>416612.56860000006</v>
      </c>
      <c r="AS107">
        <v>3234156.5782500003</v>
      </c>
      <c r="AT107">
        <v>33880.5</v>
      </c>
      <c r="AU107">
        <v>0</v>
      </c>
      <c r="AV107">
        <v>7723.59</v>
      </c>
      <c r="AW107">
        <v>47442.81626025791</v>
      </c>
      <c r="AX107">
        <v>-5838.726260257914</v>
      </c>
      <c r="AY107" t="s">
        <v>470</v>
      </c>
    </row>
    <row r="108" spans="1:51" hidden="1" x14ac:dyDescent="0.35">
      <c r="A108" t="s">
        <v>393</v>
      </c>
      <c r="C108" t="s">
        <v>227</v>
      </c>
      <c r="D108">
        <v>11449</v>
      </c>
      <c r="E108">
        <v>-35013.158667121446</v>
      </c>
      <c r="F108">
        <v>0</v>
      </c>
      <c r="G108">
        <v>31008.055</v>
      </c>
      <c r="H108">
        <v>0</v>
      </c>
      <c r="I108">
        <v>-284597.05371296703</v>
      </c>
      <c r="J108">
        <v>0.25</v>
      </c>
      <c r="K108">
        <v>-185.47422326298374</v>
      </c>
      <c r="L108">
        <v>-4.1843539491788455</v>
      </c>
      <c r="M108">
        <v>-181.2898693138049</v>
      </c>
      <c r="N108">
        <v>2034</v>
      </c>
      <c r="O108" t="s">
        <v>228</v>
      </c>
      <c r="P108">
        <v>275000</v>
      </c>
      <c r="S108">
        <v>-296.50446052581015</v>
      </c>
      <c r="T108">
        <v>-305.74539717180545</v>
      </c>
      <c r="U108">
        <v>0</v>
      </c>
      <c r="V108">
        <v>47.291651644685125</v>
      </c>
      <c r="W108">
        <v>0</v>
      </c>
      <c r="X108">
        <v>0</v>
      </c>
      <c r="Z108">
        <v>1330.2150202128978</v>
      </c>
      <c r="AA108">
        <v>50</v>
      </c>
      <c r="AB108">
        <v>90</v>
      </c>
      <c r="AF108">
        <v>0</v>
      </c>
      <c r="AG108">
        <v>0</v>
      </c>
      <c r="AH108">
        <v>0</v>
      </c>
      <c r="AI108" t="s">
        <v>181</v>
      </c>
      <c r="AJ108">
        <v>60000</v>
      </c>
      <c r="AL108">
        <v>134375</v>
      </c>
      <c r="AM108">
        <v>0</v>
      </c>
      <c r="AN108" t="s">
        <v>229</v>
      </c>
      <c r="AQ108">
        <v>-3394679.5685600005</v>
      </c>
      <c r="AR108">
        <v>541442.11968</v>
      </c>
      <c r="AS108">
        <v>-3936121.6882400005</v>
      </c>
      <c r="AT108">
        <v>-35013.158667121446</v>
      </c>
      <c r="AU108">
        <v>0</v>
      </c>
      <c r="AV108">
        <v>3100.8055000000004</v>
      </c>
      <c r="AW108">
        <v>-28459.705371296703</v>
      </c>
      <c r="AX108">
        <v>-3452.6477958247415</v>
      </c>
      <c r="AY108" t="s">
        <v>469</v>
      </c>
    </row>
    <row r="109" spans="1:51" hidden="1" x14ac:dyDescent="0.35">
      <c r="A109" t="s">
        <v>457</v>
      </c>
      <c r="C109" t="s">
        <v>232</v>
      </c>
      <c r="D109">
        <v>11615</v>
      </c>
      <c r="E109">
        <v>1782.3</v>
      </c>
      <c r="G109">
        <v>241133.1</v>
      </c>
      <c r="H109">
        <v>0</v>
      </c>
      <c r="I109">
        <v>262027.59003517</v>
      </c>
      <c r="J109">
        <v>0</v>
      </c>
      <c r="K109">
        <v>13.00985008404383</v>
      </c>
      <c r="L109">
        <v>3.8525211939238124</v>
      </c>
      <c r="M109">
        <v>9.1573288901200165</v>
      </c>
      <c r="N109">
        <v>2022</v>
      </c>
      <c r="P109">
        <v>0</v>
      </c>
      <c r="S109">
        <v>86.17593975290572</v>
      </c>
      <c r="T109">
        <v>15.341145331898407</v>
      </c>
      <c r="V109">
        <v>0</v>
      </c>
      <c r="W109">
        <v>0</v>
      </c>
      <c r="X109">
        <v>0</v>
      </c>
      <c r="Z109" t="s">
        <v>225</v>
      </c>
      <c r="AB109" t="e">
        <v>#N/A</v>
      </c>
      <c r="AF109">
        <v>0</v>
      </c>
      <c r="AG109" t="s">
        <v>526</v>
      </c>
      <c r="AH109">
        <v>0</v>
      </c>
      <c r="AI109" t="s">
        <v>177</v>
      </c>
      <c r="AJ109">
        <v>0</v>
      </c>
      <c r="AQ109">
        <v>1000933.5402299999</v>
      </c>
      <c r="AR109">
        <v>0</v>
      </c>
      <c r="AS109">
        <v>1000933.5402299999</v>
      </c>
      <c r="AT109">
        <v>1782.3</v>
      </c>
      <c r="AU109">
        <v>0</v>
      </c>
      <c r="AV109">
        <v>24113.31</v>
      </c>
      <c r="AW109">
        <v>26202.759003517</v>
      </c>
      <c r="AX109">
        <v>307.14900351699907</v>
      </c>
    </row>
    <row r="110" spans="1:51" hidden="1" x14ac:dyDescent="0.35">
      <c r="A110" t="s">
        <v>251</v>
      </c>
      <c r="C110" t="s">
        <v>172</v>
      </c>
      <c r="D110">
        <v>11685</v>
      </c>
      <c r="E110">
        <v>4669.8999999999996</v>
      </c>
      <c r="G110">
        <v>153062.70000000001</v>
      </c>
      <c r="H110">
        <v>0</v>
      </c>
      <c r="I110">
        <v>207809.47608440797</v>
      </c>
      <c r="J110">
        <v>0</v>
      </c>
      <c r="K110">
        <v>27.048976328765331</v>
      </c>
      <c r="L110">
        <v>3.0553668444072173</v>
      </c>
      <c r="M110">
        <v>23.993609484358114</v>
      </c>
      <c r="N110">
        <v>2026</v>
      </c>
      <c r="O110">
        <v>2036</v>
      </c>
      <c r="P110">
        <v>1500000</v>
      </c>
      <c r="Q110">
        <v>0</v>
      </c>
      <c r="S110">
        <v>84.649407085151907</v>
      </c>
      <c r="T110">
        <v>39.955360666666664</v>
      </c>
      <c r="V110">
        <v>17.972986172706829</v>
      </c>
      <c r="W110">
        <v>2034</v>
      </c>
      <c r="X110">
        <v>345.6</v>
      </c>
      <c r="Z110">
        <v>230.57060350356892</v>
      </c>
      <c r="AA110">
        <v>39</v>
      </c>
      <c r="AB110">
        <v>50</v>
      </c>
      <c r="AF110">
        <v>28000</v>
      </c>
      <c r="AG110" t="s">
        <v>527</v>
      </c>
      <c r="AH110">
        <v>50000</v>
      </c>
      <c r="AI110" t="s">
        <v>181</v>
      </c>
      <c r="AJ110">
        <v>280440</v>
      </c>
      <c r="AM110">
        <v>1100000</v>
      </c>
      <c r="AO110" t="s">
        <v>204</v>
      </c>
      <c r="AP110" t="s">
        <v>483</v>
      </c>
      <c r="AQ110">
        <v>989128.32179000007</v>
      </c>
      <c r="AR110">
        <v>210014.3434280793</v>
      </c>
      <c r="AS110">
        <v>779113.9783619208</v>
      </c>
      <c r="AT110">
        <v>4669.8999999999996</v>
      </c>
      <c r="AU110">
        <v>0</v>
      </c>
      <c r="AV110">
        <v>15306.270000000002</v>
      </c>
      <c r="AW110">
        <v>20780.947608440798</v>
      </c>
      <c r="AX110">
        <v>-804.77760844079603</v>
      </c>
      <c r="AY110" t="s">
        <v>470</v>
      </c>
    </row>
    <row r="111" spans="1:51" hidden="1" x14ac:dyDescent="0.35">
      <c r="A111" t="s">
        <v>299</v>
      </c>
      <c r="C111" t="s">
        <v>262</v>
      </c>
      <c r="D111">
        <v>11802</v>
      </c>
      <c r="E111">
        <v>17032.8</v>
      </c>
      <c r="G111">
        <v>269453.8</v>
      </c>
      <c r="H111">
        <v>0</v>
      </c>
      <c r="I111">
        <v>469134.92543962481</v>
      </c>
      <c r="K111">
        <v>94.410862930030234</v>
      </c>
      <c r="L111">
        <v>6.8975646527277341</v>
      </c>
      <c r="M111">
        <v>87.513298277302496</v>
      </c>
      <c r="N111">
        <v>2029</v>
      </c>
      <c r="O111" t="s">
        <v>224</v>
      </c>
      <c r="P111">
        <v>1533334</v>
      </c>
      <c r="Q111">
        <v>0</v>
      </c>
      <c r="S111">
        <v>222.18685660735468</v>
      </c>
      <c r="T111">
        <v>144.28680868327402</v>
      </c>
      <c r="V111">
        <v>40.277958470712029</v>
      </c>
      <c r="W111">
        <v>0</v>
      </c>
      <c r="X111">
        <v>0</v>
      </c>
      <c r="Z111" t="s">
        <v>225</v>
      </c>
      <c r="AA111">
        <v>50</v>
      </c>
      <c r="AB111">
        <v>65.41</v>
      </c>
      <c r="AF111">
        <v>0</v>
      </c>
      <c r="AH111">
        <v>25000</v>
      </c>
      <c r="AI111" t="s">
        <v>174</v>
      </c>
      <c r="AJ111">
        <v>767130</v>
      </c>
      <c r="AM111">
        <v>120000</v>
      </c>
      <c r="AQ111">
        <v>2622249.28168</v>
      </c>
      <c r="AR111">
        <v>475360.46587134339</v>
      </c>
      <c r="AS111">
        <v>2146888.8158086566</v>
      </c>
      <c r="AT111">
        <v>17032.8</v>
      </c>
      <c r="AU111">
        <v>0</v>
      </c>
      <c r="AV111">
        <v>26945.38</v>
      </c>
      <c r="AW111">
        <v>46913.492543962486</v>
      </c>
      <c r="AX111">
        <v>-2935.3125439624855</v>
      </c>
      <c r="AY111" t="e">
        <v>#VALUE!</v>
      </c>
    </row>
    <row r="112" spans="1:51" hidden="1" x14ac:dyDescent="0.35">
      <c r="A112" t="s">
        <v>302</v>
      </c>
      <c r="C112" t="s">
        <v>262</v>
      </c>
      <c r="D112">
        <v>12044</v>
      </c>
      <c r="E112">
        <v>44411</v>
      </c>
      <c r="G112">
        <v>377319.7</v>
      </c>
      <c r="H112">
        <v>0</v>
      </c>
      <c r="I112">
        <v>897964.48311840557</v>
      </c>
      <c r="K112">
        <v>241.38304613801262</v>
      </c>
      <c r="L112">
        <v>13.202530321864833</v>
      </c>
      <c r="M112">
        <v>228.18051581614779</v>
      </c>
      <c r="N112">
        <v>2031</v>
      </c>
      <c r="O112" t="s">
        <v>224</v>
      </c>
      <c r="P112">
        <v>1502234</v>
      </c>
      <c r="Q112">
        <v>0</v>
      </c>
      <c r="S112">
        <v>475.5441210146131</v>
      </c>
      <c r="T112">
        <v>368.65149261873137</v>
      </c>
      <c r="V112">
        <v>31.562697329790765</v>
      </c>
      <c r="W112">
        <v>0</v>
      </c>
      <c r="X112">
        <v>0</v>
      </c>
      <c r="Z112" t="s">
        <v>225</v>
      </c>
      <c r="AA112" t="s">
        <v>233</v>
      </c>
      <c r="AB112">
        <v>65.41</v>
      </c>
      <c r="AF112">
        <v>1400</v>
      </c>
      <c r="AI112" t="s">
        <v>233</v>
      </c>
      <c r="AJ112">
        <v>767130</v>
      </c>
      <c r="AM112">
        <v>120000</v>
      </c>
      <c r="AQ112">
        <v>5727453.3935000002</v>
      </c>
      <c r="AR112">
        <v>380141.12663999997</v>
      </c>
      <c r="AS112">
        <v>5347312.2668599999</v>
      </c>
      <c r="AT112">
        <v>44411</v>
      </c>
      <c r="AU112">
        <v>0</v>
      </c>
      <c r="AV112">
        <v>37731.97</v>
      </c>
      <c r="AW112">
        <v>89796.448311840562</v>
      </c>
      <c r="AX112">
        <v>-7653.4783118405612</v>
      </c>
      <c r="AY112" t="e">
        <v>#VALUE!</v>
      </c>
    </row>
    <row r="113" spans="1:51" hidden="1" x14ac:dyDescent="0.35">
      <c r="A113" t="s">
        <v>411</v>
      </c>
      <c r="C113" t="s">
        <v>223</v>
      </c>
      <c r="D113">
        <v>12294</v>
      </c>
      <c r="E113">
        <v>1980.2</v>
      </c>
      <c r="F113">
        <v>0</v>
      </c>
      <c r="G113">
        <v>158737.20000000001</v>
      </c>
      <c r="H113">
        <v>0</v>
      </c>
      <c r="I113">
        <v>181951.73692848769</v>
      </c>
      <c r="J113">
        <v>0</v>
      </c>
      <c r="K113">
        <v>12.849312279912322</v>
      </c>
      <c r="L113">
        <v>2.6751874590540736</v>
      </c>
      <c r="M113">
        <v>10.174124820858248</v>
      </c>
      <c r="N113">
        <v>2023</v>
      </c>
      <c r="O113" t="s">
        <v>224</v>
      </c>
      <c r="P113">
        <v>32500</v>
      </c>
      <c r="Q113">
        <v>0</v>
      </c>
      <c r="S113">
        <v>60.158125884171142</v>
      </c>
      <c r="T113">
        <v>16.103194503009597</v>
      </c>
      <c r="V113">
        <v>358.99366627623232</v>
      </c>
      <c r="W113">
        <v>2024</v>
      </c>
      <c r="X113">
        <v>1987.2</v>
      </c>
      <c r="Y113" t="s">
        <v>180</v>
      </c>
      <c r="Z113">
        <v>115.28530175178446</v>
      </c>
      <c r="AA113">
        <v>60</v>
      </c>
      <c r="AB113">
        <v>40</v>
      </c>
      <c r="AF113">
        <v>0</v>
      </c>
      <c r="AG113">
        <v>0</v>
      </c>
      <c r="AH113">
        <v>25000</v>
      </c>
      <c r="AP113" t="s">
        <v>174</v>
      </c>
      <c r="AQ113">
        <v>739583.99962000002</v>
      </c>
      <c r="AR113">
        <v>4413468.1332</v>
      </c>
      <c r="AS113">
        <v>-3673884.1335800001</v>
      </c>
      <c r="AT113">
        <v>1980.2</v>
      </c>
      <c r="AU113">
        <v>0</v>
      </c>
      <c r="AV113">
        <v>15873.720000000001</v>
      </c>
      <c r="AW113">
        <v>18195.17369284877</v>
      </c>
      <c r="AX113">
        <v>-341.25369284876797</v>
      </c>
      <c r="AY113" t="s">
        <v>469</v>
      </c>
    </row>
    <row r="114" spans="1:51" hidden="1" x14ac:dyDescent="0.35">
      <c r="A114" t="s">
        <v>342</v>
      </c>
      <c r="C114" t="s">
        <v>223</v>
      </c>
      <c r="D114">
        <v>12382</v>
      </c>
      <c r="E114">
        <v>4953.9840021765203</v>
      </c>
      <c r="F114">
        <v>0</v>
      </c>
      <c r="G114">
        <v>145158.26494724501</v>
      </c>
      <c r="H114">
        <v>0</v>
      </c>
      <c r="I114">
        <v>203235.45137369895</v>
      </c>
      <c r="J114">
        <v>0</v>
      </c>
      <c r="K114">
        <v>28.441328793216002</v>
      </c>
      <c r="L114">
        <v>2.9881161890957957</v>
      </c>
      <c r="M114">
        <v>25.453212604120207</v>
      </c>
      <c r="N114">
        <v>2027</v>
      </c>
      <c r="O114" t="s">
        <v>224</v>
      </c>
      <c r="P114">
        <v>2084932.8</v>
      </c>
      <c r="Q114">
        <v>2026</v>
      </c>
      <c r="S114">
        <v>80</v>
      </c>
      <c r="T114">
        <v>40</v>
      </c>
      <c r="U114">
        <v>0</v>
      </c>
      <c r="V114">
        <v>202.77084419318362</v>
      </c>
      <c r="W114" t="e">
        <v>#N/A</v>
      </c>
      <c r="X114" t="e">
        <v>#N/A</v>
      </c>
      <c r="Z114">
        <v>48</v>
      </c>
      <c r="AA114">
        <v>50</v>
      </c>
      <c r="AB114">
        <v>75.41</v>
      </c>
      <c r="AF114">
        <v>14000</v>
      </c>
      <c r="AG114">
        <v>0</v>
      </c>
      <c r="AH114">
        <v>25000</v>
      </c>
      <c r="AI114" t="s">
        <v>233</v>
      </c>
      <c r="AJ114">
        <v>965796</v>
      </c>
      <c r="AM114">
        <v>300000</v>
      </c>
      <c r="AP114" t="e">
        <v>#N/A</v>
      </c>
      <c r="AQ114">
        <v>990560</v>
      </c>
      <c r="AR114">
        <v>2510708.5927999998</v>
      </c>
      <c r="AS114">
        <v>-1520148.5927999998</v>
      </c>
      <c r="AT114">
        <v>4953.9840021765203</v>
      </c>
      <c r="AU114">
        <v>0</v>
      </c>
      <c r="AV114">
        <v>14515.826494724502</v>
      </c>
      <c r="AW114">
        <v>20323.545137369896</v>
      </c>
      <c r="AX114">
        <v>-853.73464046887239</v>
      </c>
      <c r="AY114" t="s">
        <v>465</v>
      </c>
    </row>
    <row r="115" spans="1:51" hidden="1" x14ac:dyDescent="0.35">
      <c r="A115" t="s">
        <v>272</v>
      </c>
      <c r="C115" t="s">
        <v>232</v>
      </c>
      <c r="D115">
        <v>12420</v>
      </c>
      <c r="E115">
        <v>4213.7</v>
      </c>
      <c r="G115">
        <v>80288</v>
      </c>
      <c r="H115">
        <v>0</v>
      </c>
      <c r="I115">
        <v>103749.27456037514</v>
      </c>
      <c r="J115">
        <v>0.2</v>
      </c>
      <c r="K115">
        <v>23.556433883472021</v>
      </c>
      <c r="L115">
        <v>1.5253976844362751</v>
      </c>
      <c r="M115">
        <v>22.031036199035746</v>
      </c>
      <c r="N115">
        <v>2025</v>
      </c>
      <c r="P115">
        <v>1189650</v>
      </c>
      <c r="S115">
        <v>55.975197147342996</v>
      </c>
      <c r="T115">
        <v>33.918622590177129</v>
      </c>
      <c r="V115">
        <v>31.880558840579706</v>
      </c>
      <c r="W115">
        <v>0</v>
      </c>
      <c r="X115">
        <v>0</v>
      </c>
      <c r="Z115" t="s">
        <v>228</v>
      </c>
      <c r="AA115" t="s">
        <v>228</v>
      </c>
      <c r="AB115" t="s">
        <v>228</v>
      </c>
      <c r="AF115">
        <v>0</v>
      </c>
      <c r="AG115" t="s">
        <v>528</v>
      </c>
      <c r="AH115">
        <v>0</v>
      </c>
      <c r="AI115" t="s">
        <v>177</v>
      </c>
      <c r="AJ115">
        <v>1133000</v>
      </c>
      <c r="AN115" t="s">
        <v>187</v>
      </c>
      <c r="AQ115">
        <v>695211.94857000001</v>
      </c>
      <c r="AR115">
        <v>395956.54079999996</v>
      </c>
      <c r="AS115">
        <v>299255.40777000005</v>
      </c>
      <c r="AT115">
        <v>4213.7</v>
      </c>
      <c r="AU115">
        <v>0</v>
      </c>
      <c r="AV115">
        <v>8028.8</v>
      </c>
      <c r="AW115">
        <v>10374.927456037514</v>
      </c>
      <c r="AX115">
        <v>1867.5725439624857</v>
      </c>
      <c r="AY115">
        <v>0</v>
      </c>
    </row>
    <row r="116" spans="1:51" hidden="1" x14ac:dyDescent="0.35">
      <c r="A116" t="s">
        <v>300</v>
      </c>
      <c r="C116" t="s">
        <v>262</v>
      </c>
      <c r="D116">
        <v>12600</v>
      </c>
      <c r="E116">
        <v>16367</v>
      </c>
      <c r="G116">
        <v>268312.40000000002</v>
      </c>
      <c r="H116">
        <v>0</v>
      </c>
      <c r="I116">
        <v>460188.13270808914</v>
      </c>
      <c r="K116">
        <v>90.858488248838441</v>
      </c>
      <c r="L116">
        <v>6.7660223650958917</v>
      </c>
      <c r="M116">
        <v>84.092465883742548</v>
      </c>
      <c r="N116">
        <v>2030</v>
      </c>
      <c r="O116" t="s">
        <v>224</v>
      </c>
      <c r="P116">
        <v>1573140</v>
      </c>
      <c r="Q116">
        <v>0</v>
      </c>
      <c r="S116">
        <v>202.5230744047619</v>
      </c>
      <c r="T116">
        <v>129.86578005555555</v>
      </c>
      <c r="V116">
        <v>60.361897333333332</v>
      </c>
      <c r="W116">
        <v>0</v>
      </c>
      <c r="X116">
        <v>0</v>
      </c>
      <c r="Z116" t="s">
        <v>225</v>
      </c>
      <c r="AA116">
        <v>50</v>
      </c>
      <c r="AB116">
        <v>75.41</v>
      </c>
      <c r="AF116">
        <v>0</v>
      </c>
      <c r="AI116" t="s">
        <v>233</v>
      </c>
      <c r="AJ116">
        <v>807300</v>
      </c>
      <c r="AM116">
        <v>120000</v>
      </c>
      <c r="AQ116">
        <v>2551790.7374999998</v>
      </c>
      <c r="AR116">
        <v>760559.90639999998</v>
      </c>
      <c r="AS116">
        <v>1791230.8310999998</v>
      </c>
      <c r="AT116">
        <v>16367</v>
      </c>
      <c r="AU116">
        <v>0</v>
      </c>
      <c r="AV116">
        <v>26831.240000000005</v>
      </c>
      <c r="AW116">
        <v>46018.813270808918</v>
      </c>
      <c r="AX116">
        <v>-2820.5732708089126</v>
      </c>
      <c r="AY116" t="e">
        <v>#VALUE!</v>
      </c>
    </row>
    <row r="117" spans="1:51" hidden="1" x14ac:dyDescent="0.35">
      <c r="A117" t="s">
        <v>307</v>
      </c>
      <c r="C117" t="s">
        <v>223</v>
      </c>
      <c r="D117">
        <v>12769</v>
      </c>
      <c r="E117">
        <v>33747</v>
      </c>
      <c r="F117">
        <v>0</v>
      </c>
      <c r="G117">
        <v>340219.4</v>
      </c>
      <c r="H117">
        <v>0</v>
      </c>
      <c r="I117">
        <v>735846.5981242673</v>
      </c>
      <c r="J117">
        <v>0</v>
      </c>
      <c r="K117">
        <v>184.20860738098722</v>
      </c>
      <c r="L117">
        <v>10.818954654240706</v>
      </c>
      <c r="M117">
        <v>173.3896527267465</v>
      </c>
      <c r="N117">
        <v>2033</v>
      </c>
      <c r="O117" t="s">
        <v>224</v>
      </c>
      <c r="P117">
        <v>3460000</v>
      </c>
      <c r="Q117">
        <v>0</v>
      </c>
      <c r="S117">
        <v>355.13525252564807</v>
      </c>
      <c r="T117">
        <v>264.22534628396903</v>
      </c>
      <c r="V117">
        <v>34.959492552275037</v>
      </c>
      <c r="W117">
        <v>0</v>
      </c>
      <c r="X117">
        <v>0</v>
      </c>
      <c r="Z117">
        <v>216.15994078459588</v>
      </c>
      <c r="AA117">
        <v>58</v>
      </c>
      <c r="AB117" t="s">
        <v>420</v>
      </c>
      <c r="AF117">
        <v>0</v>
      </c>
      <c r="AG117" t="s">
        <v>529</v>
      </c>
      <c r="AH117">
        <v>100000</v>
      </c>
      <c r="AI117" t="s">
        <v>174</v>
      </c>
      <c r="AJ117">
        <v>1850000</v>
      </c>
      <c r="AP117">
        <v>0</v>
      </c>
      <c r="AQ117">
        <v>4534722.0395</v>
      </c>
      <c r="AR117">
        <v>446397.76039999997</v>
      </c>
      <c r="AS117">
        <v>4088324.2790999999</v>
      </c>
      <c r="AT117">
        <v>33747</v>
      </c>
      <c r="AU117">
        <v>0</v>
      </c>
      <c r="AV117">
        <v>34021.94</v>
      </c>
      <c r="AW117">
        <v>73584.659812426733</v>
      </c>
      <c r="AX117">
        <v>-5815.7198124267306</v>
      </c>
      <c r="AY117">
        <v>0</v>
      </c>
    </row>
    <row r="118" spans="1:51" hidden="1" x14ac:dyDescent="0.35">
      <c r="A118" t="s">
        <v>274</v>
      </c>
      <c r="C118" t="s">
        <v>232</v>
      </c>
      <c r="D118">
        <v>12806</v>
      </c>
      <c r="E118">
        <v>5579.5</v>
      </c>
      <c r="G118">
        <v>218130.2</v>
      </c>
      <c r="H118">
        <v>0</v>
      </c>
      <c r="I118">
        <v>226832.41322391562</v>
      </c>
      <c r="J118">
        <v>0.2</v>
      </c>
      <c r="K118">
        <v>32.835888666202152</v>
      </c>
      <c r="L118">
        <v>3.3350559736733265</v>
      </c>
      <c r="M118">
        <v>29.500832692528824</v>
      </c>
      <c r="N118">
        <v>2030</v>
      </c>
      <c r="P118">
        <v>1156000</v>
      </c>
      <c r="S118">
        <v>101.67709607605809</v>
      </c>
      <c r="T118">
        <v>43.5590074925816</v>
      </c>
      <c r="V118">
        <v>28.601946931126033</v>
      </c>
      <c r="W118">
        <v>0</v>
      </c>
      <c r="X118">
        <v>0</v>
      </c>
      <c r="Z118" t="s">
        <v>228</v>
      </c>
      <c r="AA118" t="s">
        <v>228</v>
      </c>
      <c r="AB118" t="s">
        <v>228</v>
      </c>
      <c r="AF118">
        <v>0</v>
      </c>
      <c r="AG118" t="s">
        <v>530</v>
      </c>
      <c r="AH118">
        <v>25000</v>
      </c>
      <c r="AI118" t="s">
        <v>177</v>
      </c>
      <c r="AJ118">
        <v>1070000</v>
      </c>
      <c r="AQ118">
        <v>1302076.8923499999</v>
      </c>
      <c r="AR118">
        <v>366276.53239999997</v>
      </c>
      <c r="AS118">
        <v>935800.35994999995</v>
      </c>
      <c r="AT118">
        <v>5579.5</v>
      </c>
      <c r="AU118">
        <v>0</v>
      </c>
      <c r="AV118">
        <v>21813.020000000004</v>
      </c>
      <c r="AW118">
        <v>22683.241322391565</v>
      </c>
      <c r="AX118">
        <v>4709.2786776084395</v>
      </c>
      <c r="AY118">
        <v>0</v>
      </c>
    </row>
    <row r="119" spans="1:51" hidden="1" x14ac:dyDescent="0.35">
      <c r="A119" t="s">
        <v>459</v>
      </c>
      <c r="C119" t="s">
        <v>223</v>
      </c>
      <c r="D119">
        <v>12806</v>
      </c>
      <c r="E119">
        <v>5123.6245462665574</v>
      </c>
      <c r="F119">
        <v>0</v>
      </c>
      <c r="G119">
        <v>150128.95662368112</v>
      </c>
      <c r="H119">
        <v>0</v>
      </c>
      <c r="I119">
        <v>210194.89503243327</v>
      </c>
      <c r="J119">
        <v>0</v>
      </c>
      <c r="K119">
        <v>29.415252505727999</v>
      </c>
      <c r="L119">
        <v>3.0904390177322529</v>
      </c>
      <c r="M119">
        <v>26.324813487995748</v>
      </c>
      <c r="N119">
        <v>2036</v>
      </c>
      <c r="P119">
        <v>270000</v>
      </c>
      <c r="S119">
        <v>80</v>
      </c>
      <c r="T119">
        <v>40</v>
      </c>
      <c r="U119">
        <v>0</v>
      </c>
      <c r="V119">
        <v>0</v>
      </c>
      <c r="X119" t="e">
        <v>#N/A</v>
      </c>
      <c r="AA119" t="s">
        <v>233</v>
      </c>
      <c r="AB119" t="e">
        <v>#N/A</v>
      </c>
      <c r="AJ119">
        <v>150000</v>
      </c>
      <c r="AP119" t="e">
        <v>#N/A</v>
      </c>
      <c r="AQ119">
        <v>1024480</v>
      </c>
      <c r="AR119">
        <v>0</v>
      </c>
      <c r="AS119">
        <v>1024480</v>
      </c>
      <c r="AT119">
        <v>5123.6245462665574</v>
      </c>
      <c r="AU119">
        <v>0</v>
      </c>
      <c r="AV119">
        <v>15012.895662368113</v>
      </c>
      <c r="AW119">
        <v>21019.489503243327</v>
      </c>
      <c r="AX119">
        <v>-882.96929460865795</v>
      </c>
    </row>
    <row r="120" spans="1:51" hidden="1" x14ac:dyDescent="0.35">
      <c r="A120" t="s">
        <v>376</v>
      </c>
      <c r="C120" t="s">
        <v>223</v>
      </c>
      <c r="D120">
        <v>13157</v>
      </c>
      <c r="E120">
        <v>78595.199999999997</v>
      </c>
      <c r="F120">
        <v>0</v>
      </c>
      <c r="G120">
        <v>372116.1</v>
      </c>
      <c r="H120">
        <v>0</v>
      </c>
      <c r="I120">
        <v>1293513.5208675263</v>
      </c>
      <c r="J120">
        <v>0</v>
      </c>
      <c r="K120">
        <v>422.83465207529747</v>
      </c>
      <c r="L120">
        <v>19.018181456007316</v>
      </c>
      <c r="M120">
        <v>403.81647061929016</v>
      </c>
      <c r="N120">
        <v>2033</v>
      </c>
      <c r="O120" t="s">
        <v>224</v>
      </c>
      <c r="P120">
        <v>3460000</v>
      </c>
      <c r="Q120">
        <v>0</v>
      </c>
      <c r="S120">
        <v>693.72210290491751</v>
      </c>
      <c r="T120">
        <v>597.22137073192971</v>
      </c>
      <c r="V120">
        <v>58.824366794862058</v>
      </c>
      <c r="W120">
        <v>0</v>
      </c>
      <c r="X120">
        <v>0</v>
      </c>
      <c r="Z120">
        <v>144</v>
      </c>
      <c r="AA120">
        <v>79</v>
      </c>
      <c r="AB120" t="s">
        <v>420</v>
      </c>
      <c r="AF120">
        <v>0</v>
      </c>
      <c r="AG120" t="s">
        <v>531</v>
      </c>
      <c r="AH120">
        <v>100000</v>
      </c>
      <c r="AI120" t="s">
        <v>174</v>
      </c>
      <c r="AJ120">
        <v>1850000</v>
      </c>
      <c r="AP120">
        <v>0</v>
      </c>
      <c r="AQ120">
        <v>9127301.70792</v>
      </c>
      <c r="AR120">
        <v>773952.19392000011</v>
      </c>
      <c r="AS120">
        <v>8353349.5139999995</v>
      </c>
      <c r="AT120">
        <v>78595.199999999997</v>
      </c>
      <c r="AU120">
        <v>0</v>
      </c>
      <c r="AV120">
        <v>37211.61</v>
      </c>
      <c r="AW120">
        <v>129351.35208675264</v>
      </c>
      <c r="AX120">
        <v>-13544.542086752641</v>
      </c>
      <c r="AY120">
        <v>0</v>
      </c>
    </row>
    <row r="121" spans="1:51" hidden="1" x14ac:dyDescent="0.35">
      <c r="A121" t="s">
        <v>445</v>
      </c>
      <c r="C121" t="s">
        <v>223</v>
      </c>
      <c r="D121">
        <v>13661</v>
      </c>
      <c r="E121">
        <v>0</v>
      </c>
      <c r="G121">
        <v>130831.7</v>
      </c>
      <c r="H121">
        <v>0</v>
      </c>
      <c r="I121">
        <v>130831.7</v>
      </c>
      <c r="J121">
        <v>0</v>
      </c>
      <c r="K121">
        <v>1.9235833028858893</v>
      </c>
      <c r="L121">
        <v>1.9235833028858893</v>
      </c>
      <c r="M121">
        <v>0</v>
      </c>
      <c r="N121" t="s">
        <v>228</v>
      </c>
      <c r="O121" t="s">
        <v>224</v>
      </c>
      <c r="P121">
        <v>0</v>
      </c>
      <c r="Q121">
        <v>0</v>
      </c>
      <c r="T121">
        <v>0</v>
      </c>
      <c r="V121">
        <v>59.443339525308545</v>
      </c>
      <c r="W121">
        <v>0</v>
      </c>
      <c r="X121">
        <v>0</v>
      </c>
      <c r="Z121" t="s">
        <v>225</v>
      </c>
      <c r="AA121">
        <v>59</v>
      </c>
      <c r="AB121" t="e">
        <v>#N/A</v>
      </c>
      <c r="AF121">
        <v>0</v>
      </c>
      <c r="AG121">
        <v>0</v>
      </c>
      <c r="AH121" t="s">
        <v>446</v>
      </c>
      <c r="AI121" t="s">
        <v>233</v>
      </c>
      <c r="AP121" t="e">
        <v>#N/A</v>
      </c>
      <c r="AT121">
        <v>0</v>
      </c>
      <c r="AU121">
        <v>0</v>
      </c>
      <c r="AV121">
        <v>13083.17</v>
      </c>
      <c r="AW121">
        <v>13083.17</v>
      </c>
      <c r="AX121">
        <v>0</v>
      </c>
    </row>
    <row r="122" spans="1:51" hidden="1" x14ac:dyDescent="0.35">
      <c r="A122" t="s">
        <v>215</v>
      </c>
      <c r="C122" t="s">
        <v>172</v>
      </c>
      <c r="D122">
        <v>14031</v>
      </c>
      <c r="E122">
        <v>2526.3000000000002</v>
      </c>
      <c r="G122">
        <v>304968.5</v>
      </c>
      <c r="H122">
        <v>0</v>
      </c>
      <c r="I122">
        <v>301126.63241500588</v>
      </c>
      <c r="J122">
        <v>0.1</v>
      </c>
      <c r="K122">
        <v>17.899262689453256</v>
      </c>
      <c r="L122">
        <v>4.4273838998328552</v>
      </c>
      <c r="M122">
        <v>13.471878789620401</v>
      </c>
      <c r="N122">
        <v>2030</v>
      </c>
      <c r="O122">
        <v>2035</v>
      </c>
      <c r="P122">
        <v>800000</v>
      </c>
      <c r="Q122">
        <v>0</v>
      </c>
      <c r="S122">
        <v>92.161794842135265</v>
      </c>
      <c r="T122">
        <v>18.000828268120593</v>
      </c>
      <c r="V122">
        <v>8.9016984052132653</v>
      </c>
      <c r="W122">
        <v>2024</v>
      </c>
      <c r="X122">
        <v>345.6</v>
      </c>
      <c r="Z122">
        <v>288.21325437946115</v>
      </c>
      <c r="AA122">
        <v>88</v>
      </c>
      <c r="AB122">
        <v>55</v>
      </c>
      <c r="AF122">
        <v>28000</v>
      </c>
      <c r="AG122" t="s">
        <v>522</v>
      </c>
      <c r="AH122">
        <v>50000</v>
      </c>
      <c r="AI122" t="s">
        <v>181</v>
      </c>
      <c r="AJ122">
        <v>336744</v>
      </c>
      <c r="AM122">
        <v>1400000</v>
      </c>
      <c r="AO122" t="s">
        <v>204</v>
      </c>
      <c r="AP122" t="s">
        <v>483</v>
      </c>
      <c r="AQ122">
        <v>1293122.1434299999</v>
      </c>
      <c r="AR122">
        <v>124899.73032354732</v>
      </c>
      <c r="AS122">
        <v>1168222.4131064527</v>
      </c>
      <c r="AT122">
        <v>2526.3000000000002</v>
      </c>
      <c r="AU122">
        <v>0</v>
      </c>
      <c r="AV122">
        <v>30496.850000000002</v>
      </c>
      <c r="AW122">
        <v>30112.663241500588</v>
      </c>
      <c r="AX122">
        <v>2910.4867584994136</v>
      </c>
      <c r="AY122" t="s">
        <v>470</v>
      </c>
    </row>
    <row r="123" spans="1:51" hidden="1" x14ac:dyDescent="0.35">
      <c r="A123" t="s">
        <v>456</v>
      </c>
      <c r="C123" t="s">
        <v>223</v>
      </c>
      <c r="D123">
        <v>14101</v>
      </c>
      <c r="E123">
        <v>4054.7</v>
      </c>
      <c r="F123">
        <v>0</v>
      </c>
      <c r="G123">
        <v>86828</v>
      </c>
      <c r="H123">
        <v>0</v>
      </c>
      <c r="I123">
        <v>134362.5838218054</v>
      </c>
      <c r="J123">
        <v>0</v>
      </c>
      <c r="K123">
        <v>22.808253180587265</v>
      </c>
      <c r="L123">
        <v>1.975496938220864</v>
      </c>
      <c r="M123">
        <v>20.832756242366401</v>
      </c>
      <c r="N123">
        <v>2022</v>
      </c>
      <c r="O123" t="s">
        <v>224</v>
      </c>
      <c r="P123">
        <v>46500</v>
      </c>
      <c r="Q123">
        <v>0</v>
      </c>
      <c r="S123">
        <v>49.757480226225091</v>
      </c>
      <c r="T123">
        <v>28.747825875469825</v>
      </c>
      <c r="V123">
        <v>0</v>
      </c>
      <c r="W123">
        <v>2024</v>
      </c>
      <c r="X123">
        <v>8.64</v>
      </c>
      <c r="Z123">
        <v>144</v>
      </c>
      <c r="AB123" t="e">
        <v>#N/A</v>
      </c>
      <c r="AF123">
        <v>14000</v>
      </c>
      <c r="AG123" t="s">
        <v>532</v>
      </c>
      <c r="AH123">
        <v>25000</v>
      </c>
      <c r="AI123" t="s">
        <v>174</v>
      </c>
      <c r="AP123" t="s">
        <v>233</v>
      </c>
      <c r="AQ123">
        <v>701630.22866999998</v>
      </c>
      <c r="AR123">
        <v>0</v>
      </c>
      <c r="AS123">
        <v>701630.22866999998</v>
      </c>
      <c r="AT123">
        <v>4054.7</v>
      </c>
      <c r="AU123">
        <v>0</v>
      </c>
      <c r="AV123">
        <v>8682.8000000000011</v>
      </c>
      <c r="AW123">
        <v>13436.25838218054</v>
      </c>
      <c r="AX123">
        <v>698.75838218054014</v>
      </c>
    </row>
    <row r="124" spans="1:51" hidden="1" x14ac:dyDescent="0.35">
      <c r="A124" t="s">
        <v>451</v>
      </c>
      <c r="C124" t="s">
        <v>227</v>
      </c>
      <c r="D124">
        <v>14500</v>
      </c>
      <c r="E124">
        <v>5801.3865313810002</v>
      </c>
      <c r="G124">
        <v>169988.27667057444</v>
      </c>
      <c r="H124">
        <v>0</v>
      </c>
      <c r="I124">
        <v>237999.84210294258</v>
      </c>
      <c r="K124">
        <v>33.306353375999997</v>
      </c>
      <c r="L124">
        <v>3.499247677426025</v>
      </c>
      <c r="M124">
        <v>29.80710569857397</v>
      </c>
      <c r="N124">
        <v>2051</v>
      </c>
      <c r="P124">
        <v>0</v>
      </c>
      <c r="Q124" t="e">
        <v>#N/A</v>
      </c>
      <c r="S124">
        <v>80</v>
      </c>
      <c r="T124">
        <v>40</v>
      </c>
      <c r="V124">
        <v>651.64424135172419</v>
      </c>
      <c r="W124">
        <v>0</v>
      </c>
      <c r="X124">
        <v>0</v>
      </c>
      <c r="Z124" t="e">
        <v>#N/A</v>
      </c>
      <c r="AB124" t="e">
        <v>#N/A</v>
      </c>
      <c r="AF124">
        <v>0</v>
      </c>
      <c r="AG124" t="e">
        <v>#N/A</v>
      </c>
      <c r="AQ124">
        <v>1160000</v>
      </c>
      <c r="AR124">
        <v>9448841.4996000007</v>
      </c>
      <c r="AS124">
        <v>-8288841.4996000007</v>
      </c>
      <c r="AT124">
        <v>5801.3865313810002</v>
      </c>
      <c r="AU124">
        <v>0</v>
      </c>
      <c r="AV124">
        <v>16998.827667057445</v>
      </c>
      <c r="AW124">
        <v>23799.98421029426</v>
      </c>
      <c r="AX124">
        <v>999.77001185581685</v>
      </c>
    </row>
    <row r="125" spans="1:51" hidden="1" x14ac:dyDescent="0.35">
      <c r="A125" t="s">
        <v>350</v>
      </c>
      <c r="C125" t="s">
        <v>223</v>
      </c>
      <c r="D125">
        <v>14940</v>
      </c>
      <c r="E125">
        <v>20164</v>
      </c>
      <c r="F125">
        <v>0</v>
      </c>
      <c r="G125">
        <v>95559</v>
      </c>
      <c r="I125">
        <v>331948.21453692846</v>
      </c>
      <c r="J125">
        <v>0</v>
      </c>
      <c r="K125">
        <v>108.48172344063191</v>
      </c>
      <c r="L125">
        <v>4.8805453334781914</v>
      </c>
      <c r="M125">
        <v>103.60117810715371</v>
      </c>
      <c r="N125">
        <v>2030</v>
      </c>
      <c r="P125">
        <v>1486758.4</v>
      </c>
      <c r="S125">
        <v>156.7580581258367</v>
      </c>
      <c r="T125">
        <v>134.93427579651942</v>
      </c>
      <c r="V125">
        <v>54.354448544527443</v>
      </c>
      <c r="X125">
        <v>0</v>
      </c>
      <c r="Z125" t="s">
        <v>225</v>
      </c>
      <c r="AA125">
        <v>110</v>
      </c>
      <c r="AB125">
        <v>85.41</v>
      </c>
      <c r="AJ125">
        <v>448000</v>
      </c>
      <c r="AK125" t="s">
        <v>351</v>
      </c>
      <c r="AL125">
        <v>425224</v>
      </c>
      <c r="AP125" t="e">
        <v>#N/A</v>
      </c>
      <c r="AQ125">
        <v>2341965.3884000001</v>
      </c>
      <c r="AR125">
        <v>812055.46125524002</v>
      </c>
      <c r="AS125">
        <v>1529909.92714476</v>
      </c>
      <c r="AT125">
        <v>20164</v>
      </c>
      <c r="AU125">
        <v>0</v>
      </c>
      <c r="AV125">
        <v>9555.9</v>
      </c>
      <c r="AW125">
        <v>33194.82145369285</v>
      </c>
      <c r="AX125">
        <v>-3474.9214536928484</v>
      </c>
      <c r="AY125" t="e">
        <v>#VALUE!</v>
      </c>
    </row>
    <row r="126" spans="1:51" hidden="1" x14ac:dyDescent="0.35">
      <c r="A126" t="s">
        <v>281</v>
      </c>
      <c r="C126" t="s">
        <v>232</v>
      </c>
      <c r="D126">
        <v>15000</v>
      </c>
      <c r="E126">
        <v>3565.7</v>
      </c>
      <c r="G126">
        <v>156102</v>
      </c>
      <c r="H126">
        <v>0</v>
      </c>
      <c r="I126">
        <v>197903.87573270808</v>
      </c>
      <c r="J126">
        <v>0</v>
      </c>
      <c r="K126">
        <v>21.230036967097277</v>
      </c>
      <c r="L126">
        <v>2.9097274661709758</v>
      </c>
      <c r="M126">
        <v>18.3203095009263</v>
      </c>
      <c r="N126">
        <v>2024</v>
      </c>
      <c r="P126">
        <v>549150</v>
      </c>
      <c r="S126">
        <v>59.273653584666661</v>
      </c>
      <c r="T126">
        <v>23.765651984666665</v>
      </c>
      <c r="V126">
        <v>17.248942250666666</v>
      </c>
      <c r="W126">
        <v>0</v>
      </c>
      <c r="X126">
        <v>0</v>
      </c>
      <c r="Z126" t="s">
        <v>228</v>
      </c>
      <c r="AA126" t="s">
        <v>228</v>
      </c>
      <c r="AB126" t="s">
        <v>228</v>
      </c>
      <c r="AF126">
        <v>0</v>
      </c>
      <c r="AG126" t="s">
        <v>533</v>
      </c>
      <c r="AH126">
        <v>0</v>
      </c>
      <c r="AI126" t="s">
        <v>177</v>
      </c>
      <c r="AJ126">
        <v>523000</v>
      </c>
      <c r="AQ126">
        <v>889104.80376999988</v>
      </c>
      <c r="AR126">
        <v>258734.13376</v>
      </c>
      <c r="AS126">
        <v>630370.67000999989</v>
      </c>
      <c r="AT126">
        <v>3565.7</v>
      </c>
      <c r="AU126">
        <v>0</v>
      </c>
      <c r="AV126">
        <v>15610.2</v>
      </c>
      <c r="AW126">
        <v>19790.387573270811</v>
      </c>
      <c r="AX126">
        <v>-614.48757327080966</v>
      </c>
      <c r="AY126">
        <v>0</v>
      </c>
    </row>
    <row r="127" spans="1:51" hidden="1" x14ac:dyDescent="0.35">
      <c r="A127" t="s">
        <v>409</v>
      </c>
      <c r="C127" t="s">
        <v>232</v>
      </c>
      <c r="D127">
        <v>15000</v>
      </c>
      <c r="E127">
        <v>4384</v>
      </c>
      <c r="G127">
        <v>157027.5</v>
      </c>
      <c r="H127">
        <v>0</v>
      </c>
      <c r="I127">
        <v>166738.06096131302</v>
      </c>
      <c r="J127">
        <v>0.2</v>
      </c>
      <c r="K127">
        <v>25.58905698927952</v>
      </c>
      <c r="L127">
        <v>2.4515048724487358</v>
      </c>
      <c r="M127">
        <v>23.137552116830783</v>
      </c>
      <c r="N127">
        <v>2023</v>
      </c>
      <c r="P127">
        <v>1345000</v>
      </c>
      <c r="S127">
        <v>64.938203493333333</v>
      </c>
      <c r="T127">
        <v>29.219681493333336</v>
      </c>
      <c r="V127">
        <v>139.9174162933333</v>
      </c>
      <c r="W127">
        <v>0</v>
      </c>
      <c r="X127">
        <v>0</v>
      </c>
      <c r="Z127" t="s">
        <v>228</v>
      </c>
      <c r="AA127" t="s">
        <v>228</v>
      </c>
      <c r="AB127" t="s">
        <v>228</v>
      </c>
      <c r="AF127">
        <v>0</v>
      </c>
      <c r="AG127" t="s">
        <v>534</v>
      </c>
      <c r="AH127">
        <v>25000</v>
      </c>
      <c r="AI127" t="s">
        <v>177</v>
      </c>
      <c r="AJ127">
        <v>1250000</v>
      </c>
      <c r="AQ127">
        <v>974073.05240000004</v>
      </c>
      <c r="AR127">
        <v>2098761.2443999997</v>
      </c>
      <c r="AS127">
        <v>-1124688.1919999998</v>
      </c>
      <c r="AT127">
        <v>4384</v>
      </c>
      <c r="AU127">
        <v>0</v>
      </c>
      <c r="AV127">
        <v>15702.75</v>
      </c>
      <c r="AW127">
        <v>16673.806096131302</v>
      </c>
      <c r="AX127">
        <v>3412.9439038686978</v>
      </c>
      <c r="AY127">
        <v>0</v>
      </c>
    </row>
    <row r="128" spans="1:51" hidden="1" x14ac:dyDescent="0.35">
      <c r="A128" t="s">
        <v>410</v>
      </c>
      <c r="C128" t="s">
        <v>232</v>
      </c>
      <c r="D128">
        <v>15000</v>
      </c>
      <c r="E128">
        <v>4660.8</v>
      </c>
      <c r="G128">
        <v>124809.3</v>
      </c>
      <c r="H128">
        <v>0</v>
      </c>
      <c r="I128">
        <v>179449.39378663542</v>
      </c>
      <c r="J128">
        <v>0</v>
      </c>
      <c r="K128">
        <v>26.585250521248529</v>
      </c>
      <c r="L128">
        <v>2.6383961807495186</v>
      </c>
      <c r="M128">
        <v>23.946854340499009</v>
      </c>
      <c r="N128">
        <v>2025</v>
      </c>
      <c r="P128">
        <v>540700</v>
      </c>
      <c r="S128">
        <v>59.454529231999999</v>
      </c>
      <c r="T128">
        <v>31.064573792000001</v>
      </c>
      <c r="V128">
        <v>121.08158222933335</v>
      </c>
      <c r="W128">
        <v>0</v>
      </c>
      <c r="X128">
        <v>0</v>
      </c>
      <c r="Z128" t="s">
        <v>228</v>
      </c>
      <c r="AA128" t="s">
        <v>228</v>
      </c>
      <c r="AB128" t="s">
        <v>228</v>
      </c>
      <c r="AF128">
        <v>0</v>
      </c>
      <c r="AG128" t="s">
        <v>535</v>
      </c>
      <c r="AH128">
        <v>25000</v>
      </c>
      <c r="AI128" t="s">
        <v>181</v>
      </c>
      <c r="AJ128">
        <v>484000</v>
      </c>
      <c r="AQ128">
        <v>891817.93848000001</v>
      </c>
      <c r="AR128">
        <v>1816223.7334400003</v>
      </c>
      <c r="AS128">
        <v>-924405.79496000032</v>
      </c>
      <c r="AT128">
        <v>4660.8</v>
      </c>
      <c r="AU128">
        <v>0</v>
      </c>
      <c r="AV128">
        <v>12480.93</v>
      </c>
      <c r="AW128">
        <v>17944.939378663545</v>
      </c>
      <c r="AX128">
        <v>-803.20937866354507</v>
      </c>
      <c r="AY128">
        <v>0</v>
      </c>
    </row>
    <row r="129" spans="1:51" hidden="1" x14ac:dyDescent="0.35">
      <c r="A129" t="s">
        <v>330</v>
      </c>
      <c r="C129" t="s">
        <v>223</v>
      </c>
      <c r="D129">
        <v>15398</v>
      </c>
      <c r="E129">
        <v>2740.9</v>
      </c>
      <c r="F129">
        <v>0</v>
      </c>
      <c r="G129">
        <v>85477.7</v>
      </c>
      <c r="H129">
        <v>0</v>
      </c>
      <c r="I129">
        <v>117610.1736225088</v>
      </c>
      <c r="J129">
        <v>0</v>
      </c>
      <c r="K129">
        <v>15.81173732779081</v>
      </c>
      <c r="L129">
        <v>1.7291907559847375</v>
      </c>
      <c r="M129">
        <v>14.082546571806073</v>
      </c>
      <c r="N129">
        <v>2026</v>
      </c>
      <c r="O129" t="s">
        <v>224</v>
      </c>
      <c r="P129">
        <v>680500</v>
      </c>
      <c r="Q129">
        <v>0</v>
      </c>
      <c r="S129">
        <v>36.73687523639434</v>
      </c>
      <c r="T129">
        <v>17.796109396674893</v>
      </c>
      <c r="V129">
        <v>19.548348512793869</v>
      </c>
      <c r="W129">
        <v>2024</v>
      </c>
      <c r="X129">
        <v>950.40000000000009</v>
      </c>
      <c r="Y129" t="s">
        <v>209</v>
      </c>
      <c r="Z129">
        <v>144.10662718973057</v>
      </c>
      <c r="AA129">
        <v>20</v>
      </c>
      <c r="AB129">
        <v>85.41</v>
      </c>
      <c r="AF129">
        <v>0</v>
      </c>
      <c r="AG129">
        <v>0</v>
      </c>
      <c r="AH129">
        <v>25000</v>
      </c>
      <c r="AJ129">
        <v>360000</v>
      </c>
      <c r="AP129" t="s">
        <v>233</v>
      </c>
      <c r="AQ129">
        <v>565674.40489000001</v>
      </c>
      <c r="AR129">
        <v>301005.47039999999</v>
      </c>
      <c r="AS129">
        <v>264668.93449000001</v>
      </c>
      <c r="AT129">
        <v>2740.9</v>
      </c>
      <c r="AU129">
        <v>0</v>
      </c>
      <c r="AV129">
        <v>8547.77</v>
      </c>
      <c r="AW129">
        <v>11761.017362250881</v>
      </c>
      <c r="AX129">
        <v>-472.34736225088091</v>
      </c>
      <c r="AY129" t="s">
        <v>478</v>
      </c>
    </row>
    <row r="130" spans="1:51" hidden="1" x14ac:dyDescent="0.35">
      <c r="A130" t="s">
        <v>379</v>
      </c>
      <c r="C130" t="s">
        <v>223</v>
      </c>
      <c r="D130">
        <v>15814</v>
      </c>
      <c r="E130">
        <v>5059.7</v>
      </c>
      <c r="F130">
        <v>0</v>
      </c>
      <c r="G130">
        <v>58131.8</v>
      </c>
      <c r="H130">
        <v>0</v>
      </c>
      <c r="I130">
        <v>105703.49690504104</v>
      </c>
      <c r="J130">
        <v>0.1</v>
      </c>
      <c r="K130">
        <v>27.723184989628347</v>
      </c>
      <c r="L130">
        <v>1.5541300900560586</v>
      </c>
      <c r="M130">
        <v>26.169054899572288</v>
      </c>
      <c r="N130">
        <v>2032</v>
      </c>
      <c r="O130" t="s">
        <v>224</v>
      </c>
      <c r="P130">
        <v>752000</v>
      </c>
      <c r="Q130">
        <v>0</v>
      </c>
      <c r="S130">
        <v>44.529832728594918</v>
      </c>
      <c r="T130">
        <v>31.987420840394588</v>
      </c>
      <c r="V130">
        <v>38.373944170987727</v>
      </c>
      <c r="W130">
        <v>2024</v>
      </c>
      <c r="X130">
        <v>8.64</v>
      </c>
      <c r="Z130">
        <v>72.053313594865287</v>
      </c>
      <c r="AA130">
        <v>18</v>
      </c>
      <c r="AB130">
        <v>80</v>
      </c>
      <c r="AF130">
        <v>14000</v>
      </c>
      <c r="AG130" t="s">
        <v>536</v>
      </c>
      <c r="AH130">
        <v>0</v>
      </c>
      <c r="AJ130">
        <v>410000</v>
      </c>
      <c r="AP130" t="s">
        <v>181</v>
      </c>
      <c r="AQ130">
        <v>704194.77477000002</v>
      </c>
      <c r="AR130">
        <v>606845.55311999994</v>
      </c>
      <c r="AS130">
        <v>97349.22165000008</v>
      </c>
      <c r="AT130">
        <v>5059.7</v>
      </c>
      <c r="AU130">
        <v>0</v>
      </c>
      <c r="AV130">
        <v>5813.18</v>
      </c>
      <c r="AW130">
        <v>10570.349690504105</v>
      </c>
      <c r="AX130">
        <v>302.53030949589629</v>
      </c>
      <c r="AY130" t="s">
        <v>470</v>
      </c>
    </row>
    <row r="131" spans="1:51" hidden="1" x14ac:dyDescent="0.35">
      <c r="A131" t="s">
        <v>337</v>
      </c>
      <c r="C131" t="s">
        <v>223</v>
      </c>
      <c r="D131">
        <v>16000</v>
      </c>
      <c r="E131">
        <v>1516.7</v>
      </c>
      <c r="F131">
        <v>0</v>
      </c>
      <c r="G131">
        <v>127848.4</v>
      </c>
      <c r="H131">
        <v>0</v>
      </c>
      <c r="I131">
        <v>145629.17373974208</v>
      </c>
      <c r="J131">
        <v>0</v>
      </c>
      <c r="K131">
        <v>9.9338418208446519</v>
      </c>
      <c r="L131">
        <v>2.1411465800630589</v>
      </c>
      <c r="M131">
        <v>7.792695240781593</v>
      </c>
      <c r="N131">
        <v>2030</v>
      </c>
      <c r="O131" t="s">
        <v>224</v>
      </c>
      <c r="P131">
        <v>46500</v>
      </c>
      <c r="Q131">
        <v>0</v>
      </c>
      <c r="S131">
        <v>36.740780729375004</v>
      </c>
      <c r="T131">
        <v>9.4771094293750018</v>
      </c>
      <c r="V131">
        <v>64.215254362500005</v>
      </c>
      <c r="W131">
        <v>0</v>
      </c>
      <c r="X131">
        <v>0</v>
      </c>
      <c r="Z131">
        <v>332.55375505322445</v>
      </c>
      <c r="AA131">
        <v>50</v>
      </c>
      <c r="AB131">
        <v>20</v>
      </c>
      <c r="AF131">
        <v>14000</v>
      </c>
      <c r="AG131" t="s">
        <v>537</v>
      </c>
      <c r="AH131">
        <v>25000</v>
      </c>
      <c r="AI131" t="s">
        <v>174</v>
      </c>
      <c r="AP131" t="s">
        <v>181</v>
      </c>
      <c r="AQ131">
        <v>587852.49167000002</v>
      </c>
      <c r="AR131">
        <v>1027444.0698000001</v>
      </c>
      <c r="AS131">
        <v>-439591.57813000004</v>
      </c>
      <c r="AT131">
        <v>1516.7</v>
      </c>
      <c r="AU131">
        <v>0</v>
      </c>
      <c r="AV131">
        <v>12784.84</v>
      </c>
      <c r="AW131">
        <v>14562.917373974209</v>
      </c>
      <c r="AX131">
        <v>-261.37737397420824</v>
      </c>
      <c r="AY131" t="s">
        <v>469</v>
      </c>
    </row>
    <row r="132" spans="1:51" hidden="1" x14ac:dyDescent="0.35">
      <c r="A132" t="s">
        <v>362</v>
      </c>
      <c r="C132" t="s">
        <v>223</v>
      </c>
      <c r="D132">
        <v>16242</v>
      </c>
      <c r="E132">
        <v>7747.8</v>
      </c>
      <c r="F132">
        <v>0</v>
      </c>
      <c r="G132">
        <v>111246.1</v>
      </c>
      <c r="H132">
        <v>0</v>
      </c>
      <c r="I132">
        <v>202076.11172332944</v>
      </c>
      <c r="J132">
        <v>0</v>
      </c>
      <c r="K132">
        <v>42.77870848729701</v>
      </c>
      <c r="L132">
        <v>2.9710707299767565</v>
      </c>
      <c r="M132">
        <v>39.807637757320251</v>
      </c>
      <c r="N132">
        <v>2034</v>
      </c>
      <c r="O132" t="s">
        <v>224</v>
      </c>
      <c r="P132">
        <v>3008100</v>
      </c>
      <c r="Q132">
        <v>0</v>
      </c>
      <c r="S132">
        <v>71.060615735746836</v>
      </c>
      <c r="T132">
        <v>47.690852578500184</v>
      </c>
      <c r="V132">
        <v>21.794885161925869</v>
      </c>
      <c r="W132">
        <v>2024</v>
      </c>
      <c r="X132">
        <v>8.64</v>
      </c>
      <c r="Z132">
        <v>498.83063257983662</v>
      </c>
      <c r="AA132">
        <v>47</v>
      </c>
      <c r="AB132">
        <v>85.41</v>
      </c>
      <c r="AF132">
        <v>14000</v>
      </c>
      <c r="AG132" t="s">
        <v>538</v>
      </c>
      <c r="AH132">
        <v>25000</v>
      </c>
      <c r="AI132" t="s">
        <v>174</v>
      </c>
      <c r="AJ132">
        <v>1112000</v>
      </c>
      <c r="AL132">
        <v>600000</v>
      </c>
      <c r="AP132" t="s">
        <v>233</v>
      </c>
      <c r="AQ132">
        <v>1154166.5207800001</v>
      </c>
      <c r="AR132">
        <v>353992.52479999996</v>
      </c>
      <c r="AS132">
        <v>800173.99598000012</v>
      </c>
      <c r="AT132">
        <v>7747.8</v>
      </c>
      <c r="AU132">
        <v>0</v>
      </c>
      <c r="AV132">
        <v>11124.61</v>
      </c>
      <c r="AW132">
        <v>20207.611172332945</v>
      </c>
      <c r="AX132">
        <v>-1335.2011723329451</v>
      </c>
      <c r="AY132" t="s">
        <v>469</v>
      </c>
    </row>
    <row r="133" spans="1:51" hidden="1" x14ac:dyDescent="0.35">
      <c r="A133" t="s">
        <v>338</v>
      </c>
      <c r="C133" t="s">
        <v>223</v>
      </c>
      <c r="D133">
        <v>16447</v>
      </c>
      <c r="E133">
        <v>10140.9</v>
      </c>
      <c r="F133">
        <v>0</v>
      </c>
      <c r="G133">
        <v>241183.6</v>
      </c>
      <c r="H133">
        <v>0</v>
      </c>
      <c r="I133">
        <v>288054.96909730363</v>
      </c>
      <c r="J133">
        <v>0.2</v>
      </c>
      <c r="K133">
        <v>57.397206443186676</v>
      </c>
      <c r="L133">
        <v>4.2351947491998052</v>
      </c>
      <c r="M133">
        <v>53.162011693986869</v>
      </c>
      <c r="N133">
        <v>2028</v>
      </c>
      <c r="O133" t="s">
        <v>224</v>
      </c>
      <c r="P133">
        <v>3587800</v>
      </c>
      <c r="Q133">
        <v>0</v>
      </c>
      <c r="S133">
        <v>111.67787898644129</v>
      </c>
      <c r="T133">
        <v>61.643316865689791</v>
      </c>
      <c r="V133">
        <v>370.18533410348397</v>
      </c>
      <c r="W133">
        <v>2024</v>
      </c>
      <c r="X133">
        <v>8.64</v>
      </c>
      <c r="Z133">
        <v>288</v>
      </c>
      <c r="AA133">
        <v>59</v>
      </c>
      <c r="AB133">
        <v>50</v>
      </c>
      <c r="AE133" t="s">
        <v>339</v>
      </c>
      <c r="AF133">
        <v>14000</v>
      </c>
      <c r="AG133" t="s">
        <v>539</v>
      </c>
      <c r="AH133">
        <v>0</v>
      </c>
      <c r="AI133" t="s">
        <v>174</v>
      </c>
      <c r="AJ133">
        <v>1541000</v>
      </c>
      <c r="AL133">
        <v>500000</v>
      </c>
      <c r="AP133" t="s">
        <v>177</v>
      </c>
      <c r="AQ133">
        <v>1836766.0756899999</v>
      </c>
      <c r="AR133">
        <v>6088438.1900000004</v>
      </c>
      <c r="AS133">
        <v>-4251672.1143100001</v>
      </c>
      <c r="AT133">
        <v>10140.9</v>
      </c>
      <c r="AU133">
        <v>0</v>
      </c>
      <c r="AV133">
        <v>24118.36</v>
      </c>
      <c r="AW133">
        <v>28805.496909730366</v>
      </c>
      <c r="AX133">
        <v>5453.7630902696365</v>
      </c>
      <c r="AY133" t="s">
        <v>469</v>
      </c>
    </row>
    <row r="134" spans="1:51" hidden="1" x14ac:dyDescent="0.35">
      <c r="A134" t="s">
        <v>271</v>
      </c>
      <c r="C134" t="s">
        <v>232</v>
      </c>
      <c r="D134">
        <v>16493</v>
      </c>
      <c r="E134">
        <v>4822.7</v>
      </c>
      <c r="G134">
        <v>206868.5</v>
      </c>
      <c r="H134">
        <v>0</v>
      </c>
      <c r="I134">
        <v>210725.28065650645</v>
      </c>
      <c r="J134">
        <v>0.2</v>
      </c>
      <c r="K134">
        <v>28.651481285629366</v>
      </c>
      <c r="L134">
        <v>3.0982371349359425</v>
      </c>
      <c r="M134">
        <v>25.553244150693423</v>
      </c>
      <c r="N134">
        <v>2028</v>
      </c>
      <c r="P134">
        <v>1240050</v>
      </c>
      <c r="S134">
        <v>72.029955706663429</v>
      </c>
      <c r="T134">
        <v>29.233901501849267</v>
      </c>
      <c r="V134">
        <v>18.489298759473716</v>
      </c>
      <c r="W134">
        <v>0</v>
      </c>
      <c r="X134">
        <v>0</v>
      </c>
      <c r="Z134" t="s">
        <v>228</v>
      </c>
      <c r="AA134" t="s">
        <v>228</v>
      </c>
      <c r="AB134" t="s">
        <v>228</v>
      </c>
      <c r="AF134">
        <v>0</v>
      </c>
      <c r="AG134" t="s">
        <v>540</v>
      </c>
      <c r="AH134">
        <v>0</v>
      </c>
      <c r="AI134" t="s">
        <v>177</v>
      </c>
      <c r="AJ134">
        <v>1181000</v>
      </c>
      <c r="AQ134">
        <v>1187990.05947</v>
      </c>
      <c r="AR134">
        <v>304944.00443999999</v>
      </c>
      <c r="AS134">
        <v>883046.05502999993</v>
      </c>
      <c r="AT134">
        <v>4822.7</v>
      </c>
      <c r="AU134">
        <v>0</v>
      </c>
      <c r="AV134">
        <v>20686.850000000002</v>
      </c>
      <c r="AW134">
        <v>21072.528065650647</v>
      </c>
      <c r="AX134">
        <v>4437.0219343493554</v>
      </c>
      <c r="AY134">
        <v>0</v>
      </c>
    </row>
    <row r="135" spans="1:51" hidden="1" x14ac:dyDescent="0.35">
      <c r="A135" t="s">
        <v>191</v>
      </c>
      <c r="C135" t="s">
        <v>172</v>
      </c>
      <c r="D135">
        <v>16725</v>
      </c>
      <c r="E135">
        <v>5792.5</v>
      </c>
      <c r="G135">
        <v>98404.5</v>
      </c>
      <c r="H135">
        <v>0</v>
      </c>
      <c r="I135">
        <v>166311.88569753809</v>
      </c>
      <c r="J135">
        <v>0</v>
      </c>
      <c r="K135">
        <v>32.206686273236571</v>
      </c>
      <c r="L135">
        <v>2.4452389321490959</v>
      </c>
      <c r="M135">
        <v>29.761447341087475</v>
      </c>
      <c r="N135">
        <v>2028</v>
      </c>
      <c r="O135" t="s">
        <v>269</v>
      </c>
      <c r="P135">
        <v>2800000</v>
      </c>
      <c r="Q135">
        <v>0</v>
      </c>
      <c r="S135">
        <v>54.700610657698057</v>
      </c>
      <c r="T135">
        <v>34.625504289985052</v>
      </c>
      <c r="V135" t="e">
        <v>#REF!</v>
      </c>
      <c r="W135">
        <v>2024</v>
      </c>
      <c r="X135">
        <v>51.84</v>
      </c>
      <c r="Y135" t="s">
        <v>180</v>
      </c>
      <c r="Z135">
        <v>532.08600808515916</v>
      </c>
      <c r="AA135">
        <v>42</v>
      </c>
      <c r="AB135">
        <v>40</v>
      </c>
      <c r="AE135">
        <v>1000</v>
      </c>
      <c r="AF135">
        <v>0</v>
      </c>
      <c r="AG135" t="s">
        <v>541</v>
      </c>
      <c r="AH135">
        <v>25000</v>
      </c>
      <c r="AI135" t="s">
        <v>181</v>
      </c>
      <c r="AJ135">
        <v>1338000</v>
      </c>
      <c r="AM135">
        <v>200700</v>
      </c>
      <c r="AP135">
        <v>0</v>
      </c>
      <c r="AQ135">
        <v>914867.71325000003</v>
      </c>
      <c r="AR135" t="e">
        <v>#REF!</v>
      </c>
      <c r="AS135" t="e">
        <v>#REF!</v>
      </c>
      <c r="AT135">
        <v>5792.5</v>
      </c>
      <c r="AU135">
        <v>0</v>
      </c>
      <c r="AV135">
        <v>9840.4500000000007</v>
      </c>
      <c r="AW135">
        <v>16631.188569753809</v>
      </c>
      <c r="AX135">
        <v>-998.23856975380841</v>
      </c>
      <c r="AY135" t="s">
        <v>469</v>
      </c>
    </row>
    <row r="136" spans="1:51" hidden="1" x14ac:dyDescent="0.35">
      <c r="A136" t="s">
        <v>306</v>
      </c>
      <c r="C136" t="s">
        <v>223</v>
      </c>
      <c r="D136">
        <v>16795</v>
      </c>
      <c r="E136">
        <v>4471.2</v>
      </c>
      <c r="F136">
        <v>0</v>
      </c>
      <c r="G136">
        <v>128356.1</v>
      </c>
      <c r="H136">
        <v>0</v>
      </c>
      <c r="I136">
        <v>126541.41536928488</v>
      </c>
      <c r="J136">
        <v>0.3</v>
      </c>
      <c r="K136">
        <v>25.630566642259033</v>
      </c>
      <c r="L136">
        <v>1.8605044016695056</v>
      </c>
      <c r="M136">
        <v>23.770062240589528</v>
      </c>
      <c r="N136">
        <v>2029</v>
      </c>
      <c r="O136" t="s">
        <v>224</v>
      </c>
      <c r="P136">
        <v>2015600</v>
      </c>
      <c r="Q136">
        <v>0</v>
      </c>
      <c r="S136">
        <v>52.692119768978863</v>
      </c>
      <c r="T136">
        <v>26.615846282822268</v>
      </c>
      <c r="V136">
        <v>40.555057836260794</v>
      </c>
      <c r="W136">
        <v>2024</v>
      </c>
      <c r="X136">
        <v>8.64</v>
      </c>
      <c r="Z136">
        <v>332.55375505322445</v>
      </c>
      <c r="AA136">
        <v>101</v>
      </c>
      <c r="AB136">
        <v>50</v>
      </c>
      <c r="AF136">
        <v>14000</v>
      </c>
      <c r="AG136" t="s">
        <v>542</v>
      </c>
      <c r="AH136">
        <v>0</v>
      </c>
      <c r="AI136" t="s">
        <v>174</v>
      </c>
      <c r="AJ136">
        <v>1112000</v>
      </c>
      <c r="AP136" t="s">
        <v>177</v>
      </c>
      <c r="AQ136">
        <v>884964.15151999996</v>
      </c>
      <c r="AR136">
        <v>681122.19636000006</v>
      </c>
      <c r="AS136">
        <v>203841.9551599999</v>
      </c>
      <c r="AT136">
        <v>4471.2</v>
      </c>
      <c r="AU136">
        <v>0</v>
      </c>
      <c r="AV136">
        <v>12835.61</v>
      </c>
      <c r="AW136">
        <v>12654.141536928488</v>
      </c>
      <c r="AX136">
        <v>4652.6684630715135</v>
      </c>
      <c r="AY136" t="s">
        <v>469</v>
      </c>
    </row>
    <row r="137" spans="1:51" hidden="1" x14ac:dyDescent="0.35">
      <c r="A137" t="s">
        <v>460</v>
      </c>
      <c r="C137" t="s">
        <v>223</v>
      </c>
      <c r="D137">
        <v>17190</v>
      </c>
      <c r="E137">
        <v>2156.9</v>
      </c>
      <c r="F137">
        <v>0</v>
      </c>
      <c r="G137">
        <v>242007.1</v>
      </c>
      <c r="H137">
        <v>0</v>
      </c>
      <c r="I137">
        <v>227199.17685228604</v>
      </c>
      <c r="J137">
        <v>0.15</v>
      </c>
      <c r="K137">
        <v>15.011935975099171</v>
      </c>
      <c r="L137">
        <v>3.340448400674116</v>
      </c>
      <c r="M137">
        <v>11.671487574425054</v>
      </c>
      <c r="N137">
        <v>2023</v>
      </c>
      <c r="O137" t="s">
        <v>224</v>
      </c>
      <c r="P137">
        <v>14000</v>
      </c>
      <c r="Q137">
        <v>0</v>
      </c>
      <c r="S137">
        <v>60.579794955788252</v>
      </c>
      <c r="T137">
        <v>12.544412454333917</v>
      </c>
      <c r="V137">
        <v>0</v>
      </c>
      <c r="W137">
        <v>2024</v>
      </c>
      <c r="X137">
        <v>8.64</v>
      </c>
      <c r="Z137">
        <v>432.31988156919175</v>
      </c>
      <c r="AA137">
        <v>65</v>
      </c>
      <c r="AB137">
        <v>40</v>
      </c>
      <c r="AE137">
        <v>225</v>
      </c>
      <c r="AF137">
        <v>14000</v>
      </c>
      <c r="AG137" t="s">
        <v>543</v>
      </c>
      <c r="AH137">
        <v>0</v>
      </c>
      <c r="AP137" t="s">
        <v>181</v>
      </c>
      <c r="AQ137">
        <v>1041366.67529</v>
      </c>
      <c r="AR137">
        <v>0</v>
      </c>
      <c r="AS137">
        <v>1041366.67529</v>
      </c>
      <c r="AT137">
        <v>2156.9</v>
      </c>
      <c r="AU137">
        <v>0</v>
      </c>
      <c r="AV137">
        <v>24200.710000000003</v>
      </c>
      <c r="AW137">
        <v>22719.917685228604</v>
      </c>
      <c r="AX137">
        <v>3637.6923147714006</v>
      </c>
      <c r="AY137" t="s">
        <v>469</v>
      </c>
    </row>
    <row r="138" spans="1:51" hidden="1" x14ac:dyDescent="0.35">
      <c r="A138" t="s">
        <v>333</v>
      </c>
      <c r="C138" t="s">
        <v>223</v>
      </c>
      <c r="D138">
        <v>17407</v>
      </c>
      <c r="E138">
        <v>45297.5</v>
      </c>
      <c r="F138">
        <v>0</v>
      </c>
      <c r="G138">
        <v>282954.8</v>
      </c>
      <c r="H138">
        <v>0</v>
      </c>
      <c r="I138">
        <v>813992.31465416169</v>
      </c>
      <c r="J138">
        <v>0</v>
      </c>
      <c r="K138">
        <v>244.70319900654735</v>
      </c>
      <c r="L138">
        <v>11.967910110058821</v>
      </c>
      <c r="M138">
        <v>232.73528889648853</v>
      </c>
      <c r="N138">
        <v>2033</v>
      </c>
      <c r="O138" t="s">
        <v>224</v>
      </c>
      <c r="P138">
        <v>3715600</v>
      </c>
      <c r="Q138">
        <v>0</v>
      </c>
      <c r="S138">
        <v>315.62642427471707</v>
      </c>
      <c r="T138">
        <v>260.1635772821279</v>
      </c>
      <c r="V138">
        <v>31.529699785070026</v>
      </c>
      <c r="W138">
        <v>0</v>
      </c>
      <c r="X138">
        <v>0</v>
      </c>
      <c r="Z138">
        <v>288.21325437946115</v>
      </c>
      <c r="AA138">
        <v>108</v>
      </c>
      <c r="AB138" t="s">
        <v>420</v>
      </c>
      <c r="AF138">
        <v>0</v>
      </c>
      <c r="AG138" t="s">
        <v>544</v>
      </c>
      <c r="AH138">
        <v>100000</v>
      </c>
      <c r="AI138" t="s">
        <v>174</v>
      </c>
      <c r="AJ138">
        <v>1992000</v>
      </c>
      <c r="AP138">
        <v>0</v>
      </c>
      <c r="AQ138">
        <v>5494109.1673499998</v>
      </c>
      <c r="AR138">
        <v>548837.48415871395</v>
      </c>
      <c r="AS138">
        <v>4945271.6831912855</v>
      </c>
      <c r="AT138">
        <v>45297.5</v>
      </c>
      <c r="AU138">
        <v>0</v>
      </c>
      <c r="AV138">
        <v>28295.48</v>
      </c>
      <c r="AW138">
        <v>81399.231465416175</v>
      </c>
      <c r="AX138">
        <v>-7806.2514654161787</v>
      </c>
      <c r="AY138">
        <v>0</v>
      </c>
    </row>
    <row r="139" spans="1:51" hidden="1" x14ac:dyDescent="0.35">
      <c r="A139" t="s">
        <v>324</v>
      </c>
      <c r="C139" t="s">
        <v>223</v>
      </c>
      <c r="D139">
        <v>17693</v>
      </c>
      <c r="E139">
        <v>10086.1</v>
      </c>
      <c r="F139">
        <v>0</v>
      </c>
      <c r="G139">
        <v>135503.9</v>
      </c>
      <c r="H139">
        <v>0</v>
      </c>
      <c r="I139">
        <v>177622.60104337631</v>
      </c>
      <c r="J139">
        <v>0.3</v>
      </c>
      <c r="K139">
        <v>55.552422184084179</v>
      </c>
      <c r="L139">
        <v>2.6115373382918698</v>
      </c>
      <c r="M139">
        <v>52.940884845792311</v>
      </c>
      <c r="N139">
        <v>2028</v>
      </c>
      <c r="O139" t="s">
        <v>224</v>
      </c>
      <c r="P139">
        <v>2188500</v>
      </c>
      <c r="Q139">
        <v>0</v>
      </c>
      <c r="S139">
        <v>83.123735319617921</v>
      </c>
      <c r="T139">
        <v>56.992536156106937</v>
      </c>
      <c r="V139">
        <v>90.470150093257217</v>
      </c>
      <c r="W139">
        <v>2024</v>
      </c>
      <c r="X139">
        <v>8.64</v>
      </c>
      <c r="Z139">
        <v>288.21325437946115</v>
      </c>
      <c r="AA139">
        <v>44</v>
      </c>
      <c r="AB139">
        <v>50</v>
      </c>
      <c r="AF139">
        <v>14000</v>
      </c>
      <c r="AG139" t="s">
        <v>545</v>
      </c>
      <c r="AH139">
        <v>25000</v>
      </c>
      <c r="AJ139">
        <v>1190000</v>
      </c>
      <c r="AP139" t="s">
        <v>177</v>
      </c>
      <c r="AQ139">
        <v>1470708.2490099999</v>
      </c>
      <c r="AR139">
        <v>1600688.3655999999</v>
      </c>
      <c r="AS139">
        <v>-129980.11658999999</v>
      </c>
      <c r="AT139">
        <v>10086.1</v>
      </c>
      <c r="AU139">
        <v>0</v>
      </c>
      <c r="AV139">
        <v>13550.39</v>
      </c>
      <c r="AW139">
        <v>17762.260104337631</v>
      </c>
      <c r="AX139">
        <v>5874.2298956623672</v>
      </c>
      <c r="AY139" t="s">
        <v>469</v>
      </c>
    </row>
    <row r="140" spans="1:51" hidden="1" x14ac:dyDescent="0.35">
      <c r="A140" t="s">
        <v>263</v>
      </c>
      <c r="C140" t="s">
        <v>172</v>
      </c>
      <c r="D140">
        <v>18061</v>
      </c>
      <c r="E140">
        <v>6896.4</v>
      </c>
      <c r="G140">
        <v>186406</v>
      </c>
      <c r="H140">
        <v>0</v>
      </c>
      <c r="I140">
        <v>227166.55369284874</v>
      </c>
      <c r="J140">
        <v>0.15</v>
      </c>
      <c r="K140">
        <v>39.362580947484034</v>
      </c>
      <c r="L140">
        <v>3.339968751133668</v>
      </c>
      <c r="M140">
        <v>36.022612196350366</v>
      </c>
      <c r="N140">
        <v>2032</v>
      </c>
      <c r="O140">
        <v>2023</v>
      </c>
      <c r="P140">
        <v>850000</v>
      </c>
      <c r="Q140">
        <v>0</v>
      </c>
      <c r="S140">
        <v>73.389759594706817</v>
      </c>
      <c r="T140">
        <v>38.17480626986324</v>
      </c>
      <c r="V140">
        <v>18.239984299872653</v>
      </c>
      <c r="W140">
        <v>2034</v>
      </c>
      <c r="X140">
        <v>345.6</v>
      </c>
      <c r="Z140">
        <v>230.57060350356892</v>
      </c>
      <c r="AA140">
        <v>60</v>
      </c>
      <c r="AB140">
        <v>50</v>
      </c>
      <c r="AF140">
        <v>28000</v>
      </c>
      <c r="AG140" t="s">
        <v>546</v>
      </c>
      <c r="AH140">
        <v>50000</v>
      </c>
      <c r="AI140" t="s">
        <v>181</v>
      </c>
      <c r="AJ140">
        <v>433464</v>
      </c>
      <c r="AM140">
        <v>1400000</v>
      </c>
      <c r="AO140" t="s">
        <v>204</v>
      </c>
      <c r="AP140" t="s">
        <v>483</v>
      </c>
      <c r="AQ140">
        <v>1325492.4480399999</v>
      </c>
      <c r="AR140">
        <v>329432.35644</v>
      </c>
      <c r="AS140">
        <v>996060.09159999993</v>
      </c>
      <c r="AT140">
        <v>6896.4</v>
      </c>
      <c r="AU140">
        <v>0</v>
      </c>
      <c r="AV140">
        <v>18640.600000000002</v>
      </c>
      <c r="AW140">
        <v>22716.655369284876</v>
      </c>
      <c r="AX140">
        <v>2820.3446307151244</v>
      </c>
      <c r="AY140" t="s">
        <v>484</v>
      </c>
    </row>
    <row r="141" spans="1:51" hidden="1" x14ac:dyDescent="0.35">
      <c r="A141" t="s">
        <v>203</v>
      </c>
      <c r="C141" t="s">
        <v>172</v>
      </c>
      <c r="D141">
        <v>18084</v>
      </c>
      <c r="E141">
        <v>8071.7</v>
      </c>
      <c r="G141">
        <v>250898.5</v>
      </c>
      <c r="H141">
        <v>0</v>
      </c>
      <c r="I141">
        <v>310973.12831184058</v>
      </c>
      <c r="J141">
        <v>0.1</v>
      </c>
      <c r="K141">
        <v>46.551984026545341</v>
      </c>
      <c r="L141">
        <v>4.5721542811631117</v>
      </c>
      <c r="M141">
        <v>41.979829745382233</v>
      </c>
      <c r="N141">
        <v>2030</v>
      </c>
      <c r="O141">
        <v>2032</v>
      </c>
      <c r="P141">
        <v>1250000</v>
      </c>
      <c r="Q141">
        <v>0</v>
      </c>
      <c r="S141">
        <v>91.962108403561174</v>
      </c>
      <c r="T141">
        <v>44.623815879783237</v>
      </c>
      <c r="V141">
        <v>5.1413333333333338</v>
      </c>
      <c r="W141">
        <v>2034</v>
      </c>
      <c r="X141">
        <v>172.8</v>
      </c>
      <c r="Z141">
        <v>288.21325437946115</v>
      </c>
      <c r="AA141">
        <v>96</v>
      </c>
      <c r="AB141">
        <v>55</v>
      </c>
      <c r="AF141">
        <v>28000</v>
      </c>
      <c r="AG141" t="s">
        <v>547</v>
      </c>
      <c r="AH141">
        <v>50000</v>
      </c>
      <c r="AI141" t="s">
        <v>181</v>
      </c>
      <c r="AJ141">
        <v>434016</v>
      </c>
      <c r="AM141">
        <v>1100000</v>
      </c>
      <c r="AO141" t="s">
        <v>204</v>
      </c>
      <c r="AP141" t="s">
        <v>483</v>
      </c>
      <c r="AQ141">
        <v>1663042.7683700002</v>
      </c>
      <c r="AR141">
        <v>92975.872000000003</v>
      </c>
      <c r="AS141">
        <v>1570066.8963700002</v>
      </c>
      <c r="AT141">
        <v>8071.7</v>
      </c>
      <c r="AU141">
        <v>0</v>
      </c>
      <c r="AV141">
        <v>25089.850000000002</v>
      </c>
      <c r="AW141">
        <v>31097.312831184059</v>
      </c>
      <c r="AX141">
        <v>2064.2371688159437</v>
      </c>
      <c r="AY141" t="s">
        <v>484</v>
      </c>
    </row>
    <row r="142" spans="1:51" hidden="1" x14ac:dyDescent="0.35">
      <c r="A142" t="s">
        <v>267</v>
      </c>
      <c r="C142" t="s">
        <v>232</v>
      </c>
      <c r="D142">
        <v>18100</v>
      </c>
      <c r="E142">
        <v>6242.4</v>
      </c>
      <c r="G142">
        <v>274237.3</v>
      </c>
      <c r="H142">
        <v>0</v>
      </c>
      <c r="I142">
        <v>347419.01160609612</v>
      </c>
      <c r="J142">
        <v>0</v>
      </c>
      <c r="K142">
        <v>37.181009404273482</v>
      </c>
      <c r="L142">
        <v>5.1080083025031815</v>
      </c>
      <c r="M142">
        <v>32.073001101770302</v>
      </c>
      <c r="N142">
        <v>2027</v>
      </c>
      <c r="O142" t="s">
        <v>268</v>
      </c>
      <c r="P142">
        <v>653100</v>
      </c>
      <c r="S142">
        <v>86.176158797790052</v>
      </c>
      <c r="T142">
        <v>34.480155062983421</v>
      </c>
      <c r="V142">
        <v>16.663844883977902</v>
      </c>
      <c r="W142" t="s">
        <v>269</v>
      </c>
      <c r="X142">
        <v>0</v>
      </c>
      <c r="Z142" t="s">
        <v>228</v>
      </c>
      <c r="AA142" t="s">
        <v>228</v>
      </c>
      <c r="AB142" t="s">
        <v>228</v>
      </c>
      <c r="AF142">
        <v>0</v>
      </c>
      <c r="AG142" t="s">
        <v>548</v>
      </c>
      <c r="AH142">
        <v>0</v>
      </c>
      <c r="AI142" t="s">
        <v>181</v>
      </c>
      <c r="AJ142">
        <v>622000</v>
      </c>
      <c r="AQ142">
        <v>1559788.4742399999</v>
      </c>
      <c r="AR142">
        <v>301615.59240000002</v>
      </c>
      <c r="AS142">
        <v>1258172.8818399999</v>
      </c>
      <c r="AT142">
        <v>6242.4</v>
      </c>
      <c r="AU142">
        <v>0</v>
      </c>
      <c r="AV142">
        <v>27423.73</v>
      </c>
      <c r="AW142">
        <v>34741.90116060961</v>
      </c>
      <c r="AX142">
        <v>-1075.7711606096127</v>
      </c>
      <c r="AY142">
        <v>0</v>
      </c>
    </row>
    <row r="143" spans="1:51" hidden="1" x14ac:dyDescent="0.35">
      <c r="A143" t="s">
        <v>385</v>
      </c>
      <c r="C143" t="s">
        <v>223</v>
      </c>
      <c r="D143">
        <v>18258</v>
      </c>
      <c r="E143">
        <v>9181.4</v>
      </c>
      <c r="F143">
        <v>0</v>
      </c>
      <c r="G143">
        <v>117537.60000000001</v>
      </c>
      <c r="H143">
        <v>0</v>
      </c>
      <c r="I143">
        <v>202656.75910902696</v>
      </c>
      <c r="J143">
        <v>0.1</v>
      </c>
      <c r="K143">
        <v>50.484046559166828</v>
      </c>
      <c r="L143">
        <v>2.9796078323456179</v>
      </c>
      <c r="M143">
        <v>47.504438726821206</v>
      </c>
      <c r="N143">
        <v>2025</v>
      </c>
      <c r="O143" t="s">
        <v>224</v>
      </c>
      <c r="P143">
        <v>1740283</v>
      </c>
      <c r="Q143">
        <v>2023</v>
      </c>
      <c r="S143">
        <v>72.240051250958487</v>
      </c>
      <c r="T143">
        <v>50.274978888158614</v>
      </c>
      <c r="V143">
        <v>137.51279399715193</v>
      </c>
      <c r="W143">
        <v>2024</v>
      </c>
      <c r="X143">
        <v>8.64</v>
      </c>
      <c r="Z143">
        <v>216.15994078459588</v>
      </c>
      <c r="AA143">
        <v>50</v>
      </c>
      <c r="AB143">
        <v>50</v>
      </c>
      <c r="AF143">
        <v>0</v>
      </c>
      <c r="AG143" t="s">
        <v>549</v>
      </c>
      <c r="AH143">
        <v>0</v>
      </c>
      <c r="AI143" t="s">
        <v>181</v>
      </c>
      <c r="AJ143">
        <v>1290075.5</v>
      </c>
      <c r="AK143" t="s">
        <v>197</v>
      </c>
      <c r="AL143">
        <v>354353</v>
      </c>
      <c r="AM143">
        <v>95854.5</v>
      </c>
      <c r="AN143" t="s">
        <v>209</v>
      </c>
      <c r="AP143" t="s">
        <v>181</v>
      </c>
      <c r="AQ143">
        <v>1318958.85574</v>
      </c>
      <c r="AR143">
        <v>2510708.5927999998</v>
      </c>
      <c r="AS143">
        <v>-1191749.7370599997</v>
      </c>
      <c r="AT143">
        <v>9181.4</v>
      </c>
      <c r="AU143">
        <v>0</v>
      </c>
      <c r="AV143">
        <v>11753.760000000002</v>
      </c>
      <c r="AW143">
        <v>20265.675910902697</v>
      </c>
      <c r="AX143">
        <v>669.48408909730642</v>
      </c>
      <c r="AY143" t="s">
        <v>469</v>
      </c>
    </row>
    <row r="144" spans="1:51" hidden="1" x14ac:dyDescent="0.35">
      <c r="A144" t="s">
        <v>334</v>
      </c>
      <c r="C144" t="s">
        <v>223</v>
      </c>
      <c r="D144">
        <v>18261</v>
      </c>
      <c r="E144">
        <v>3929.5</v>
      </c>
      <c r="F144">
        <v>0</v>
      </c>
      <c r="G144">
        <v>194496.4</v>
      </c>
      <c r="H144">
        <v>0</v>
      </c>
      <c r="I144">
        <v>192450.57838218054</v>
      </c>
      <c r="J144">
        <v>0.2</v>
      </c>
      <c r="K144">
        <v>23.72642404681547</v>
      </c>
      <c r="L144">
        <v>2.8295491016832663</v>
      </c>
      <c r="M144">
        <v>20.896874945132204</v>
      </c>
      <c r="N144">
        <v>2027</v>
      </c>
      <c r="O144" t="s">
        <v>224</v>
      </c>
      <c r="P144">
        <v>1817817</v>
      </c>
      <c r="Q144">
        <v>0</v>
      </c>
      <c r="S144">
        <v>57.854323517332013</v>
      </c>
      <c r="T144">
        <v>21.513393842067796</v>
      </c>
      <c r="V144">
        <v>33.997005990909592</v>
      </c>
      <c r="W144">
        <v>2024</v>
      </c>
      <c r="X144">
        <v>8.64</v>
      </c>
      <c r="Z144">
        <v>216.15994078459588</v>
      </c>
      <c r="AA144">
        <v>64</v>
      </c>
      <c r="AB144">
        <v>50</v>
      </c>
      <c r="AF144">
        <v>14000</v>
      </c>
      <c r="AG144" t="s">
        <v>550</v>
      </c>
      <c r="AH144">
        <v>25000</v>
      </c>
      <c r="AI144" t="s">
        <v>174</v>
      </c>
      <c r="AJ144">
        <v>1670881.5</v>
      </c>
      <c r="AM144">
        <v>100435.5</v>
      </c>
      <c r="AN144" t="s">
        <v>209</v>
      </c>
      <c r="AP144" t="s">
        <v>177</v>
      </c>
      <c r="AQ144">
        <v>1056477.8017499999</v>
      </c>
      <c r="AR144">
        <v>620819.32640000002</v>
      </c>
      <c r="AS144">
        <v>435658.47534999985</v>
      </c>
      <c r="AT144">
        <v>3929.5</v>
      </c>
      <c r="AU144">
        <v>0</v>
      </c>
      <c r="AV144">
        <v>19449.64</v>
      </c>
      <c r="AW144">
        <v>19245.057838218054</v>
      </c>
      <c r="AX144">
        <v>4134.0821617819456</v>
      </c>
      <c r="AY144" t="s">
        <v>469</v>
      </c>
    </row>
    <row r="145" spans="1:51" hidden="1" x14ac:dyDescent="0.35">
      <c r="A145" t="s">
        <v>207</v>
      </c>
      <c r="C145" t="s">
        <v>172</v>
      </c>
      <c r="D145">
        <v>18539</v>
      </c>
      <c r="E145">
        <v>9468.7000000000007</v>
      </c>
      <c r="G145">
        <v>184749.1</v>
      </c>
      <c r="H145">
        <v>0</v>
      </c>
      <c r="I145">
        <v>236603.03146541622</v>
      </c>
      <c r="J145">
        <v>0.2</v>
      </c>
      <c r="K145">
        <v>52.997886307390708</v>
      </c>
      <c r="L145">
        <v>3.4787107462416174</v>
      </c>
      <c r="M145">
        <v>49.51917556114909</v>
      </c>
      <c r="N145">
        <v>2031</v>
      </c>
      <c r="O145">
        <v>2029</v>
      </c>
      <c r="P145">
        <v>2700000</v>
      </c>
      <c r="Q145">
        <v>0</v>
      </c>
      <c r="S145">
        <v>85.064330722800591</v>
      </c>
      <c r="T145">
        <v>51.062284808781492</v>
      </c>
      <c r="V145">
        <v>6.6519457608807473</v>
      </c>
      <c r="W145">
        <v>2024</v>
      </c>
      <c r="X145">
        <v>345.6</v>
      </c>
      <c r="Z145">
        <v>115.2</v>
      </c>
      <c r="AA145">
        <v>50</v>
      </c>
      <c r="AB145">
        <v>60</v>
      </c>
      <c r="AF145">
        <v>28000</v>
      </c>
      <c r="AG145" t="s">
        <v>551</v>
      </c>
      <c r="AH145">
        <v>50000</v>
      </c>
      <c r="AI145" t="s">
        <v>181</v>
      </c>
      <c r="AJ145">
        <v>1891080</v>
      </c>
      <c r="AM145">
        <v>1934300</v>
      </c>
      <c r="AN145" t="s">
        <v>187</v>
      </c>
      <c r="AO145" t="s">
        <v>184</v>
      </c>
      <c r="AP145" t="s">
        <v>492</v>
      </c>
      <c r="AQ145">
        <v>1577007.6272700001</v>
      </c>
      <c r="AR145">
        <v>123320.42246096817</v>
      </c>
      <c r="AS145">
        <v>1453687.2048090319</v>
      </c>
      <c r="AT145">
        <v>9468.7000000000007</v>
      </c>
      <c r="AU145">
        <v>0</v>
      </c>
      <c r="AV145">
        <v>18474.91</v>
      </c>
      <c r="AW145">
        <v>23660.303146541624</v>
      </c>
      <c r="AX145">
        <v>4283.3068534583763</v>
      </c>
      <c r="AY145" t="s">
        <v>470</v>
      </c>
    </row>
    <row r="146" spans="1:51" hidden="1" x14ac:dyDescent="0.35">
      <c r="A146" t="s">
        <v>201</v>
      </c>
      <c r="C146" t="s">
        <v>172</v>
      </c>
      <c r="D146">
        <v>18545</v>
      </c>
      <c r="E146">
        <v>7622.7</v>
      </c>
      <c r="G146">
        <v>171470.7</v>
      </c>
      <c r="H146">
        <v>0</v>
      </c>
      <c r="I146">
        <v>195625.59240914421</v>
      </c>
      <c r="J146">
        <v>0.25</v>
      </c>
      <c r="K146">
        <v>42.999856949618014</v>
      </c>
      <c r="L146">
        <v>2.876230479122341</v>
      </c>
      <c r="M146">
        <v>40.123626470495672</v>
      </c>
      <c r="N146">
        <v>2027</v>
      </c>
      <c r="O146" t="s">
        <v>268</v>
      </c>
      <c r="P146">
        <v>2180000</v>
      </c>
      <c r="Q146">
        <v>0</v>
      </c>
      <c r="S146">
        <v>72.641997620382853</v>
      </c>
      <c r="T146">
        <v>41.093977755190082</v>
      </c>
      <c r="V146">
        <v>6.6367967646265846</v>
      </c>
      <c r="W146">
        <v>2024</v>
      </c>
      <c r="X146">
        <v>43.2</v>
      </c>
      <c r="Y146" t="s">
        <v>180</v>
      </c>
      <c r="Z146">
        <v>266.04300404257958</v>
      </c>
      <c r="AA146">
        <v>61</v>
      </c>
      <c r="AB146">
        <v>50</v>
      </c>
      <c r="AF146">
        <v>0</v>
      </c>
      <c r="AG146" t="s">
        <v>552</v>
      </c>
      <c r="AH146">
        <v>0</v>
      </c>
      <c r="AI146" t="s">
        <v>181</v>
      </c>
      <c r="AJ146">
        <v>1833800.1</v>
      </c>
      <c r="AL146">
        <v>349725</v>
      </c>
      <c r="AM146">
        <v>244722.5</v>
      </c>
      <c r="AN146" t="s">
        <v>187</v>
      </c>
      <c r="AP146">
        <v>0</v>
      </c>
      <c r="AQ146">
        <v>1347145.8458700001</v>
      </c>
      <c r="AR146">
        <v>123079.39600000001</v>
      </c>
      <c r="AS146">
        <v>1224066.4498700001</v>
      </c>
      <c r="AT146">
        <v>7622.7</v>
      </c>
      <c r="AU146">
        <v>0</v>
      </c>
      <c r="AV146">
        <v>17147.070000000003</v>
      </c>
      <c r="AW146">
        <v>19562.559240914423</v>
      </c>
      <c r="AX146">
        <v>5207.2107590855812</v>
      </c>
      <c r="AY146" t="s">
        <v>469</v>
      </c>
    </row>
    <row r="147" spans="1:51" hidden="1" x14ac:dyDescent="0.35">
      <c r="A147" t="s">
        <v>206</v>
      </c>
      <c r="C147" t="s">
        <v>172</v>
      </c>
      <c r="D147">
        <v>18832</v>
      </c>
      <c r="E147">
        <v>3485.5</v>
      </c>
      <c r="G147">
        <v>156756.4</v>
      </c>
      <c r="H147">
        <v>0</v>
      </c>
      <c r="I147">
        <v>177856.25824150059</v>
      </c>
      <c r="J147">
        <v>0.1</v>
      </c>
      <c r="K147">
        <v>20.813772947221505</v>
      </c>
      <c r="L147">
        <v>2.6149727372426668</v>
      </c>
      <c r="M147">
        <v>18.198800209978838</v>
      </c>
      <c r="N147">
        <v>2032</v>
      </c>
      <c r="O147">
        <v>2033</v>
      </c>
      <c r="P147">
        <v>850000</v>
      </c>
      <c r="Q147" t="s">
        <v>553</v>
      </c>
      <c r="S147">
        <v>46.905242849936272</v>
      </c>
      <c r="T147">
        <v>18.50396646930756</v>
      </c>
      <c r="V147">
        <v>5.1720534409515713</v>
      </c>
      <c r="W147">
        <v>2024</v>
      </c>
      <c r="X147">
        <v>345.6</v>
      </c>
      <c r="Y147" t="s">
        <v>180</v>
      </c>
      <c r="Z147">
        <v>172.92795262767672</v>
      </c>
      <c r="AA147">
        <v>54</v>
      </c>
      <c r="AB147">
        <v>55</v>
      </c>
      <c r="AF147">
        <v>28000</v>
      </c>
      <c r="AG147" t="s">
        <v>554</v>
      </c>
      <c r="AH147">
        <v>50000</v>
      </c>
      <c r="AI147" t="s">
        <v>181</v>
      </c>
      <c r="AJ147">
        <v>451968</v>
      </c>
      <c r="AM147">
        <v>1100000</v>
      </c>
      <c r="AO147" t="s">
        <v>204</v>
      </c>
      <c r="AP147" t="s">
        <v>483</v>
      </c>
      <c r="AQ147">
        <v>883319.53334999993</v>
      </c>
      <c r="AR147">
        <v>97400.11039999999</v>
      </c>
      <c r="AS147">
        <v>785919.42294999992</v>
      </c>
      <c r="AT147">
        <v>3485.5</v>
      </c>
      <c r="AU147">
        <v>0</v>
      </c>
      <c r="AV147">
        <v>15675.64</v>
      </c>
      <c r="AW147">
        <v>17785.625824150058</v>
      </c>
      <c r="AX147">
        <v>1375.5141758499412</v>
      </c>
      <c r="AY147" t="s">
        <v>470</v>
      </c>
    </row>
    <row r="148" spans="1:51" hidden="1" x14ac:dyDescent="0.35">
      <c r="A148" t="s">
        <v>325</v>
      </c>
      <c r="C148" t="s">
        <v>223</v>
      </c>
      <c r="D148">
        <v>19246</v>
      </c>
      <c r="E148">
        <v>2813.5</v>
      </c>
      <c r="F148">
        <v>0</v>
      </c>
      <c r="G148">
        <v>76450.7</v>
      </c>
      <c r="H148">
        <v>0</v>
      </c>
      <c r="I148">
        <v>109434.28733880422</v>
      </c>
      <c r="J148">
        <v>0</v>
      </c>
      <c r="K148">
        <v>16.064543035648992</v>
      </c>
      <c r="L148">
        <v>1.6089828985493617</v>
      </c>
      <c r="M148">
        <v>14.45556013709963</v>
      </c>
      <c r="N148">
        <v>2028</v>
      </c>
      <c r="O148" t="s">
        <v>224</v>
      </c>
      <c r="P148">
        <v>572500</v>
      </c>
      <c r="Q148">
        <v>0</v>
      </c>
      <c r="R148" t="s">
        <v>236</v>
      </c>
      <c r="S148">
        <v>28.168582861373796</v>
      </c>
      <c r="T148">
        <v>14.615128200665074</v>
      </c>
      <c r="V148">
        <v>23.820281409123975</v>
      </c>
      <c r="W148">
        <v>2024</v>
      </c>
      <c r="X148">
        <v>933.12</v>
      </c>
      <c r="Z148">
        <v>96</v>
      </c>
      <c r="AA148">
        <v>57</v>
      </c>
      <c r="AB148">
        <v>95.41</v>
      </c>
      <c r="AF148">
        <v>0</v>
      </c>
      <c r="AG148">
        <v>0</v>
      </c>
      <c r="AH148">
        <v>25000</v>
      </c>
      <c r="AI148" t="s">
        <v>174</v>
      </c>
      <c r="AJ148">
        <v>300000</v>
      </c>
      <c r="AK148" t="s">
        <v>237</v>
      </c>
      <c r="AP148" t="s">
        <v>233</v>
      </c>
      <c r="AQ148">
        <v>542132.54575000005</v>
      </c>
      <c r="AR148">
        <v>458445.136</v>
      </c>
      <c r="AS148">
        <v>83687.40975000005</v>
      </c>
      <c r="AT148">
        <v>2813.5</v>
      </c>
      <c r="AU148">
        <v>0</v>
      </c>
      <c r="AV148">
        <v>7645.07</v>
      </c>
      <c r="AW148">
        <v>10943.428733880422</v>
      </c>
      <c r="AX148">
        <v>-484.85873388042273</v>
      </c>
      <c r="AY148" t="s">
        <v>478</v>
      </c>
    </row>
    <row r="149" spans="1:51" hidden="1" x14ac:dyDescent="0.35">
      <c r="A149" t="s">
        <v>361</v>
      </c>
      <c r="C149" t="s">
        <v>223</v>
      </c>
      <c r="D149">
        <v>19273</v>
      </c>
      <c r="E149">
        <v>11766</v>
      </c>
      <c r="F149">
        <v>0</v>
      </c>
      <c r="G149">
        <v>9599</v>
      </c>
      <c r="H149">
        <v>0</v>
      </c>
      <c r="I149">
        <v>118028.55521688159</v>
      </c>
      <c r="J149">
        <v>0.2</v>
      </c>
      <c r="K149">
        <v>62.622037266534257</v>
      </c>
      <c r="L149">
        <v>1.7353421080589695</v>
      </c>
      <c r="M149">
        <v>60.886695158475284</v>
      </c>
      <c r="N149">
        <v>2030</v>
      </c>
      <c r="O149" t="s">
        <v>219</v>
      </c>
      <c r="P149">
        <v>3054200</v>
      </c>
      <c r="Q149">
        <v>0</v>
      </c>
      <c r="S149">
        <v>62.733906532454732</v>
      </c>
      <c r="T149">
        <v>61.034545353603491</v>
      </c>
      <c r="V149">
        <v>36.140591459554813</v>
      </c>
      <c r="W149">
        <v>2024</v>
      </c>
      <c r="X149">
        <v>8.64</v>
      </c>
      <c r="Z149">
        <v>288.21325437946115</v>
      </c>
      <c r="AA149">
        <v>61</v>
      </c>
      <c r="AB149">
        <v>50</v>
      </c>
      <c r="AF149">
        <v>14000</v>
      </c>
      <c r="AG149" t="s">
        <v>555</v>
      </c>
      <c r="AH149">
        <v>0</v>
      </c>
      <c r="AI149" t="s">
        <v>174</v>
      </c>
      <c r="AJ149">
        <v>1689000</v>
      </c>
      <c r="AP149" t="s">
        <v>177</v>
      </c>
      <c r="AQ149">
        <v>1209070.5806</v>
      </c>
      <c r="AR149">
        <v>696537.61919999996</v>
      </c>
      <c r="AS149">
        <v>512532.96140000003</v>
      </c>
      <c r="AT149">
        <v>11766</v>
      </c>
      <c r="AU149">
        <v>0</v>
      </c>
      <c r="AV149">
        <v>959.90000000000009</v>
      </c>
      <c r="AW149">
        <v>11802.85552168816</v>
      </c>
      <c r="AX149">
        <v>923.04447831184007</v>
      </c>
      <c r="AY149" t="s">
        <v>469</v>
      </c>
    </row>
    <row r="150" spans="1:51" hidden="1" x14ac:dyDescent="0.35">
      <c r="A150" t="s">
        <v>198</v>
      </c>
      <c r="C150" t="s">
        <v>172</v>
      </c>
      <c r="D150">
        <v>19930</v>
      </c>
      <c r="E150">
        <v>12415.9</v>
      </c>
      <c r="G150">
        <v>253056.5</v>
      </c>
      <c r="H150">
        <v>0</v>
      </c>
      <c r="I150">
        <v>298959.13936107856</v>
      </c>
      <c r="J150">
        <v>0.25</v>
      </c>
      <c r="K150">
        <v>69.652686747898954</v>
      </c>
      <c r="L150">
        <v>4.3955158323258541</v>
      </c>
      <c r="M150">
        <v>65.257170915573099</v>
      </c>
      <c r="N150">
        <v>2027</v>
      </c>
      <c r="O150">
        <v>2029</v>
      </c>
      <c r="P150">
        <v>2200000</v>
      </c>
      <c r="Q150">
        <v>0</v>
      </c>
      <c r="S150">
        <v>105.60572192624186</v>
      </c>
      <c r="T150">
        <v>62.282652282488705</v>
      </c>
      <c r="V150">
        <v>4.148686603110888</v>
      </c>
      <c r="W150">
        <v>2022</v>
      </c>
      <c r="X150">
        <v>146.88</v>
      </c>
      <c r="Y150" t="s">
        <v>180</v>
      </c>
      <c r="Z150">
        <v>149.64918977395098</v>
      </c>
      <c r="AA150">
        <v>54</v>
      </c>
      <c r="AB150">
        <v>40</v>
      </c>
      <c r="AF150">
        <v>0</v>
      </c>
      <c r="AG150" t="s">
        <v>556</v>
      </c>
      <c r="AH150">
        <v>25000</v>
      </c>
      <c r="AI150" t="s">
        <v>174</v>
      </c>
      <c r="AJ150">
        <v>1547763.7999999998</v>
      </c>
      <c r="AK150" t="s">
        <v>197</v>
      </c>
      <c r="AL150">
        <v>304218</v>
      </c>
      <c r="AM150">
        <v>648810</v>
      </c>
      <c r="AN150" t="s">
        <v>187</v>
      </c>
      <c r="AP150">
        <v>0</v>
      </c>
      <c r="AQ150">
        <v>2104722.0379900001</v>
      </c>
      <c r="AR150">
        <v>82683.323999999993</v>
      </c>
      <c r="AS150">
        <v>2022038.7139900001</v>
      </c>
      <c r="AT150">
        <v>12415.9</v>
      </c>
      <c r="AU150">
        <v>0</v>
      </c>
      <c r="AV150">
        <v>25305.65</v>
      </c>
      <c r="AW150">
        <v>29895.913936107856</v>
      </c>
      <c r="AX150">
        <v>7825.6360638921469</v>
      </c>
      <c r="AY150" t="s">
        <v>470</v>
      </c>
    </row>
    <row r="151" spans="1:51" hidden="1" x14ac:dyDescent="0.35">
      <c r="A151" t="s">
        <v>254</v>
      </c>
      <c r="C151" t="s">
        <v>172</v>
      </c>
      <c r="D151">
        <v>20000</v>
      </c>
      <c r="E151">
        <v>0</v>
      </c>
      <c r="N151">
        <v>2029</v>
      </c>
      <c r="O151">
        <v>2022</v>
      </c>
      <c r="P151">
        <v>3600000</v>
      </c>
      <c r="S151">
        <v>0</v>
      </c>
      <c r="X151">
        <v>1036.8</v>
      </c>
      <c r="Z151" t="s">
        <v>225</v>
      </c>
      <c r="AA151">
        <v>50</v>
      </c>
      <c r="AB151">
        <v>0</v>
      </c>
      <c r="AF151">
        <v>0</v>
      </c>
      <c r="AH151">
        <v>0</v>
      </c>
      <c r="AJ151">
        <v>2000000</v>
      </c>
      <c r="AL151">
        <v>0</v>
      </c>
      <c r="AM151">
        <v>0</v>
      </c>
    </row>
    <row r="152" spans="1:51" hidden="1" x14ac:dyDescent="0.35">
      <c r="A152" t="s">
        <v>407</v>
      </c>
      <c r="C152" t="s">
        <v>172</v>
      </c>
      <c r="D152">
        <v>20000</v>
      </c>
      <c r="E152">
        <v>332.8</v>
      </c>
      <c r="F152">
        <v>0</v>
      </c>
      <c r="G152">
        <v>0</v>
      </c>
      <c r="H152">
        <v>0</v>
      </c>
      <c r="I152">
        <v>3901.5240328253226</v>
      </c>
      <c r="J152">
        <v>0</v>
      </c>
      <c r="K152">
        <v>1.7672654626783169</v>
      </c>
      <c r="L152">
        <v>5.7363058687999999E-2</v>
      </c>
      <c r="M152">
        <v>1.7099024039903168</v>
      </c>
      <c r="N152">
        <v>2023</v>
      </c>
      <c r="O152" t="s">
        <v>268</v>
      </c>
      <c r="P152">
        <v>180001</v>
      </c>
      <c r="S152">
        <v>1.6636023040000001</v>
      </c>
      <c r="V152">
        <v>83.984644639999999</v>
      </c>
      <c r="X152" t="e">
        <v>#N/A</v>
      </c>
      <c r="Z152" t="s">
        <v>225</v>
      </c>
      <c r="AB152">
        <v>0</v>
      </c>
      <c r="AF152">
        <v>0</v>
      </c>
      <c r="AG152" t="s">
        <v>346</v>
      </c>
      <c r="AH152">
        <v>0</v>
      </c>
      <c r="AI152" t="s">
        <v>226</v>
      </c>
      <c r="AJ152">
        <v>100000</v>
      </c>
      <c r="AM152">
        <v>1</v>
      </c>
      <c r="AQ152">
        <v>33272.04608</v>
      </c>
      <c r="AR152">
        <v>1679692.8928</v>
      </c>
      <c r="AS152">
        <v>-1646420.84672</v>
      </c>
      <c r="AT152">
        <v>332.8</v>
      </c>
      <c r="AU152">
        <v>0</v>
      </c>
      <c r="AV152">
        <v>0</v>
      </c>
      <c r="AW152">
        <v>390.1524032825323</v>
      </c>
      <c r="AX152">
        <v>57.352403282532293</v>
      </c>
      <c r="AY152" t="e">
        <v>#N/A</v>
      </c>
    </row>
    <row r="153" spans="1:51" hidden="1" x14ac:dyDescent="0.35">
      <c r="A153" t="s">
        <v>277</v>
      </c>
      <c r="C153" t="s">
        <v>232</v>
      </c>
      <c r="D153">
        <v>20017</v>
      </c>
      <c r="E153">
        <v>7799.3</v>
      </c>
      <c r="G153">
        <v>218814</v>
      </c>
      <c r="H153">
        <v>0</v>
      </c>
      <c r="I153">
        <v>310247.76318874559</v>
      </c>
      <c r="J153">
        <v>0</v>
      </c>
      <c r="K153">
        <v>44.633730476813064</v>
      </c>
      <c r="L153">
        <v>4.5614894328176323</v>
      </c>
      <c r="M153">
        <v>40.072241043995433</v>
      </c>
      <c r="N153">
        <v>2029</v>
      </c>
      <c r="P153">
        <v>1606500</v>
      </c>
      <c r="S153">
        <v>76.252034007593551</v>
      </c>
      <c r="T153">
        <v>38.954068877953738</v>
      </c>
      <c r="V153">
        <v>14.987366578408354</v>
      </c>
      <c r="W153">
        <v>0</v>
      </c>
      <c r="X153">
        <v>0</v>
      </c>
      <c r="Z153" t="s">
        <v>228</v>
      </c>
      <c r="AA153" t="s">
        <v>228</v>
      </c>
      <c r="AB153" t="s">
        <v>228</v>
      </c>
      <c r="AF153">
        <v>0</v>
      </c>
      <c r="AG153" t="s">
        <v>557</v>
      </c>
      <c r="AH153">
        <v>0</v>
      </c>
      <c r="AI153" t="s">
        <v>181</v>
      </c>
      <c r="AJ153">
        <v>1530000</v>
      </c>
      <c r="AQ153">
        <v>1526336.9647300001</v>
      </c>
      <c r="AR153">
        <v>300002.11680000002</v>
      </c>
      <c r="AS153">
        <v>1226334.8479300002</v>
      </c>
      <c r="AT153">
        <v>7799.3</v>
      </c>
      <c r="AU153">
        <v>0</v>
      </c>
      <c r="AV153">
        <v>21881.4</v>
      </c>
      <c r="AW153">
        <v>31024.776318874559</v>
      </c>
      <c r="AX153">
        <v>-1344.0763188745586</v>
      </c>
      <c r="AY153">
        <v>0</v>
      </c>
    </row>
    <row r="154" spans="1:51" hidden="1" x14ac:dyDescent="0.35">
      <c r="A154" t="s">
        <v>329</v>
      </c>
      <c r="C154" t="s">
        <v>223</v>
      </c>
      <c r="D154">
        <v>20050</v>
      </c>
      <c r="E154">
        <v>12701.7</v>
      </c>
      <c r="F154">
        <v>0</v>
      </c>
      <c r="G154">
        <v>239647</v>
      </c>
      <c r="H154">
        <v>0</v>
      </c>
      <c r="I154">
        <v>271987.24935521686</v>
      </c>
      <c r="J154">
        <v>0.3</v>
      </c>
      <c r="K154">
        <v>70.973212173792263</v>
      </c>
      <c r="L154">
        <v>3.9989553866345546</v>
      </c>
      <c r="M154">
        <v>66.974256787157714</v>
      </c>
      <c r="N154">
        <v>2025</v>
      </c>
      <c r="O154" t="s">
        <v>219</v>
      </c>
      <c r="P154">
        <v>2296400</v>
      </c>
      <c r="Q154">
        <v>0</v>
      </c>
      <c r="R154" t="s">
        <v>236</v>
      </c>
      <c r="S154">
        <v>104.11680764937655</v>
      </c>
      <c r="T154">
        <v>63.334984008478806</v>
      </c>
      <c r="V154">
        <v>30.418037571827551</v>
      </c>
      <c r="W154">
        <v>2024</v>
      </c>
      <c r="X154">
        <v>17.28</v>
      </c>
      <c r="Z154">
        <v>216.15994078459588</v>
      </c>
      <c r="AA154">
        <v>61</v>
      </c>
      <c r="AB154">
        <v>50</v>
      </c>
      <c r="AF154">
        <v>14000</v>
      </c>
      <c r="AG154" t="s">
        <v>558</v>
      </c>
      <c r="AH154">
        <v>0</v>
      </c>
      <c r="AI154" t="s">
        <v>174</v>
      </c>
      <c r="AJ154">
        <v>1268000</v>
      </c>
      <c r="AK154" t="s">
        <v>237</v>
      </c>
      <c r="AP154" t="s">
        <v>177</v>
      </c>
      <c r="AQ154">
        <v>2087541.9933699998</v>
      </c>
      <c r="AR154">
        <v>609881.65331514238</v>
      </c>
      <c r="AS154">
        <v>1477660.3400548575</v>
      </c>
      <c r="AT154">
        <v>12701.7</v>
      </c>
      <c r="AU154">
        <v>0</v>
      </c>
      <c r="AV154">
        <v>23964.7</v>
      </c>
      <c r="AW154">
        <v>27198.724935521688</v>
      </c>
      <c r="AX154">
        <v>9467.6750644783133</v>
      </c>
      <c r="AY154" t="s">
        <v>469</v>
      </c>
    </row>
    <row r="155" spans="1:51" hidden="1" x14ac:dyDescent="0.35">
      <c r="A155" t="s">
        <v>196</v>
      </c>
      <c r="C155" t="s">
        <v>172</v>
      </c>
      <c r="D155">
        <v>20424</v>
      </c>
      <c r="E155">
        <v>20599.099999999999</v>
      </c>
      <c r="G155">
        <v>245375.7</v>
      </c>
      <c r="H155">
        <v>0</v>
      </c>
      <c r="I155">
        <v>316462.72786049236</v>
      </c>
      <c r="J155">
        <v>0.35</v>
      </c>
      <c r="K155">
        <v>112.99494651513251</v>
      </c>
      <c r="L155">
        <v>4.6528663871077436</v>
      </c>
      <c r="M155">
        <v>108.34208012802476</v>
      </c>
      <c r="N155">
        <v>2027</v>
      </c>
      <c r="O155">
        <v>2033</v>
      </c>
      <c r="P155">
        <v>1500000</v>
      </c>
      <c r="Q155">
        <v>0</v>
      </c>
      <c r="S155">
        <v>141.82528250636506</v>
      </c>
      <c r="T155">
        <v>100.83321981541323</v>
      </c>
      <c r="V155">
        <v>3.0711067324644059</v>
      </c>
      <c r="W155">
        <v>2022</v>
      </c>
      <c r="X155">
        <v>1230.3000000000002</v>
      </c>
      <c r="Z155">
        <v>172.92795262767672</v>
      </c>
      <c r="AA155">
        <v>43</v>
      </c>
      <c r="AB155">
        <v>60</v>
      </c>
      <c r="AF155">
        <v>0</v>
      </c>
      <c r="AG155" t="s">
        <v>489</v>
      </c>
      <c r="AH155">
        <v>50000</v>
      </c>
      <c r="AI155" t="s">
        <v>174</v>
      </c>
      <c r="AJ155">
        <v>1295910.08</v>
      </c>
      <c r="AK155" t="s">
        <v>197</v>
      </c>
      <c r="AL155">
        <v>309410</v>
      </c>
      <c r="AM155">
        <v>1475898</v>
      </c>
      <c r="AN155" t="s">
        <v>187</v>
      </c>
      <c r="AP155">
        <v>0</v>
      </c>
      <c r="AQ155">
        <v>2896639.5699100001</v>
      </c>
      <c r="AR155">
        <v>62724.283903853029</v>
      </c>
      <c r="AS155">
        <v>2833915.286006147</v>
      </c>
      <c r="AT155">
        <v>20599.099999999999</v>
      </c>
      <c r="AU155">
        <v>0</v>
      </c>
      <c r="AV155">
        <v>24537.570000000003</v>
      </c>
      <c r="AW155">
        <v>31646.272786049238</v>
      </c>
      <c r="AX155">
        <v>13490.39721395076</v>
      </c>
      <c r="AY155" t="s">
        <v>478</v>
      </c>
    </row>
    <row r="156" spans="1:51" hidden="1" x14ac:dyDescent="0.35">
      <c r="A156" t="s">
        <v>309</v>
      </c>
      <c r="C156" t="s">
        <v>223</v>
      </c>
      <c r="D156">
        <v>20595</v>
      </c>
      <c r="E156">
        <v>9420.6</v>
      </c>
      <c r="F156">
        <v>0</v>
      </c>
      <c r="G156">
        <v>196720.7</v>
      </c>
      <c r="H156">
        <v>0</v>
      </c>
      <c r="I156">
        <v>215013.04803048063</v>
      </c>
      <c r="J156">
        <v>0.3</v>
      </c>
      <c r="K156">
        <v>52.918476436481086</v>
      </c>
      <c r="L156">
        <v>3.1612790256033847</v>
      </c>
      <c r="M156">
        <v>49.757197410877701</v>
      </c>
      <c r="N156">
        <v>2031</v>
      </c>
      <c r="O156" t="s">
        <v>219</v>
      </c>
      <c r="P156">
        <v>2476500</v>
      </c>
      <c r="Q156">
        <v>0</v>
      </c>
      <c r="S156">
        <v>78.322208111677597</v>
      </c>
      <c r="T156">
        <v>45.731238050983251</v>
      </c>
      <c r="V156">
        <v>27.930530478271425</v>
      </c>
      <c r="W156">
        <v>2024</v>
      </c>
      <c r="X156">
        <v>17.28</v>
      </c>
      <c r="Z156">
        <v>288.21325437946115</v>
      </c>
      <c r="AA156">
        <v>57</v>
      </c>
      <c r="AB156">
        <v>50</v>
      </c>
      <c r="AF156">
        <v>14000</v>
      </c>
      <c r="AG156" t="s">
        <v>559</v>
      </c>
      <c r="AH156">
        <v>25000</v>
      </c>
      <c r="AI156" t="s">
        <v>174</v>
      </c>
      <c r="AJ156">
        <v>1350000</v>
      </c>
      <c r="AP156" t="s">
        <v>177</v>
      </c>
      <c r="AQ156">
        <v>1613045.8760600002</v>
      </c>
      <c r="AR156">
        <v>575229.27520000003</v>
      </c>
      <c r="AS156">
        <v>1037816.6008600001</v>
      </c>
      <c r="AT156">
        <v>9420.6</v>
      </c>
      <c r="AU156">
        <v>0</v>
      </c>
      <c r="AV156">
        <v>19672.070000000003</v>
      </c>
      <c r="AW156">
        <v>21501.304803048064</v>
      </c>
      <c r="AX156">
        <v>7591.3651969519415</v>
      </c>
      <c r="AY156" t="s">
        <v>469</v>
      </c>
    </row>
    <row r="157" spans="1:51" hidden="1" x14ac:dyDescent="0.35">
      <c r="A157" t="s">
        <v>368</v>
      </c>
      <c r="C157" t="s">
        <v>223</v>
      </c>
      <c r="D157">
        <v>20616</v>
      </c>
      <c r="E157">
        <v>4710.3</v>
      </c>
      <c r="F157">
        <v>0</v>
      </c>
      <c r="G157">
        <v>231791.8</v>
      </c>
      <c r="H157">
        <v>0</v>
      </c>
      <c r="I157">
        <v>258310.97873388045</v>
      </c>
      <c r="J157">
        <v>0.1</v>
      </c>
      <c r="K157">
        <v>28.42104494627246</v>
      </c>
      <c r="L157">
        <v>3.7978768574023314</v>
      </c>
      <c r="M157">
        <v>24.623168088870127</v>
      </c>
      <c r="N157">
        <v>2028</v>
      </c>
      <c r="O157" t="s">
        <v>224</v>
      </c>
      <c r="P157">
        <v>2386500</v>
      </c>
      <c r="Q157">
        <v>0</v>
      </c>
      <c r="S157">
        <v>61.204455055781914</v>
      </c>
      <c r="T157">
        <v>22.865619025491625</v>
      </c>
      <c r="U157">
        <v>0</v>
      </c>
      <c r="V157">
        <v>134.71778121847109</v>
      </c>
      <c r="W157">
        <v>2024</v>
      </c>
      <c r="X157">
        <v>8.64</v>
      </c>
      <c r="Z157">
        <v>432.31988156919175</v>
      </c>
      <c r="AA157">
        <v>56</v>
      </c>
      <c r="AB157">
        <v>170</v>
      </c>
      <c r="AF157">
        <v>14000</v>
      </c>
      <c r="AG157" t="s">
        <v>560</v>
      </c>
      <c r="AH157">
        <v>25000</v>
      </c>
      <c r="AI157" t="s">
        <v>174</v>
      </c>
      <c r="AJ157">
        <v>1300000</v>
      </c>
      <c r="AP157" t="s">
        <v>174</v>
      </c>
      <c r="AQ157">
        <v>1261791.0454299999</v>
      </c>
      <c r="AR157">
        <v>2777341.7776000001</v>
      </c>
      <c r="AS157">
        <v>-1515550.7321700002</v>
      </c>
      <c r="AT157">
        <v>4710.3</v>
      </c>
      <c r="AU157">
        <v>0</v>
      </c>
      <c r="AV157">
        <v>23179.18</v>
      </c>
      <c r="AW157">
        <v>25831.097873388047</v>
      </c>
      <c r="AX157">
        <v>2058.3821266119521</v>
      </c>
      <c r="AY157" t="s">
        <v>469</v>
      </c>
    </row>
    <row r="158" spans="1:51" hidden="1" x14ac:dyDescent="0.35">
      <c r="A158" t="s">
        <v>360</v>
      </c>
      <c r="C158" t="s">
        <v>223</v>
      </c>
      <c r="D158">
        <v>20740</v>
      </c>
      <c r="E158">
        <v>127835</v>
      </c>
      <c r="F158">
        <v>0</v>
      </c>
      <c r="G158">
        <v>206295.2</v>
      </c>
      <c r="H158">
        <v>0</v>
      </c>
      <c r="I158">
        <v>1704947.0171160609</v>
      </c>
      <c r="J158">
        <v>0</v>
      </c>
      <c r="K158">
        <v>681.87439017451186</v>
      </c>
      <c r="L158">
        <v>25.067377511945175</v>
      </c>
      <c r="M158">
        <v>656.80701266256665</v>
      </c>
      <c r="N158">
        <v>2034</v>
      </c>
      <c r="O158" t="s">
        <v>224</v>
      </c>
      <c r="P158">
        <v>3362500</v>
      </c>
      <c r="Q158">
        <v>0</v>
      </c>
      <c r="S158">
        <v>650.16026836547735</v>
      </c>
      <c r="T158">
        <v>616.22202234811959</v>
      </c>
      <c r="V158">
        <v>94.361706075216972</v>
      </c>
      <c r="W158">
        <v>0</v>
      </c>
      <c r="X158">
        <v>0</v>
      </c>
      <c r="Z158">
        <v>498.83063257983662</v>
      </c>
      <c r="AA158">
        <v>168</v>
      </c>
      <c r="AB158" t="s">
        <v>420</v>
      </c>
      <c r="AF158">
        <v>0</v>
      </c>
      <c r="AG158" t="s">
        <v>529</v>
      </c>
      <c r="AH158">
        <v>25000</v>
      </c>
      <c r="AJ158">
        <v>1850000</v>
      </c>
      <c r="AP158">
        <v>0</v>
      </c>
      <c r="AQ158">
        <v>13484323.9659</v>
      </c>
      <c r="AR158">
        <v>1957061.784</v>
      </c>
      <c r="AS158">
        <v>11527262.1819</v>
      </c>
      <c r="AT158">
        <v>127835</v>
      </c>
      <c r="AU158">
        <v>0</v>
      </c>
      <c r="AV158">
        <v>20629.520000000004</v>
      </c>
      <c r="AW158">
        <v>170494.70171160612</v>
      </c>
      <c r="AX158">
        <v>-22030.181711606099</v>
      </c>
      <c r="AY158">
        <v>0</v>
      </c>
    </row>
    <row r="159" spans="1:51" hidden="1" x14ac:dyDescent="0.35">
      <c r="A159" t="s">
        <v>259</v>
      </c>
      <c r="C159" t="s">
        <v>172</v>
      </c>
      <c r="D159">
        <v>20983</v>
      </c>
      <c r="E159">
        <v>2885.3</v>
      </c>
      <c r="G159">
        <v>224111.4</v>
      </c>
      <c r="H159">
        <v>0</v>
      </c>
      <c r="I159">
        <v>232143.05015240327</v>
      </c>
      <c r="J159">
        <v>0.1</v>
      </c>
      <c r="K159">
        <v>18.616837627119111</v>
      </c>
      <c r="L159">
        <v>3.4131368403388822</v>
      </c>
      <c r="M159">
        <v>15.203700786780228</v>
      </c>
      <c r="N159">
        <v>2024</v>
      </c>
      <c r="O159" t="s">
        <v>228</v>
      </c>
      <c r="P159">
        <v>1376120</v>
      </c>
      <c r="Q159">
        <v>0</v>
      </c>
      <c r="S159">
        <v>50.189636283181613</v>
      </c>
      <c r="T159">
        <v>13.747368885764669</v>
      </c>
      <c r="V159">
        <v>44.309884420721538</v>
      </c>
      <c r="W159" t="s">
        <v>474</v>
      </c>
      <c r="X159">
        <v>0</v>
      </c>
      <c r="Y159" t="s">
        <v>180</v>
      </c>
      <c r="Z159">
        <v>532.08600808515916</v>
      </c>
      <c r="AA159">
        <v>119.58</v>
      </c>
      <c r="AB159">
        <v>100</v>
      </c>
      <c r="AE159">
        <v>225</v>
      </c>
      <c r="AF159">
        <v>0</v>
      </c>
      <c r="AG159">
        <v>0</v>
      </c>
      <c r="AH159">
        <v>30000</v>
      </c>
      <c r="AI159" t="s">
        <v>174</v>
      </c>
      <c r="AJ159">
        <v>1191120</v>
      </c>
      <c r="AM159">
        <v>155000</v>
      </c>
      <c r="AN159" t="s">
        <v>187</v>
      </c>
      <c r="AP159">
        <v>0</v>
      </c>
      <c r="AQ159">
        <v>1053129.1381299999</v>
      </c>
      <c r="AR159">
        <v>929754.30480000004</v>
      </c>
      <c r="AS159">
        <v>123374.83332999982</v>
      </c>
      <c r="AT159">
        <v>2885.3</v>
      </c>
      <c r="AU159">
        <v>0</v>
      </c>
      <c r="AV159">
        <v>22411.14</v>
      </c>
      <c r="AW159">
        <v>23214.30501524033</v>
      </c>
      <c r="AX159">
        <v>2082.1349847596684</v>
      </c>
      <c r="AY159" t="s">
        <v>469</v>
      </c>
    </row>
    <row r="160" spans="1:51" hidden="1" x14ac:dyDescent="0.35">
      <c r="A160" t="s">
        <v>426</v>
      </c>
      <c r="C160" t="s">
        <v>418</v>
      </c>
      <c r="D160">
        <v>21018</v>
      </c>
      <c r="E160">
        <v>0</v>
      </c>
      <c r="F160">
        <v>98130</v>
      </c>
      <c r="G160">
        <v>390924.1</v>
      </c>
      <c r="H160">
        <v>0</v>
      </c>
      <c r="I160">
        <v>402428.20316529891</v>
      </c>
      <c r="K160">
        <v>13.89316179979842</v>
      </c>
      <c r="L160">
        <v>5.9167936533664198</v>
      </c>
      <c r="M160">
        <v>7.9763681464320006</v>
      </c>
      <c r="N160">
        <v>2036</v>
      </c>
      <c r="O160" t="s">
        <v>224</v>
      </c>
      <c r="P160" t="s">
        <v>225</v>
      </c>
      <c r="Q160" t="s">
        <v>224</v>
      </c>
      <c r="S160">
        <v>68.130318260538587</v>
      </c>
      <c r="T160">
        <v>0</v>
      </c>
      <c r="U160">
        <v>1.9334055758053394</v>
      </c>
      <c r="V160">
        <v>451.79096911218949</v>
      </c>
      <c r="W160">
        <v>0</v>
      </c>
      <c r="X160">
        <v>0</v>
      </c>
      <c r="Z160">
        <v>0</v>
      </c>
      <c r="AA160">
        <v>311</v>
      </c>
      <c r="AB160" t="e">
        <v>#N/A</v>
      </c>
      <c r="AF160">
        <v>0</v>
      </c>
      <c r="AH160">
        <v>0</v>
      </c>
      <c r="AI160" t="s">
        <v>174</v>
      </c>
      <c r="AQ160">
        <v>1431963.0292</v>
      </c>
      <c r="AR160">
        <v>9495742.5887999982</v>
      </c>
      <c r="AS160">
        <v>-8063779.5595999984</v>
      </c>
      <c r="AT160">
        <v>0</v>
      </c>
      <c r="AU160">
        <v>3140.16</v>
      </c>
      <c r="AV160">
        <v>39092.409999999996</v>
      </c>
      <c r="AW160">
        <v>40242.820316529891</v>
      </c>
      <c r="AX160">
        <v>-1989.7496834701014</v>
      </c>
    </row>
    <row r="161" spans="1:51" hidden="1" x14ac:dyDescent="0.35">
      <c r="A161" t="s">
        <v>205</v>
      </c>
      <c r="C161" t="s">
        <v>172</v>
      </c>
      <c r="D161">
        <v>21918</v>
      </c>
      <c r="E161">
        <v>9018.6</v>
      </c>
      <c r="G161">
        <v>238523.5</v>
      </c>
      <c r="H161">
        <v>0</v>
      </c>
      <c r="I161">
        <v>309826.36688159441</v>
      </c>
      <c r="J161">
        <v>0.1</v>
      </c>
      <c r="K161">
        <v>51.398354035251117</v>
      </c>
      <c r="L161">
        <v>4.5552937562321114</v>
      </c>
      <c r="M161">
        <v>46.843060279019006</v>
      </c>
      <c r="N161">
        <v>2026</v>
      </c>
      <c r="O161">
        <v>2028</v>
      </c>
      <c r="P161">
        <v>1150000</v>
      </c>
      <c r="Q161">
        <v>0</v>
      </c>
      <c r="S161">
        <v>78.268392985673884</v>
      </c>
      <c r="T161">
        <v>41.137168330139616</v>
      </c>
      <c r="V161">
        <v>5.6486501615110862</v>
      </c>
      <c r="W161">
        <v>2034</v>
      </c>
      <c r="X161">
        <v>345.6</v>
      </c>
      <c r="Y161" t="s">
        <v>180</v>
      </c>
      <c r="Z161">
        <v>288.21325437946115</v>
      </c>
      <c r="AA161">
        <v>71</v>
      </c>
      <c r="AB161">
        <v>65</v>
      </c>
      <c r="AF161">
        <v>28000</v>
      </c>
      <c r="AG161" t="s">
        <v>561</v>
      </c>
      <c r="AH161">
        <v>50000</v>
      </c>
      <c r="AI161" t="s">
        <v>181</v>
      </c>
      <c r="AJ161">
        <v>526032</v>
      </c>
      <c r="AM161">
        <v>1400000</v>
      </c>
      <c r="AO161" t="s">
        <v>204</v>
      </c>
      <c r="AP161" t="s">
        <v>483</v>
      </c>
      <c r="AQ161">
        <v>1715486.6374600001</v>
      </c>
      <c r="AR161">
        <v>123807.11423999998</v>
      </c>
      <c r="AS161">
        <v>1591679.5232200001</v>
      </c>
      <c r="AT161">
        <v>9018.6</v>
      </c>
      <c r="AU161">
        <v>0</v>
      </c>
      <c r="AV161">
        <v>23852.350000000002</v>
      </c>
      <c r="AW161">
        <v>30982.636688159444</v>
      </c>
      <c r="AX161">
        <v>1888.3133118405603</v>
      </c>
      <c r="AY161" t="s">
        <v>484</v>
      </c>
    </row>
    <row r="162" spans="1:51" hidden="1" x14ac:dyDescent="0.35">
      <c r="A162" t="s">
        <v>387</v>
      </c>
      <c r="C162" t="s">
        <v>223</v>
      </c>
      <c r="D162">
        <v>22347</v>
      </c>
      <c r="E162">
        <v>14487</v>
      </c>
      <c r="F162">
        <v>0</v>
      </c>
      <c r="G162">
        <v>253509.7</v>
      </c>
      <c r="H162">
        <v>0</v>
      </c>
      <c r="I162">
        <v>359843.73737983586</v>
      </c>
      <c r="J162">
        <v>0.15</v>
      </c>
      <c r="K162">
        <v>80.657497560943725</v>
      </c>
      <c r="L162">
        <v>5.29068570439662</v>
      </c>
      <c r="M162">
        <v>75.366811856547102</v>
      </c>
      <c r="N162">
        <v>2029</v>
      </c>
      <c r="O162" t="s">
        <v>219</v>
      </c>
      <c r="P162">
        <v>1886000</v>
      </c>
      <c r="Q162">
        <v>0</v>
      </c>
      <c r="S162">
        <v>103.51854195641474</v>
      </c>
      <c r="T162">
        <v>64.811999852329166</v>
      </c>
      <c r="V162">
        <v>25.895871188078932</v>
      </c>
      <c r="W162">
        <v>2024</v>
      </c>
      <c r="X162">
        <v>8.64</v>
      </c>
      <c r="Z162">
        <v>360.26656797432645</v>
      </c>
      <c r="AA162">
        <v>167</v>
      </c>
      <c r="AB162">
        <v>80</v>
      </c>
      <c r="AF162">
        <v>14000</v>
      </c>
      <c r="AG162" t="s">
        <v>562</v>
      </c>
      <c r="AH162">
        <v>0</v>
      </c>
      <c r="AI162" t="s">
        <v>174</v>
      </c>
      <c r="AJ162">
        <v>1040000</v>
      </c>
      <c r="AP162" t="s">
        <v>181</v>
      </c>
      <c r="AQ162">
        <v>2313328.8571000001</v>
      </c>
      <c r="AR162">
        <v>578695.03343999991</v>
      </c>
      <c r="AS162">
        <v>1734633.8236600002</v>
      </c>
      <c r="AT162">
        <v>14487</v>
      </c>
      <c r="AU162">
        <v>0</v>
      </c>
      <c r="AV162">
        <v>25350.97</v>
      </c>
      <c r="AW162">
        <v>35984.373737983587</v>
      </c>
      <c r="AX162">
        <v>3853.5962620164137</v>
      </c>
      <c r="AY162" t="s">
        <v>469</v>
      </c>
    </row>
    <row r="163" spans="1:51" hidden="1" x14ac:dyDescent="0.35">
      <c r="A163" t="s">
        <v>336</v>
      </c>
      <c r="C163" t="s">
        <v>223</v>
      </c>
      <c r="D163">
        <v>22500</v>
      </c>
      <c r="E163">
        <v>9002.1515142118969</v>
      </c>
      <c r="F163">
        <v>0</v>
      </c>
      <c r="G163">
        <v>186304</v>
      </c>
      <c r="H163">
        <v>0</v>
      </c>
      <c r="I163">
        <v>291839.18773988157</v>
      </c>
      <c r="J163">
        <v>0</v>
      </c>
      <c r="K163">
        <v>50.543238492618755</v>
      </c>
      <c r="L163">
        <v>4.2908330982798253</v>
      </c>
      <c r="M163">
        <v>46.252405394338929</v>
      </c>
      <c r="N163">
        <v>2033</v>
      </c>
      <c r="P163">
        <v>1170000</v>
      </c>
      <c r="S163">
        <v>80</v>
      </c>
      <c r="T163">
        <v>40</v>
      </c>
      <c r="U163">
        <v>0</v>
      </c>
      <c r="V163">
        <v>136.17132517333332</v>
      </c>
      <c r="W163">
        <v>0</v>
      </c>
      <c r="X163">
        <v>0</v>
      </c>
      <c r="Z163" t="s">
        <v>225</v>
      </c>
      <c r="AA163">
        <v>253</v>
      </c>
      <c r="AB163">
        <v>143</v>
      </c>
      <c r="AJ163">
        <v>650000</v>
      </c>
      <c r="AP163" t="e">
        <v>#N/A</v>
      </c>
      <c r="AQ163">
        <v>1800000</v>
      </c>
      <c r="AR163">
        <v>3063854.8163999994</v>
      </c>
      <c r="AS163">
        <v>-1263854.8163999994</v>
      </c>
      <c r="AT163">
        <v>9002.1515142118969</v>
      </c>
      <c r="AU163">
        <v>0</v>
      </c>
      <c r="AV163">
        <v>18630.400000000001</v>
      </c>
      <c r="AW163">
        <v>29183.91877398816</v>
      </c>
      <c r="AX163">
        <v>-1551.3672597762634</v>
      </c>
      <c r="AY163" t="e">
        <v>#VALUE!</v>
      </c>
    </row>
    <row r="164" spans="1:51" hidden="1" x14ac:dyDescent="0.35">
      <c r="A164" t="s">
        <v>192</v>
      </c>
      <c r="C164" t="s">
        <v>172</v>
      </c>
      <c r="D164">
        <v>22803</v>
      </c>
      <c r="E164">
        <v>5332.1</v>
      </c>
      <c r="G164">
        <v>113809.60000000001</v>
      </c>
      <c r="H164">
        <v>0</v>
      </c>
      <c r="I164">
        <v>158687.60834701057</v>
      </c>
      <c r="J164">
        <v>0.1</v>
      </c>
      <c r="K164">
        <v>29.988324484739138</v>
      </c>
      <c r="L164">
        <v>2.3331412325239604</v>
      </c>
      <c r="M164">
        <v>27.655183252215178</v>
      </c>
      <c r="N164">
        <v>2035</v>
      </c>
      <c r="O164">
        <v>2033</v>
      </c>
      <c r="P164">
        <v>3000000</v>
      </c>
      <c r="Q164">
        <v>0</v>
      </c>
      <c r="S164">
        <v>40.407004254264791</v>
      </c>
      <c r="T164">
        <v>23.377738140157</v>
      </c>
      <c r="V164" t="e">
        <v>#REF!</v>
      </c>
      <c r="W164">
        <v>2028</v>
      </c>
      <c r="X164">
        <v>51.839999999999996</v>
      </c>
      <c r="Y164" t="s">
        <v>180</v>
      </c>
      <c r="Z164">
        <v>266.04300404257958</v>
      </c>
      <c r="AA164">
        <v>41</v>
      </c>
      <c r="AB164">
        <v>20</v>
      </c>
      <c r="AF164">
        <v>0</v>
      </c>
      <c r="AG164" t="s">
        <v>563</v>
      </c>
      <c r="AH164">
        <v>25000</v>
      </c>
      <c r="AI164" t="s">
        <v>181</v>
      </c>
      <c r="AJ164">
        <v>1649797.05</v>
      </c>
      <c r="AM164">
        <v>99193.05</v>
      </c>
      <c r="AP164">
        <v>0</v>
      </c>
      <c r="AQ164">
        <v>921400.91801000002</v>
      </c>
      <c r="AR164" t="e">
        <v>#REF!</v>
      </c>
      <c r="AS164" t="e">
        <v>#REF!</v>
      </c>
      <c r="AT164">
        <v>5332.1</v>
      </c>
      <c r="AU164">
        <v>0</v>
      </c>
      <c r="AV164">
        <v>11380.960000000001</v>
      </c>
      <c r="AW164">
        <v>15868.760834701057</v>
      </c>
      <c r="AX164">
        <v>844.29916529894399</v>
      </c>
      <c r="AY164" t="s">
        <v>469</v>
      </c>
    </row>
    <row r="165" spans="1:51" hidden="1" x14ac:dyDescent="0.35">
      <c r="A165" t="s">
        <v>436</v>
      </c>
      <c r="C165" t="s">
        <v>232</v>
      </c>
      <c r="D165">
        <v>23040</v>
      </c>
      <c r="E165">
        <v>0</v>
      </c>
      <c r="G165">
        <v>0</v>
      </c>
      <c r="H165">
        <v>0</v>
      </c>
      <c r="I165">
        <v>0</v>
      </c>
      <c r="K165">
        <v>0</v>
      </c>
      <c r="L165">
        <v>0</v>
      </c>
      <c r="M165">
        <v>0</v>
      </c>
      <c r="P165">
        <v>0</v>
      </c>
      <c r="Q165" t="s">
        <v>224</v>
      </c>
      <c r="S165" t="s">
        <v>437</v>
      </c>
      <c r="T165" t="e">
        <v>#VALUE!</v>
      </c>
      <c r="V165">
        <v>125.88054861111112</v>
      </c>
      <c r="W165">
        <v>0</v>
      </c>
      <c r="X165">
        <v>0</v>
      </c>
      <c r="Z165" t="s">
        <v>225</v>
      </c>
      <c r="AB165" t="e">
        <v>#N/A</v>
      </c>
      <c r="AF165">
        <v>0</v>
      </c>
      <c r="AH165">
        <v>0</v>
      </c>
      <c r="AI165" t="s">
        <v>220</v>
      </c>
      <c r="AJ165">
        <v>0</v>
      </c>
      <c r="AQ165" t="e">
        <v>#VALUE!</v>
      </c>
      <c r="AR165">
        <v>2900287.8400000003</v>
      </c>
      <c r="AS165" t="e">
        <v>#VALUE!</v>
      </c>
      <c r="AT165">
        <v>0</v>
      </c>
      <c r="AU165">
        <v>0</v>
      </c>
      <c r="AV165">
        <v>0</v>
      </c>
      <c r="AW165">
        <v>0</v>
      </c>
      <c r="AX165">
        <v>0</v>
      </c>
    </row>
    <row r="166" spans="1:51" hidden="1" x14ac:dyDescent="0.35">
      <c r="A166" t="s">
        <v>316</v>
      </c>
      <c r="C166" t="s">
        <v>317</v>
      </c>
      <c r="D166">
        <v>23445</v>
      </c>
      <c r="E166">
        <v>51766.5</v>
      </c>
      <c r="F166">
        <v>0</v>
      </c>
      <c r="G166">
        <v>389727.8</v>
      </c>
      <c r="H166">
        <v>0</v>
      </c>
      <c r="I166">
        <v>996603.5327080891</v>
      </c>
      <c r="K166">
        <v>280.62533820238747</v>
      </c>
      <c r="L166">
        <v>14.652793742757845</v>
      </c>
      <c r="M166">
        <v>265.9725444596296</v>
      </c>
      <c r="N166" t="s">
        <v>318</v>
      </c>
      <c r="O166" t="s">
        <v>224</v>
      </c>
      <c r="Q166">
        <v>0</v>
      </c>
      <c r="S166">
        <v>277.46487670078909</v>
      </c>
      <c r="T166">
        <v>220.74697294305824</v>
      </c>
      <c r="V166">
        <v>20.58375239070164</v>
      </c>
      <c r="W166">
        <v>2024</v>
      </c>
      <c r="X166">
        <v>34.56</v>
      </c>
      <c r="Z166">
        <v>96</v>
      </c>
      <c r="AA166">
        <v>19</v>
      </c>
      <c r="AB166" t="s">
        <v>228</v>
      </c>
      <c r="AF166" t="s">
        <v>228</v>
      </c>
      <c r="AG166" t="s">
        <v>228</v>
      </c>
      <c r="AH166" t="s">
        <v>228</v>
      </c>
      <c r="AI166" t="s">
        <v>228</v>
      </c>
      <c r="AJ166" t="s">
        <v>228</v>
      </c>
      <c r="AK166" t="s">
        <v>228</v>
      </c>
      <c r="AL166" t="s">
        <v>228</v>
      </c>
      <c r="AM166" t="s">
        <v>228</v>
      </c>
      <c r="AQ166">
        <v>6505164.0342500005</v>
      </c>
      <c r="AR166">
        <v>482586.07479999994</v>
      </c>
      <c r="AS166">
        <v>6022577.9594500009</v>
      </c>
      <c r="AT166">
        <v>51766.5</v>
      </c>
      <c r="AU166">
        <v>0</v>
      </c>
      <c r="AV166">
        <v>38972.78</v>
      </c>
      <c r="AW166">
        <v>99660.353270808919</v>
      </c>
      <c r="AX166">
        <v>-8921.0732708089199</v>
      </c>
      <c r="AY166" t="e">
        <v>#N/A</v>
      </c>
    </row>
    <row r="167" spans="1:51" hidden="1" x14ac:dyDescent="0.35">
      <c r="A167" t="s">
        <v>193</v>
      </c>
      <c r="C167" t="s">
        <v>172</v>
      </c>
      <c r="D167">
        <v>24965</v>
      </c>
      <c r="E167">
        <v>26889.200000000001</v>
      </c>
      <c r="G167">
        <v>518841.7</v>
      </c>
      <c r="H167">
        <v>0</v>
      </c>
      <c r="I167">
        <v>667258.11967174674</v>
      </c>
      <c r="J167">
        <v>0.2</v>
      </c>
      <c r="K167">
        <v>150.41791667217794</v>
      </c>
      <c r="L167">
        <v>9.8105166998182156</v>
      </c>
      <c r="M167">
        <v>140.60739997235973</v>
      </c>
      <c r="N167">
        <v>2035</v>
      </c>
      <c r="O167" t="s">
        <v>269</v>
      </c>
      <c r="P167">
        <v>4000000</v>
      </c>
      <c r="Q167">
        <v>0</v>
      </c>
      <c r="S167">
        <v>178.59263883516925</v>
      </c>
      <c r="T167">
        <v>107.68184851271781</v>
      </c>
      <c r="V167" t="e">
        <v>#REF!</v>
      </c>
      <c r="W167">
        <v>2024</v>
      </c>
      <c r="X167">
        <v>216</v>
      </c>
      <c r="Y167" t="s">
        <v>180</v>
      </c>
      <c r="Z167">
        <v>665.1075101064489</v>
      </c>
      <c r="AA167">
        <v>219.89</v>
      </c>
      <c r="AB167">
        <v>180</v>
      </c>
      <c r="AE167">
        <v>500</v>
      </c>
      <c r="AF167">
        <v>0</v>
      </c>
      <c r="AG167" t="s">
        <v>564</v>
      </c>
      <c r="AH167">
        <v>0</v>
      </c>
      <c r="AI167" t="s">
        <v>174</v>
      </c>
      <c r="AJ167">
        <v>2330482.75</v>
      </c>
      <c r="AM167">
        <v>133562.75</v>
      </c>
      <c r="AP167">
        <v>0</v>
      </c>
      <c r="AQ167">
        <v>4458565.2285200004</v>
      </c>
      <c r="AR167" t="e">
        <v>#REF!</v>
      </c>
      <c r="AS167" t="e">
        <v>#REF!</v>
      </c>
      <c r="AT167">
        <v>26889.200000000001</v>
      </c>
      <c r="AU167">
        <v>0</v>
      </c>
      <c r="AV167">
        <v>51884.170000000006</v>
      </c>
      <c r="AW167">
        <v>66725.811967174683</v>
      </c>
      <c r="AX167">
        <v>12047.558032825327</v>
      </c>
      <c r="AY167" t="s">
        <v>469</v>
      </c>
    </row>
    <row r="168" spans="1:51" hidden="1" x14ac:dyDescent="0.35">
      <c r="A168" t="s">
        <v>435</v>
      </c>
      <c r="C168" t="s">
        <v>172</v>
      </c>
      <c r="D168">
        <v>25557</v>
      </c>
      <c r="E168">
        <v>0</v>
      </c>
      <c r="G168">
        <v>552986.9</v>
      </c>
      <c r="H168">
        <v>0</v>
      </c>
      <c r="I168">
        <v>552986.9</v>
      </c>
      <c r="K168">
        <v>8.1304176858867478</v>
      </c>
      <c r="L168">
        <v>8.1304176858867478</v>
      </c>
      <c r="M168">
        <v>0</v>
      </c>
      <c r="N168">
        <v>2034</v>
      </c>
      <c r="P168">
        <v>0</v>
      </c>
      <c r="S168">
        <v>74</v>
      </c>
      <c r="T168">
        <v>0</v>
      </c>
      <c r="V168">
        <v>44.877792886489033</v>
      </c>
      <c r="W168">
        <v>2034</v>
      </c>
      <c r="Z168" t="s">
        <v>225</v>
      </c>
      <c r="AA168">
        <v>177</v>
      </c>
      <c r="AB168" t="e">
        <v>#N/A</v>
      </c>
      <c r="AG168">
        <v>0</v>
      </c>
      <c r="AH168">
        <v>0</v>
      </c>
      <c r="AN168" t="s">
        <v>234</v>
      </c>
      <c r="AQ168">
        <v>1891218</v>
      </c>
      <c r="AR168">
        <v>1146941.7528000001</v>
      </c>
      <c r="AS168">
        <v>744276.24719999987</v>
      </c>
      <c r="AT168">
        <v>0</v>
      </c>
      <c r="AU168">
        <v>0</v>
      </c>
      <c r="AV168">
        <v>55298.69</v>
      </c>
      <c r="AW168">
        <v>55298.69</v>
      </c>
      <c r="AX168">
        <v>0</v>
      </c>
    </row>
    <row r="169" spans="1:51" hidden="1" x14ac:dyDescent="0.35">
      <c r="A169" t="s">
        <v>375</v>
      </c>
      <c r="C169" t="s">
        <v>223</v>
      </c>
      <c r="D169">
        <v>25809</v>
      </c>
      <c r="E169">
        <v>18132.8</v>
      </c>
      <c r="F169">
        <v>0</v>
      </c>
      <c r="G169">
        <v>252430.6</v>
      </c>
      <c r="H169">
        <v>0</v>
      </c>
      <c r="I169">
        <v>372005.91024618992</v>
      </c>
      <c r="J169">
        <v>0.2</v>
      </c>
      <c r="K169">
        <v>100.00189754043906</v>
      </c>
      <c r="L169">
        <v>5.4695028614963945</v>
      </c>
      <c r="M169">
        <v>94.532394678942666</v>
      </c>
      <c r="N169">
        <v>2025</v>
      </c>
      <c r="O169" t="s">
        <v>224</v>
      </c>
      <c r="P169">
        <v>6067800</v>
      </c>
      <c r="Q169">
        <v>0</v>
      </c>
      <c r="S169">
        <v>103.6126867867798</v>
      </c>
      <c r="T169">
        <v>70.24087047464063</v>
      </c>
      <c r="V169">
        <v>26.791617733348833</v>
      </c>
      <c r="W169">
        <v>2024</v>
      </c>
      <c r="X169">
        <v>8.64</v>
      </c>
      <c r="Z169">
        <v>192</v>
      </c>
      <c r="AA169">
        <v>117</v>
      </c>
      <c r="AB169">
        <v>150</v>
      </c>
      <c r="AG169" t="s">
        <v>565</v>
      </c>
      <c r="AH169">
        <v>0</v>
      </c>
      <c r="AI169" t="s">
        <v>174</v>
      </c>
      <c r="AJ169">
        <v>1771000</v>
      </c>
      <c r="AL169">
        <v>1800000</v>
      </c>
      <c r="AP169" t="s">
        <v>177</v>
      </c>
      <c r="AQ169">
        <v>2674139.8332799999</v>
      </c>
      <c r="AR169">
        <v>691464.86207999999</v>
      </c>
      <c r="AS169">
        <v>1982674.9712</v>
      </c>
      <c r="AT169">
        <v>18132.8</v>
      </c>
      <c r="AU169">
        <v>0</v>
      </c>
      <c r="AV169">
        <v>25243.06</v>
      </c>
      <c r="AW169">
        <v>37200.591024618996</v>
      </c>
      <c r="AX169">
        <v>6175.2689753810046</v>
      </c>
      <c r="AY169" t="s">
        <v>478</v>
      </c>
    </row>
    <row r="170" spans="1:51" hidden="1" x14ac:dyDescent="0.35">
      <c r="A170" t="s">
        <v>432</v>
      </c>
      <c r="C170" t="s">
        <v>223</v>
      </c>
      <c r="D170">
        <v>26974</v>
      </c>
      <c r="E170">
        <v>6600.6</v>
      </c>
      <c r="G170">
        <v>316225.08792497072</v>
      </c>
      <c r="H170">
        <v>0</v>
      </c>
      <c r="I170">
        <v>393606.09613130131</v>
      </c>
      <c r="J170">
        <v>0</v>
      </c>
      <c r="K170">
        <v>39.700491460350392</v>
      </c>
      <c r="L170">
        <v>5.7870845860160003</v>
      </c>
      <c r="M170">
        <v>33.913406874334392</v>
      </c>
      <c r="N170" t="s">
        <v>233</v>
      </c>
      <c r="O170" t="s">
        <v>224</v>
      </c>
      <c r="P170">
        <v>0</v>
      </c>
      <c r="Q170">
        <v>0</v>
      </c>
      <c r="S170">
        <v>64.464382207310749</v>
      </c>
      <c r="T170">
        <v>24.464382207310745</v>
      </c>
      <c r="V170">
        <v>269.25910663601985</v>
      </c>
      <c r="Z170">
        <v>0</v>
      </c>
      <c r="AB170" t="e">
        <v>#N/A</v>
      </c>
      <c r="AF170">
        <v>0</v>
      </c>
      <c r="AG170">
        <v>0</v>
      </c>
      <c r="AI170" t="s">
        <v>233</v>
      </c>
      <c r="AQ170">
        <v>1738862.2456600002</v>
      </c>
      <c r="AR170">
        <v>7262995.1423999993</v>
      </c>
      <c r="AS170">
        <v>-5524132.8967399988</v>
      </c>
      <c r="AT170">
        <v>6600.6</v>
      </c>
      <c r="AU170">
        <v>0</v>
      </c>
      <c r="AV170">
        <v>31622.508792497072</v>
      </c>
      <c r="AW170">
        <v>39360.609613130131</v>
      </c>
      <c r="AX170">
        <v>1137.5008206330604</v>
      </c>
    </row>
    <row r="171" spans="1:51" hidden="1" x14ac:dyDescent="0.35">
      <c r="A171" t="s">
        <v>208</v>
      </c>
      <c r="C171" t="s">
        <v>172</v>
      </c>
      <c r="D171">
        <v>26994</v>
      </c>
      <c r="E171">
        <v>27402.1</v>
      </c>
      <c r="G171">
        <v>249452.1</v>
      </c>
      <c r="H171">
        <v>0</v>
      </c>
      <c r="I171">
        <v>399487.16167643608</v>
      </c>
      <c r="J171">
        <v>0.3</v>
      </c>
      <c r="K171">
        <v>149.18080303162699</v>
      </c>
      <c r="L171">
        <v>5.8735523112370185</v>
      </c>
      <c r="M171">
        <v>143.30725072038999</v>
      </c>
      <c r="N171">
        <v>2028</v>
      </c>
      <c r="O171" t="s">
        <v>268</v>
      </c>
      <c r="P171">
        <v>3900000</v>
      </c>
      <c r="Q171" t="s">
        <v>566</v>
      </c>
      <c r="S171">
        <v>133.01791713010297</v>
      </c>
      <c r="T171">
        <v>101.48755611654441</v>
      </c>
      <c r="V171">
        <v>1.7781729273171815E-3</v>
      </c>
      <c r="W171">
        <v>2028</v>
      </c>
      <c r="X171">
        <v>28.080000000000002</v>
      </c>
      <c r="Y171" t="s">
        <v>209</v>
      </c>
      <c r="Z171">
        <v>230.57060350356892</v>
      </c>
      <c r="AA171">
        <v>74</v>
      </c>
      <c r="AB171">
        <v>270</v>
      </c>
      <c r="AF171">
        <v>0</v>
      </c>
      <c r="AG171" t="s">
        <v>210</v>
      </c>
      <c r="AH171">
        <v>0</v>
      </c>
      <c r="AI171" t="s">
        <v>174</v>
      </c>
      <c r="AJ171">
        <v>782131</v>
      </c>
      <c r="AK171" t="s">
        <v>211</v>
      </c>
      <c r="AL171">
        <v>938557</v>
      </c>
      <c r="AM171">
        <v>424296</v>
      </c>
      <c r="AP171">
        <v>0</v>
      </c>
      <c r="AQ171">
        <v>3590685.6550099999</v>
      </c>
      <c r="AR171">
        <v>48</v>
      </c>
      <c r="AS171">
        <v>3590637.6550099999</v>
      </c>
      <c r="AT171">
        <v>27402.1</v>
      </c>
      <c r="AU171">
        <v>0</v>
      </c>
      <c r="AV171">
        <v>24945.210000000003</v>
      </c>
      <c r="AW171">
        <v>39948.716167643608</v>
      </c>
      <c r="AX171">
        <v>12398.59383235639</v>
      </c>
      <c r="AY171" t="s">
        <v>470</v>
      </c>
    </row>
    <row r="172" spans="1:51" hidden="1" x14ac:dyDescent="0.35">
      <c r="A172" t="s">
        <v>288</v>
      </c>
      <c r="C172" t="s">
        <v>286</v>
      </c>
      <c r="D172">
        <v>27320</v>
      </c>
      <c r="E172">
        <v>2653.3</v>
      </c>
      <c r="H172">
        <v>0</v>
      </c>
      <c r="I172">
        <v>31105.509964830017</v>
      </c>
      <c r="J172">
        <v>0</v>
      </c>
      <c r="K172">
        <v>14.089800036431427</v>
      </c>
      <c r="L172">
        <v>0.45733594836800007</v>
      </c>
      <c r="M172">
        <v>13.632464088063427</v>
      </c>
      <c r="N172">
        <v>2035</v>
      </c>
      <c r="O172" t="s">
        <v>224</v>
      </c>
      <c r="P172">
        <v>1366000</v>
      </c>
      <c r="Q172">
        <v>0</v>
      </c>
      <c r="S172">
        <v>9.7096114981698385</v>
      </c>
      <c r="T172">
        <v>9.7096114981698385</v>
      </c>
      <c r="V172">
        <v>12.834382225475842</v>
      </c>
      <c r="W172">
        <v>0</v>
      </c>
      <c r="X172">
        <v>0</v>
      </c>
      <c r="Z172">
        <v>461.14120700713784</v>
      </c>
      <c r="AA172">
        <v>50</v>
      </c>
      <c r="AB172">
        <v>135.41</v>
      </c>
      <c r="AF172">
        <v>0</v>
      </c>
      <c r="AG172" t="s">
        <v>567</v>
      </c>
      <c r="AH172">
        <v>50000</v>
      </c>
      <c r="AI172" t="s">
        <v>233</v>
      </c>
      <c r="AQ172">
        <v>265266.58613000001</v>
      </c>
      <c r="AR172">
        <v>350635.3224</v>
      </c>
      <c r="AS172">
        <v>-85368.736269999994</v>
      </c>
      <c r="AT172">
        <v>2653.3</v>
      </c>
      <c r="AU172">
        <v>0</v>
      </c>
      <c r="AV172">
        <v>0</v>
      </c>
      <c r="AW172">
        <v>3110.5509964830017</v>
      </c>
      <c r="AX172">
        <v>-457.25099648300147</v>
      </c>
      <c r="AY172" t="s">
        <v>469</v>
      </c>
    </row>
    <row r="173" spans="1:51" hidden="1" x14ac:dyDescent="0.35">
      <c r="A173" t="s">
        <v>438</v>
      </c>
      <c r="C173" t="s">
        <v>172</v>
      </c>
      <c r="D173">
        <v>27492</v>
      </c>
      <c r="E173">
        <v>0</v>
      </c>
      <c r="G173">
        <v>599747.5</v>
      </c>
      <c r="H173">
        <v>0</v>
      </c>
      <c r="I173">
        <v>599747.5</v>
      </c>
      <c r="K173">
        <v>8.8179262132002787</v>
      </c>
      <c r="L173">
        <v>8.8179262132002787</v>
      </c>
      <c r="M173">
        <v>0</v>
      </c>
      <c r="N173" t="s">
        <v>225</v>
      </c>
      <c r="O173" t="e">
        <v>#N/A</v>
      </c>
      <c r="P173">
        <v>0</v>
      </c>
      <c r="Q173" t="e">
        <v>#N/A</v>
      </c>
      <c r="S173">
        <v>74.433961516077403</v>
      </c>
      <c r="T173">
        <v>0</v>
      </c>
      <c r="V173">
        <v>90.331226742325029</v>
      </c>
      <c r="W173" t="s">
        <v>474</v>
      </c>
      <c r="X173">
        <v>0</v>
      </c>
      <c r="Z173" t="s">
        <v>225</v>
      </c>
      <c r="AB173" t="e">
        <v>#N/A</v>
      </c>
      <c r="AF173">
        <v>0</v>
      </c>
      <c r="AG173">
        <v>0</v>
      </c>
      <c r="AI173" t="s">
        <v>233</v>
      </c>
      <c r="AP173" t="e">
        <v>#N/A</v>
      </c>
      <c r="AT173">
        <v>0</v>
      </c>
      <c r="AU173">
        <v>0</v>
      </c>
      <c r="AV173">
        <v>59974.75</v>
      </c>
      <c r="AW173">
        <v>59974.75</v>
      </c>
      <c r="AX173">
        <v>0</v>
      </c>
    </row>
    <row r="174" spans="1:51" hidden="1" x14ac:dyDescent="0.35">
      <c r="A174" t="s">
        <v>449</v>
      </c>
      <c r="C174" t="s">
        <v>286</v>
      </c>
      <c r="D174">
        <v>27744</v>
      </c>
      <c r="E174">
        <v>0</v>
      </c>
      <c r="G174">
        <v>1376988</v>
      </c>
      <c r="H174">
        <v>0</v>
      </c>
      <c r="I174">
        <v>1376988</v>
      </c>
      <c r="K174">
        <v>20.245484275402941</v>
      </c>
      <c r="L174">
        <v>20.245484275402941</v>
      </c>
      <c r="M174">
        <v>0</v>
      </c>
      <c r="N174">
        <v>2022</v>
      </c>
      <c r="O174" t="s">
        <v>224</v>
      </c>
      <c r="P174">
        <v>0</v>
      </c>
      <c r="Q174">
        <v>0</v>
      </c>
      <c r="S174">
        <v>169.34411245674741</v>
      </c>
      <c r="T174">
        <v>0</v>
      </c>
      <c r="V174">
        <v>216.29173901384084</v>
      </c>
      <c r="W174">
        <v>2022</v>
      </c>
      <c r="X174">
        <v>17.28</v>
      </c>
      <c r="Z174" t="s">
        <v>225</v>
      </c>
      <c r="AB174" t="e">
        <v>#N/A</v>
      </c>
      <c r="AF174">
        <v>0</v>
      </c>
      <c r="AG174">
        <v>0</v>
      </c>
      <c r="AH174">
        <v>0</v>
      </c>
      <c r="AI174" t="s">
        <v>220</v>
      </c>
      <c r="AN174" t="s">
        <v>234</v>
      </c>
      <c r="AQ174">
        <v>4698283.0559999999</v>
      </c>
      <c r="AR174">
        <v>6000798.0071999999</v>
      </c>
      <c r="AS174">
        <v>-1302514.9512</v>
      </c>
      <c r="AT174">
        <v>0</v>
      </c>
      <c r="AU174">
        <v>0</v>
      </c>
      <c r="AV174">
        <v>137698.80000000002</v>
      </c>
      <c r="AW174">
        <v>137698.80000000002</v>
      </c>
      <c r="AX174">
        <v>0</v>
      </c>
    </row>
    <row r="175" spans="1:51" hidden="1" x14ac:dyDescent="0.35">
      <c r="A175" t="s">
        <v>458</v>
      </c>
      <c r="C175" t="s">
        <v>223</v>
      </c>
      <c r="D175">
        <v>27816</v>
      </c>
      <c r="E175">
        <v>5218.8999999999996</v>
      </c>
      <c r="F175">
        <v>0</v>
      </c>
      <c r="G175">
        <v>150061.4</v>
      </c>
      <c r="H175">
        <v>0</v>
      </c>
      <c r="I175">
        <v>211244.28393903867</v>
      </c>
      <c r="J175">
        <v>0</v>
      </c>
      <c r="K175">
        <v>29.920199800227351</v>
      </c>
      <c r="L175">
        <v>3.1058679006328029</v>
      </c>
      <c r="M175">
        <v>26.814331899594549</v>
      </c>
      <c r="N175">
        <v>2021</v>
      </c>
      <c r="O175" t="s">
        <v>224</v>
      </c>
      <c r="P175">
        <v>14000</v>
      </c>
      <c r="Q175">
        <v>0</v>
      </c>
      <c r="S175">
        <v>37.164752843327577</v>
      </c>
      <c r="T175">
        <v>18.75773900956284</v>
      </c>
      <c r="V175">
        <v>450.57106294219153</v>
      </c>
      <c r="W175">
        <v>0</v>
      </c>
      <c r="X175">
        <v>0</v>
      </c>
      <c r="Z175" t="s">
        <v>225</v>
      </c>
      <c r="AA175">
        <v>123</v>
      </c>
      <c r="AB175" t="e">
        <v>#N/A</v>
      </c>
      <c r="AF175">
        <v>14000</v>
      </c>
      <c r="AG175">
        <v>0</v>
      </c>
      <c r="AH175">
        <v>0</v>
      </c>
      <c r="AP175" t="s">
        <v>412</v>
      </c>
      <c r="AQ175">
        <v>1033774.7650899999</v>
      </c>
      <c r="AR175">
        <v>12533084.686799999</v>
      </c>
      <c r="AS175">
        <v>-11499309.921709999</v>
      </c>
      <c r="AT175">
        <v>5218.8999999999996</v>
      </c>
      <c r="AU175">
        <v>0</v>
      </c>
      <c r="AV175">
        <v>15006.14</v>
      </c>
      <c r="AW175">
        <v>21124.428393903869</v>
      </c>
      <c r="AX175">
        <v>899.38839390386784</v>
      </c>
    </row>
    <row r="176" spans="1:51" hidden="1" x14ac:dyDescent="0.35">
      <c r="A176" t="s">
        <v>214</v>
      </c>
      <c r="C176" t="s">
        <v>172</v>
      </c>
      <c r="D176">
        <v>28303</v>
      </c>
      <c r="E176">
        <v>17380.599999999999</v>
      </c>
      <c r="G176">
        <v>499515.4</v>
      </c>
      <c r="H176">
        <v>0</v>
      </c>
      <c r="I176">
        <v>703273.89941383351</v>
      </c>
      <c r="J176">
        <v>0</v>
      </c>
      <c r="K176">
        <v>99.64031662403265</v>
      </c>
      <c r="L176">
        <v>10.340047024290755</v>
      </c>
      <c r="M176">
        <v>89.300269599741895</v>
      </c>
      <c r="N176">
        <v>2034</v>
      </c>
      <c r="O176" t="s">
        <v>219</v>
      </c>
      <c r="P176">
        <v>6500000</v>
      </c>
      <c r="Q176">
        <v>0</v>
      </c>
      <c r="S176">
        <v>121.6122371642582</v>
      </c>
      <c r="T176">
        <v>61.394361151114715</v>
      </c>
      <c r="V176">
        <v>2.8151094391724274</v>
      </c>
      <c r="W176">
        <v>2028</v>
      </c>
      <c r="X176">
        <v>993.6</v>
      </c>
      <c r="Y176" t="s">
        <v>180</v>
      </c>
      <c r="Z176">
        <v>532.08600808515916</v>
      </c>
      <c r="AA176">
        <v>143.25</v>
      </c>
      <c r="AB176">
        <v>60</v>
      </c>
      <c r="AE176">
        <v>300</v>
      </c>
      <c r="AF176">
        <v>0</v>
      </c>
      <c r="AG176" t="s">
        <v>568</v>
      </c>
      <c r="AH176">
        <v>0</v>
      </c>
      <c r="AI176" t="s">
        <v>174</v>
      </c>
      <c r="AJ176">
        <v>2207634</v>
      </c>
      <c r="AM176">
        <v>300000</v>
      </c>
      <c r="AP176">
        <v>0</v>
      </c>
      <c r="AQ176">
        <v>3441991.1484599998</v>
      </c>
      <c r="AR176">
        <v>79676.042456897208</v>
      </c>
      <c r="AS176">
        <v>3362315.1060031028</v>
      </c>
      <c r="AT176">
        <v>17380.599999999999</v>
      </c>
      <c r="AU176">
        <v>0</v>
      </c>
      <c r="AV176">
        <v>49951.540000000008</v>
      </c>
      <c r="AW176">
        <v>70327.389941383357</v>
      </c>
      <c r="AX176">
        <v>-2995.249941383343</v>
      </c>
      <c r="AY176" t="s">
        <v>470</v>
      </c>
    </row>
    <row r="177" spans="1:51" hidden="1" x14ac:dyDescent="0.35">
      <c r="A177" t="s">
        <v>378</v>
      </c>
      <c r="C177" t="s">
        <v>223</v>
      </c>
      <c r="D177">
        <v>28384</v>
      </c>
      <c r="E177">
        <v>12026.7</v>
      </c>
      <c r="F177">
        <v>0</v>
      </c>
      <c r="G177">
        <v>279966.8</v>
      </c>
      <c r="H177">
        <v>0</v>
      </c>
      <c r="I177">
        <v>336767.81280187576</v>
      </c>
      <c r="J177">
        <v>0.2</v>
      </c>
      <c r="K177">
        <v>67.981575672505471</v>
      </c>
      <c r="L177">
        <v>4.9514065907199027</v>
      </c>
      <c r="M177">
        <v>63.030169081785566</v>
      </c>
      <c r="N177">
        <v>2026</v>
      </c>
      <c r="O177" t="s">
        <v>224</v>
      </c>
      <c r="P177">
        <v>3962962</v>
      </c>
      <c r="Q177">
        <v>0</v>
      </c>
      <c r="S177">
        <v>76.01568783363868</v>
      </c>
      <c r="T177">
        <v>42.361279660019733</v>
      </c>
      <c r="V177">
        <v>13.670078720405861</v>
      </c>
      <c r="W177">
        <v>2024</v>
      </c>
      <c r="X177">
        <v>17.28</v>
      </c>
      <c r="Z177">
        <v>498.83063257983662</v>
      </c>
      <c r="AA177">
        <v>71</v>
      </c>
      <c r="AB177">
        <v>70</v>
      </c>
      <c r="AF177">
        <v>14000</v>
      </c>
      <c r="AG177" t="s">
        <v>569</v>
      </c>
      <c r="AH177">
        <v>25000</v>
      </c>
      <c r="AJ177">
        <v>3121975</v>
      </c>
      <c r="AK177" t="s">
        <v>197</v>
      </c>
      <c r="AL177">
        <v>659663</v>
      </c>
      <c r="AM177">
        <v>134824</v>
      </c>
      <c r="AN177" t="s">
        <v>209</v>
      </c>
      <c r="AP177" t="s">
        <v>177</v>
      </c>
      <c r="AQ177">
        <v>2157629.2834700001</v>
      </c>
      <c r="AR177">
        <v>388011.51439999999</v>
      </c>
      <c r="AS177">
        <v>1769617.7690700002</v>
      </c>
      <c r="AT177">
        <v>12026.7</v>
      </c>
      <c r="AU177">
        <v>0</v>
      </c>
      <c r="AV177">
        <v>27996.68</v>
      </c>
      <c r="AW177">
        <v>33676.781280187577</v>
      </c>
      <c r="AX177">
        <v>6346.5987198124276</v>
      </c>
      <c r="AY177" t="s">
        <v>469</v>
      </c>
    </row>
    <row r="178" spans="1:51" hidden="1" x14ac:dyDescent="0.35">
      <c r="A178" t="s">
        <v>347</v>
      </c>
      <c r="C178" t="s">
        <v>223</v>
      </c>
      <c r="D178">
        <v>29732</v>
      </c>
      <c r="E178">
        <v>10575.6</v>
      </c>
      <c r="F178">
        <v>0</v>
      </c>
      <c r="G178">
        <v>181643.9</v>
      </c>
      <c r="H178">
        <v>0</v>
      </c>
      <c r="I178">
        <v>275062.62840562721</v>
      </c>
      <c r="J178">
        <v>0.1</v>
      </c>
      <c r="K178">
        <v>58.8301945497929</v>
      </c>
      <c r="L178">
        <v>4.0441718578064076</v>
      </c>
      <c r="M178">
        <v>54.786022691986489</v>
      </c>
      <c r="N178">
        <v>2027</v>
      </c>
      <c r="O178" t="s">
        <v>224</v>
      </c>
      <c r="P178">
        <v>5931848</v>
      </c>
      <c r="Q178">
        <v>2025</v>
      </c>
      <c r="S178">
        <v>56.40643851607696</v>
      </c>
      <c r="T178">
        <v>35.561255319521059</v>
      </c>
      <c r="V178">
        <v>14.956132884434281</v>
      </c>
      <c r="W178">
        <v>2024</v>
      </c>
      <c r="X178">
        <v>8.64</v>
      </c>
      <c r="Z178">
        <v>144</v>
      </c>
      <c r="AA178">
        <v>56</v>
      </c>
      <c r="AB178">
        <v>150</v>
      </c>
      <c r="AF178">
        <v>14000</v>
      </c>
      <c r="AG178" t="s">
        <v>570</v>
      </c>
      <c r="AH178">
        <v>0</v>
      </c>
      <c r="AI178" t="s">
        <v>174</v>
      </c>
      <c r="AJ178">
        <v>4944630</v>
      </c>
      <c r="AK178" t="s">
        <v>197</v>
      </c>
      <c r="AL178">
        <v>831991</v>
      </c>
      <c r="AM178">
        <v>141227</v>
      </c>
      <c r="AN178" t="s">
        <v>209</v>
      </c>
      <c r="AP178" t="s">
        <v>177</v>
      </c>
      <c r="AQ178">
        <v>1677076.2299600001</v>
      </c>
      <c r="AR178">
        <v>444675.74292000005</v>
      </c>
      <c r="AS178">
        <v>1232400.48704</v>
      </c>
      <c r="AT178">
        <v>10575.6</v>
      </c>
      <c r="AU178">
        <v>0</v>
      </c>
      <c r="AV178">
        <v>18164.39</v>
      </c>
      <c r="AW178">
        <v>27506.262840562722</v>
      </c>
      <c r="AX178">
        <v>1233.727159437276</v>
      </c>
      <c r="AY178" t="s">
        <v>478</v>
      </c>
    </row>
    <row r="179" spans="1:51" hidden="1" x14ac:dyDescent="0.35">
      <c r="A179" t="s">
        <v>314</v>
      </c>
      <c r="C179" t="s">
        <v>223</v>
      </c>
      <c r="D179">
        <v>29811</v>
      </c>
      <c r="E179">
        <v>42879</v>
      </c>
      <c r="F179">
        <v>0</v>
      </c>
      <c r="G179">
        <v>141312</v>
      </c>
      <c r="H179">
        <v>0</v>
      </c>
      <c r="I179">
        <v>643996.64243845246</v>
      </c>
      <c r="J179">
        <v>0</v>
      </c>
      <c r="K179">
        <v>229.77771973389554</v>
      </c>
      <c r="L179">
        <v>9.4685094553474549</v>
      </c>
      <c r="M179">
        <v>220.30921027854808</v>
      </c>
      <c r="N179">
        <v>2028</v>
      </c>
      <c r="O179" t="s">
        <v>224</v>
      </c>
      <c r="P179">
        <v>8782000</v>
      </c>
      <c r="Q179">
        <v>2024</v>
      </c>
      <c r="R179" t="s">
        <v>236</v>
      </c>
      <c r="S179">
        <v>159.97557062493709</v>
      </c>
      <c r="T179">
        <v>143.80179101338433</v>
      </c>
      <c r="V179">
        <v>12.774975068263394</v>
      </c>
      <c r="W179">
        <v>0</v>
      </c>
      <c r="X179">
        <v>0</v>
      </c>
      <c r="Z179">
        <v>96</v>
      </c>
      <c r="AA179">
        <v>44</v>
      </c>
      <c r="AB179" t="s">
        <v>420</v>
      </c>
      <c r="AF179">
        <v>0</v>
      </c>
      <c r="AG179" t="s">
        <v>571</v>
      </c>
      <c r="AH179">
        <v>100000</v>
      </c>
      <c r="AI179" t="s">
        <v>174</v>
      </c>
      <c r="AJ179">
        <v>4740000</v>
      </c>
      <c r="AK179" t="s">
        <v>237</v>
      </c>
      <c r="AL179">
        <v>75000</v>
      </c>
      <c r="AP179" t="e">
        <v>#N/A</v>
      </c>
      <c r="AQ179">
        <v>4769031.7358999997</v>
      </c>
      <c r="AR179">
        <v>380834.78176000004</v>
      </c>
      <c r="AS179">
        <v>4388196.95414</v>
      </c>
      <c r="AT179">
        <v>42879</v>
      </c>
      <c r="AU179">
        <v>0</v>
      </c>
      <c r="AV179">
        <v>14131.2</v>
      </c>
      <c r="AW179">
        <v>64399.664243845247</v>
      </c>
      <c r="AX179">
        <v>-7389.4642438452502</v>
      </c>
      <c r="AY179">
        <v>0</v>
      </c>
    </row>
    <row r="180" spans="1:51" hidden="1" x14ac:dyDescent="0.35">
      <c r="A180" t="s">
        <v>366</v>
      </c>
      <c r="C180" t="s">
        <v>317</v>
      </c>
      <c r="D180">
        <v>30498</v>
      </c>
      <c r="E180">
        <v>13253.6</v>
      </c>
      <c r="F180">
        <v>0</v>
      </c>
      <c r="G180">
        <v>351122.8</v>
      </c>
      <c r="H180">
        <v>0</v>
      </c>
      <c r="I180">
        <v>506499.11887456034</v>
      </c>
      <c r="J180">
        <v>0</v>
      </c>
      <c r="K180">
        <v>75.542961511572528</v>
      </c>
      <c r="L180">
        <v>7.4469203411216052</v>
      </c>
      <c r="M180">
        <v>68.096041170450917</v>
      </c>
      <c r="N180" t="s">
        <v>318</v>
      </c>
      <c r="O180" t="s">
        <v>224</v>
      </c>
      <c r="Q180">
        <v>0</v>
      </c>
      <c r="S180">
        <v>82.729170193455303</v>
      </c>
      <c r="T180">
        <v>43.446889598006429</v>
      </c>
      <c r="V180">
        <v>-31.839633656916632</v>
      </c>
      <c r="W180">
        <v>0</v>
      </c>
      <c r="X180">
        <v>0</v>
      </c>
      <c r="Z180" t="s">
        <v>225</v>
      </c>
      <c r="AA180">
        <v>56</v>
      </c>
      <c r="AB180" t="s">
        <v>228</v>
      </c>
      <c r="AF180" t="s">
        <v>228</v>
      </c>
      <c r="AG180" t="s">
        <v>367</v>
      </c>
      <c r="AH180" t="s">
        <v>228</v>
      </c>
      <c r="AI180" t="s">
        <v>174</v>
      </c>
      <c r="AJ180" t="s">
        <v>228</v>
      </c>
      <c r="AL180" t="s">
        <v>228</v>
      </c>
      <c r="AM180" t="s">
        <v>228</v>
      </c>
      <c r="AP180">
        <v>0</v>
      </c>
      <c r="AQ180">
        <v>2523074.2325599999</v>
      </c>
      <c r="AR180">
        <v>-971045.14726864349</v>
      </c>
      <c r="AS180">
        <v>3494119.3798286435</v>
      </c>
      <c r="AT180">
        <v>13253.6</v>
      </c>
      <c r="AU180">
        <v>0</v>
      </c>
      <c r="AV180">
        <v>35112.28</v>
      </c>
      <c r="AW180">
        <v>50649.911887456037</v>
      </c>
      <c r="AX180">
        <v>-2284.0318874560398</v>
      </c>
      <c r="AY180" t="e">
        <v>#N/A</v>
      </c>
    </row>
    <row r="181" spans="1:51" hidden="1" x14ac:dyDescent="0.35">
      <c r="A181" t="s">
        <v>343</v>
      </c>
      <c r="C181" t="s">
        <v>223</v>
      </c>
      <c r="D181">
        <v>30890</v>
      </c>
      <c r="E181">
        <v>22924.6</v>
      </c>
      <c r="F181">
        <v>0</v>
      </c>
      <c r="G181">
        <v>155678.9</v>
      </c>
      <c r="H181">
        <v>0</v>
      </c>
      <c r="I181">
        <v>297102.07642438449</v>
      </c>
      <c r="J181">
        <v>0.3</v>
      </c>
      <c r="K181">
        <v>124.02524462331455</v>
      </c>
      <c r="L181">
        <v>4.3682119353541493</v>
      </c>
      <c r="M181">
        <v>119.6570326879604</v>
      </c>
      <c r="N181">
        <v>2035</v>
      </c>
      <c r="O181" t="s">
        <v>224</v>
      </c>
      <c r="P181">
        <v>6100000</v>
      </c>
      <c r="Q181">
        <v>0</v>
      </c>
      <c r="S181">
        <v>91.391664255746193</v>
      </c>
      <c r="T181">
        <v>74.195924314017475</v>
      </c>
      <c r="V181">
        <v>25.055105015215283</v>
      </c>
      <c r="W181">
        <v>0</v>
      </c>
      <c r="X181">
        <v>0</v>
      </c>
      <c r="Z181">
        <v>288.21325437946115</v>
      </c>
      <c r="AA181">
        <v>50</v>
      </c>
      <c r="AB181">
        <v>145.41</v>
      </c>
      <c r="AF181">
        <v>14000</v>
      </c>
      <c r="AG181" t="s">
        <v>471</v>
      </c>
      <c r="AH181">
        <v>0</v>
      </c>
      <c r="AI181" t="s">
        <v>174</v>
      </c>
      <c r="AJ181">
        <v>2270000</v>
      </c>
      <c r="AL181">
        <v>1250000</v>
      </c>
      <c r="AP181" t="s">
        <v>174</v>
      </c>
      <c r="AQ181">
        <v>2823088.5088599999</v>
      </c>
      <c r="AR181">
        <v>773952.19392000011</v>
      </c>
      <c r="AS181">
        <v>2049136.31494</v>
      </c>
      <c r="AT181">
        <v>22924.6</v>
      </c>
      <c r="AU181">
        <v>0</v>
      </c>
      <c r="AV181">
        <v>15567.89</v>
      </c>
      <c r="AW181">
        <v>29710.20764243845</v>
      </c>
      <c r="AX181">
        <v>8782.2823575615475</v>
      </c>
      <c r="AY181" t="s">
        <v>469</v>
      </c>
    </row>
    <row r="182" spans="1:51" hidden="1" x14ac:dyDescent="0.35">
      <c r="A182" t="s">
        <v>391</v>
      </c>
      <c r="C182" t="s">
        <v>227</v>
      </c>
      <c r="D182">
        <v>30930</v>
      </c>
      <c r="E182">
        <v>13606.91</v>
      </c>
      <c r="F182">
        <v>0</v>
      </c>
      <c r="G182">
        <v>81097.990000000005</v>
      </c>
      <c r="H182">
        <v>0</v>
      </c>
      <c r="I182">
        <v>180462.2087954279</v>
      </c>
      <c r="J182">
        <v>0.25</v>
      </c>
      <c r="K182">
        <v>73.449038912221525</v>
      </c>
      <c r="L182">
        <v>2.6532873274656845</v>
      </c>
      <c r="M182">
        <v>70.795751584755834</v>
      </c>
      <c r="N182">
        <v>2026</v>
      </c>
      <c r="O182" t="s">
        <v>228</v>
      </c>
      <c r="P182">
        <v>1815000</v>
      </c>
      <c r="Q182">
        <v>0</v>
      </c>
      <c r="S182">
        <v>52.928294107048174</v>
      </c>
      <c r="T182">
        <v>43.982081954445519</v>
      </c>
      <c r="U182">
        <v>0</v>
      </c>
      <c r="V182">
        <v>39.69566220303912</v>
      </c>
      <c r="W182">
        <v>2022</v>
      </c>
      <c r="X182">
        <v>2152.8000000000002</v>
      </c>
      <c r="Z182">
        <v>1330.2150202128978</v>
      </c>
      <c r="AA182">
        <v>50</v>
      </c>
      <c r="AB182">
        <v>145</v>
      </c>
      <c r="AF182">
        <v>0</v>
      </c>
      <c r="AG182" t="s">
        <v>572</v>
      </c>
      <c r="AH182">
        <v>50000</v>
      </c>
      <c r="AI182" t="s">
        <v>174</v>
      </c>
      <c r="AJ182">
        <v>1750000</v>
      </c>
      <c r="AM182">
        <v>0</v>
      </c>
      <c r="AN182" t="s">
        <v>229</v>
      </c>
      <c r="AQ182">
        <v>1637072.1367309999</v>
      </c>
      <c r="AR182">
        <v>1227786.8319399999</v>
      </c>
      <c r="AS182">
        <v>409285.30479099997</v>
      </c>
      <c r="AT182">
        <v>13606.91</v>
      </c>
      <c r="AU182">
        <v>0</v>
      </c>
      <c r="AV182">
        <v>8109.7990000000009</v>
      </c>
      <c r="AW182">
        <v>18046.22087954279</v>
      </c>
      <c r="AX182">
        <v>3670.4881204572121</v>
      </c>
      <c r="AY182" t="s">
        <v>470</v>
      </c>
    </row>
    <row r="183" spans="1:51" hidden="1" x14ac:dyDescent="0.35">
      <c r="A183" t="s">
        <v>359</v>
      </c>
      <c r="C183" t="s">
        <v>223</v>
      </c>
      <c r="D183">
        <v>34639</v>
      </c>
      <c r="E183">
        <v>48112.4</v>
      </c>
      <c r="F183">
        <v>0</v>
      </c>
      <c r="G183">
        <v>502056.7</v>
      </c>
      <c r="H183">
        <v>0</v>
      </c>
      <c r="I183">
        <v>1066094.2146541618</v>
      </c>
      <c r="J183">
        <v>0</v>
      </c>
      <c r="K183">
        <v>262.87253868517615</v>
      </c>
      <c r="L183">
        <v>15.674496552532691</v>
      </c>
      <c r="M183">
        <v>247.19804213264345</v>
      </c>
      <c r="N183">
        <v>2032</v>
      </c>
      <c r="O183" t="s">
        <v>224</v>
      </c>
      <c r="P183">
        <v>8433800</v>
      </c>
      <c r="Q183">
        <v>0</v>
      </c>
      <c r="S183">
        <v>188.3168559727475</v>
      </c>
      <c r="T183">
        <v>138.86342312537892</v>
      </c>
      <c r="V183">
        <v>19.663448608793558</v>
      </c>
      <c r="W183">
        <v>2024</v>
      </c>
      <c r="X183">
        <v>25.919999999999998</v>
      </c>
      <c r="Z183">
        <v>432.31988156919175</v>
      </c>
      <c r="AA183">
        <v>138</v>
      </c>
      <c r="AB183" t="s">
        <v>420</v>
      </c>
      <c r="AE183">
        <v>300</v>
      </c>
      <c r="AF183">
        <v>14000</v>
      </c>
      <c r="AG183" t="s">
        <v>573</v>
      </c>
      <c r="AH183">
        <v>30000</v>
      </c>
      <c r="AI183" t="s">
        <v>174</v>
      </c>
      <c r="AJ183">
        <v>4656000</v>
      </c>
      <c r="AP183">
        <v>0</v>
      </c>
      <c r="AQ183">
        <v>6523107.5740400013</v>
      </c>
      <c r="AR183">
        <v>681122.19636000006</v>
      </c>
      <c r="AS183">
        <v>5841985.3776800008</v>
      </c>
      <c r="AT183">
        <v>48112.4</v>
      </c>
      <c r="AU183">
        <v>0</v>
      </c>
      <c r="AV183">
        <v>50205.670000000006</v>
      </c>
      <c r="AW183">
        <v>106609.42146541619</v>
      </c>
      <c r="AX183">
        <v>-8291.3514654161845</v>
      </c>
      <c r="AY183">
        <v>0</v>
      </c>
    </row>
    <row r="184" spans="1:51" hidden="1" x14ac:dyDescent="0.35">
      <c r="A184" t="s">
        <v>430</v>
      </c>
      <c r="C184" t="s">
        <v>418</v>
      </c>
      <c r="D184">
        <v>36000</v>
      </c>
      <c r="E184">
        <v>3952.9</v>
      </c>
      <c r="F184">
        <v>895260</v>
      </c>
      <c r="G184">
        <v>340994.4</v>
      </c>
      <c r="H184">
        <v>0</v>
      </c>
      <c r="I184">
        <v>492289.82790152403</v>
      </c>
      <c r="K184">
        <v>100.31775322594986</v>
      </c>
      <c r="L184">
        <v>7.2380049569939073</v>
      </c>
      <c r="M184">
        <v>93.079748268955953</v>
      </c>
      <c r="N184">
        <v>2030</v>
      </c>
      <c r="O184" t="s">
        <v>224</v>
      </c>
      <c r="P184" t="s">
        <v>225</v>
      </c>
      <c r="Q184" t="s">
        <v>224</v>
      </c>
      <c r="S184">
        <v>68.164678291388896</v>
      </c>
      <c r="T184">
        <v>10.977653491388891</v>
      </c>
      <c r="U184">
        <v>15.267053206002728</v>
      </c>
      <c r="V184">
        <v>106.73495658238943</v>
      </c>
      <c r="W184">
        <v>0</v>
      </c>
      <c r="X184">
        <v>0</v>
      </c>
      <c r="Z184">
        <v>0</v>
      </c>
      <c r="AB184" t="e">
        <v>#N/A</v>
      </c>
      <c r="AF184">
        <v>0</v>
      </c>
      <c r="AH184">
        <v>0</v>
      </c>
      <c r="AI184" t="s">
        <v>181</v>
      </c>
      <c r="AQ184">
        <v>2453928.4184900001</v>
      </c>
      <c r="AR184">
        <v>3842458.4369660197</v>
      </c>
      <c r="AS184">
        <v>-1388530.0184760196</v>
      </c>
      <c r="AT184">
        <v>3952.9</v>
      </c>
      <c r="AU184">
        <v>28648.32</v>
      </c>
      <c r="AV184">
        <v>34099.440000000002</v>
      </c>
      <c r="AW184">
        <v>49228.982790152404</v>
      </c>
      <c r="AX184">
        <v>-17471.677209847599</v>
      </c>
    </row>
    <row r="185" spans="1:51" hidden="1" x14ac:dyDescent="0.35">
      <c r="A185" t="s">
        <v>199</v>
      </c>
      <c r="C185" t="s">
        <v>172</v>
      </c>
      <c r="D185">
        <v>36280</v>
      </c>
      <c r="E185">
        <v>7742.1</v>
      </c>
      <c r="G185">
        <v>809471.4</v>
      </c>
      <c r="H185">
        <v>0</v>
      </c>
      <c r="I185">
        <v>810211.12987104349</v>
      </c>
      <c r="J185">
        <v>0.1</v>
      </c>
      <c r="K185">
        <v>53.014258642752488</v>
      </c>
      <c r="L185">
        <v>11.912316366998596</v>
      </c>
      <c r="M185">
        <v>41.101942275753892</v>
      </c>
      <c r="N185">
        <v>2030</v>
      </c>
      <c r="O185">
        <v>2030</v>
      </c>
      <c r="P185">
        <v>2375000</v>
      </c>
      <c r="Q185" t="s">
        <v>574</v>
      </c>
      <c r="S185">
        <v>97.4625518359978</v>
      </c>
      <c r="T185">
        <v>21.334756444597577</v>
      </c>
      <c r="V185">
        <v>2.0561492498802032</v>
      </c>
      <c r="W185">
        <v>2024</v>
      </c>
      <c r="X185">
        <v>1114.56</v>
      </c>
      <c r="Y185" t="s">
        <v>180</v>
      </c>
      <c r="Z185">
        <v>532.08600808515916</v>
      </c>
      <c r="AA185">
        <v>174.07</v>
      </c>
      <c r="AB185">
        <v>110</v>
      </c>
      <c r="AE185">
        <v>300</v>
      </c>
      <c r="AF185">
        <v>0</v>
      </c>
      <c r="AG185" t="s">
        <v>575</v>
      </c>
      <c r="AH185">
        <v>75000</v>
      </c>
      <c r="AI185" t="s">
        <v>174</v>
      </c>
      <c r="AJ185">
        <v>400000</v>
      </c>
      <c r="AK185" t="s">
        <v>200</v>
      </c>
      <c r="AL185">
        <v>758945</v>
      </c>
      <c r="AM185">
        <v>300000</v>
      </c>
      <c r="AP185">
        <v>0</v>
      </c>
      <c r="AQ185">
        <v>3535941.3806100003</v>
      </c>
      <c r="AR185">
        <v>74597.094785653768</v>
      </c>
      <c r="AS185">
        <v>3461344.2858243464</v>
      </c>
      <c r="AT185">
        <v>7742.1</v>
      </c>
      <c r="AU185">
        <v>0</v>
      </c>
      <c r="AV185">
        <v>80947.140000000014</v>
      </c>
      <c r="AW185">
        <v>81021.112987104352</v>
      </c>
      <c r="AX185">
        <v>7668.1270128956676</v>
      </c>
      <c r="AY185" t="s">
        <v>470</v>
      </c>
    </row>
    <row r="186" spans="1:51" hidden="1" x14ac:dyDescent="0.35">
      <c r="A186" t="s">
        <v>429</v>
      </c>
      <c r="C186" t="s">
        <v>418</v>
      </c>
      <c r="D186">
        <v>36314</v>
      </c>
      <c r="E186">
        <v>3303</v>
      </c>
      <c r="F186">
        <v>2330830</v>
      </c>
      <c r="G186">
        <v>303138.7</v>
      </c>
      <c r="H186">
        <v>0</v>
      </c>
      <c r="I186">
        <v>615111.73634232115</v>
      </c>
      <c r="K186">
        <v>215.47285306271394</v>
      </c>
      <c r="L186">
        <v>9.0438224485139038</v>
      </c>
      <c r="M186">
        <v>206.42903061420003</v>
      </c>
      <c r="N186">
        <v>2036</v>
      </c>
      <c r="O186" t="s">
        <v>224</v>
      </c>
      <c r="P186" t="s">
        <v>225</v>
      </c>
      <c r="Q186" t="s">
        <v>224</v>
      </c>
      <c r="S186">
        <v>101.76131251583411</v>
      </c>
      <c r="T186">
        <v>9.0934917194470462</v>
      </c>
      <c r="U186">
        <v>40.214458247066943</v>
      </c>
      <c r="V186">
        <v>173.04573839510934</v>
      </c>
      <c r="W186">
        <v>0</v>
      </c>
      <c r="X186">
        <v>0</v>
      </c>
      <c r="Z186">
        <v>0</v>
      </c>
      <c r="AB186" t="e">
        <v>#N/A</v>
      </c>
      <c r="AF186">
        <v>0</v>
      </c>
      <c r="AH186">
        <v>0</v>
      </c>
      <c r="AI186" t="s">
        <v>233</v>
      </c>
      <c r="AQ186">
        <v>3695360.3026999999</v>
      </c>
      <c r="AR186">
        <v>6283982.9440800007</v>
      </c>
      <c r="AS186">
        <v>-2588622.6413800009</v>
      </c>
      <c r="AT186">
        <v>3303</v>
      </c>
      <c r="AU186">
        <v>74586.559999999998</v>
      </c>
      <c r="AV186">
        <v>30313.870000000003</v>
      </c>
      <c r="AW186">
        <v>61511.173634232116</v>
      </c>
      <c r="AX186">
        <v>-46692.256365767877</v>
      </c>
    </row>
    <row r="187" spans="1:51" hidden="1" x14ac:dyDescent="0.35">
      <c r="A187" t="s">
        <v>294</v>
      </c>
      <c r="C187" t="s">
        <v>227</v>
      </c>
      <c r="D187">
        <v>37460</v>
      </c>
      <c r="E187">
        <v>6154.4</v>
      </c>
      <c r="G187">
        <v>134741.5</v>
      </c>
      <c r="H187">
        <v>0</v>
      </c>
      <c r="I187">
        <v>186202.40275498244</v>
      </c>
      <c r="J187">
        <v>0.1</v>
      </c>
      <c r="K187">
        <v>34.66273439758676</v>
      </c>
      <c r="L187">
        <v>2.7376838556459773</v>
      </c>
      <c r="M187">
        <v>31.925050541940784</v>
      </c>
      <c r="N187">
        <v>2025</v>
      </c>
      <c r="O187">
        <v>2024</v>
      </c>
      <c r="P187">
        <v>682500</v>
      </c>
      <c r="Q187">
        <v>0</v>
      </c>
      <c r="S187">
        <v>28.698102184730381</v>
      </c>
      <c r="T187">
        <v>16.425331282434595</v>
      </c>
      <c r="V187">
        <v>12.109743240914344</v>
      </c>
      <c r="W187">
        <v>2024</v>
      </c>
      <c r="X187">
        <v>0</v>
      </c>
      <c r="Z187">
        <v>532.08600808515916</v>
      </c>
      <c r="AA187">
        <v>50</v>
      </c>
      <c r="AB187">
        <v>170</v>
      </c>
      <c r="AF187">
        <v>0</v>
      </c>
      <c r="AG187">
        <v>0</v>
      </c>
      <c r="AH187">
        <v>25000</v>
      </c>
      <c r="AI187" t="s">
        <v>181</v>
      </c>
      <c r="AJ187">
        <v>650000</v>
      </c>
      <c r="AL187">
        <v>0</v>
      </c>
      <c r="AN187" t="s">
        <v>229</v>
      </c>
      <c r="AQ187">
        <v>1075030.90784</v>
      </c>
      <c r="AR187">
        <v>453630.98180465132</v>
      </c>
      <c r="AS187">
        <v>621399.92603534868</v>
      </c>
      <c r="AT187">
        <v>6154.4</v>
      </c>
      <c r="AU187">
        <v>0</v>
      </c>
      <c r="AV187">
        <v>13474.150000000001</v>
      </c>
      <c r="AW187">
        <v>18620.240275498243</v>
      </c>
      <c r="AX187">
        <v>1008.3097245017598</v>
      </c>
      <c r="AY187" t="s">
        <v>469</v>
      </c>
    </row>
    <row r="188" spans="1:51" hidden="1" x14ac:dyDescent="0.35">
      <c r="A188" t="s">
        <v>576</v>
      </c>
      <c r="C188" t="s">
        <v>227</v>
      </c>
      <c r="D188">
        <v>37460</v>
      </c>
      <c r="E188">
        <v>6154</v>
      </c>
      <c r="G188">
        <v>261467</v>
      </c>
      <c r="I188">
        <v>333612.36928487691</v>
      </c>
      <c r="J188">
        <v>0</v>
      </c>
      <c r="K188">
        <v>36.52382122893647</v>
      </c>
      <c r="L188">
        <v>4.9050129532260964</v>
      </c>
      <c r="M188">
        <v>31.618808275710371</v>
      </c>
      <c r="N188">
        <v>2024</v>
      </c>
      <c r="O188">
        <v>2024</v>
      </c>
      <c r="P188">
        <v>682500</v>
      </c>
      <c r="Q188">
        <v>0</v>
      </c>
      <c r="S188">
        <v>40.239677613454354</v>
      </c>
      <c r="T188">
        <v>40</v>
      </c>
      <c r="V188">
        <v>1309.653656935398</v>
      </c>
      <c r="W188">
        <v>0</v>
      </c>
      <c r="X188">
        <v>0</v>
      </c>
      <c r="Z188">
        <v>532.08600808515916</v>
      </c>
      <c r="AB188" t="e">
        <v>#N/A</v>
      </c>
      <c r="AF188">
        <v>0</v>
      </c>
      <c r="AG188" t="s">
        <v>463</v>
      </c>
      <c r="AH188">
        <v>25000</v>
      </c>
      <c r="AI188" t="s">
        <v>181</v>
      </c>
      <c r="AJ188">
        <v>650000</v>
      </c>
      <c r="AQ188">
        <v>1507378.3234000001</v>
      </c>
      <c r="AR188">
        <v>49059625.988800012</v>
      </c>
      <c r="AS188">
        <v>-47552247.665400013</v>
      </c>
      <c r="AT188">
        <v>6154</v>
      </c>
      <c r="AU188">
        <v>0</v>
      </c>
      <c r="AV188">
        <v>26146.7</v>
      </c>
      <c r="AW188">
        <v>33361.236928487691</v>
      </c>
      <c r="AX188">
        <v>1060.5369284876906</v>
      </c>
    </row>
    <row r="189" spans="1:51" hidden="1" x14ac:dyDescent="0.35">
      <c r="A189" t="s">
        <v>202</v>
      </c>
      <c r="C189" t="s">
        <v>172</v>
      </c>
      <c r="D189">
        <v>38939</v>
      </c>
      <c r="E189">
        <v>18283.8</v>
      </c>
      <c r="G189">
        <v>451033.9</v>
      </c>
      <c r="H189">
        <v>0</v>
      </c>
      <c r="I189">
        <v>532304.72844079731</v>
      </c>
      <c r="J189">
        <v>0.2</v>
      </c>
      <c r="K189">
        <v>103.72376267487589</v>
      </c>
      <c r="L189">
        <v>7.8263332791359073</v>
      </c>
      <c r="M189">
        <v>95.897429395739977</v>
      </c>
      <c r="N189">
        <v>2026</v>
      </c>
      <c r="O189">
        <v>2025</v>
      </c>
      <c r="P189">
        <v>1000000</v>
      </c>
      <c r="Q189">
        <v>0</v>
      </c>
      <c r="S189">
        <v>86.465258069801493</v>
      </c>
      <c r="T189">
        <v>46.943758627083383</v>
      </c>
      <c r="V189">
        <v>2.2436623145453396</v>
      </c>
      <c r="W189">
        <v>2024</v>
      </c>
      <c r="X189">
        <v>345.6</v>
      </c>
      <c r="Z189">
        <v>489.96253244508398</v>
      </c>
      <c r="AA189">
        <v>84</v>
      </c>
      <c r="AB189">
        <v>70</v>
      </c>
      <c r="AF189">
        <v>28000</v>
      </c>
      <c r="AG189" t="s">
        <v>577</v>
      </c>
      <c r="AH189">
        <v>50000</v>
      </c>
      <c r="AI189" t="s">
        <v>177</v>
      </c>
      <c r="AJ189">
        <v>1308350.4000000001</v>
      </c>
      <c r="AM189">
        <v>2200000</v>
      </c>
      <c r="AO189" t="s">
        <v>184</v>
      </c>
      <c r="AP189" t="s">
        <v>177</v>
      </c>
      <c r="AQ189">
        <v>3366870.6839800002</v>
      </c>
      <c r="AR189">
        <v>87365.966866080984</v>
      </c>
      <c r="AS189">
        <v>3279504.7171139191</v>
      </c>
      <c r="AT189">
        <v>18283.8</v>
      </c>
      <c r="AU189">
        <v>0</v>
      </c>
      <c r="AV189">
        <v>45103.390000000007</v>
      </c>
      <c r="AW189">
        <v>53230.472844079733</v>
      </c>
      <c r="AX189">
        <v>10156.717155920269</v>
      </c>
      <c r="AY189" t="s">
        <v>484</v>
      </c>
    </row>
    <row r="190" spans="1:51" hidden="1" x14ac:dyDescent="0.35">
      <c r="A190" t="s">
        <v>383</v>
      </c>
      <c r="C190" t="s">
        <v>223</v>
      </c>
      <c r="D190">
        <v>39333</v>
      </c>
      <c r="E190">
        <v>49064.7</v>
      </c>
      <c r="F190">
        <v>0</v>
      </c>
      <c r="G190">
        <v>762662.1</v>
      </c>
      <c r="H190">
        <v>0</v>
      </c>
      <c r="I190">
        <v>1337863.7412661195</v>
      </c>
      <c r="J190">
        <v>0</v>
      </c>
      <c r="K190">
        <v>271.76114168880218</v>
      </c>
      <c r="L190">
        <v>19.670250820221366</v>
      </c>
      <c r="M190">
        <v>252.09089086858083</v>
      </c>
      <c r="N190">
        <v>2030</v>
      </c>
      <c r="O190" t="s">
        <v>224</v>
      </c>
      <c r="P190">
        <v>9292600</v>
      </c>
      <c r="Q190">
        <v>0</v>
      </c>
      <c r="S190">
        <v>190.87027277019297</v>
      </c>
      <c r="T190">
        <v>124.71200655098772</v>
      </c>
      <c r="V190">
        <v>7.2288204217832366</v>
      </c>
      <c r="W190">
        <v>2024</v>
      </c>
      <c r="X190">
        <v>345.6</v>
      </c>
      <c r="Z190">
        <v>576.4265087589223</v>
      </c>
      <c r="AA190">
        <v>145</v>
      </c>
      <c r="AB190" t="s">
        <v>420</v>
      </c>
      <c r="AF190">
        <v>14000</v>
      </c>
      <c r="AG190" t="s">
        <v>578</v>
      </c>
      <c r="AH190">
        <v>30000</v>
      </c>
      <c r="AI190" t="s">
        <v>174</v>
      </c>
      <c r="AJ190">
        <v>4422000</v>
      </c>
      <c r="AL190">
        <v>800000</v>
      </c>
      <c r="AP190" t="s">
        <v>233</v>
      </c>
      <c r="AQ190">
        <v>7507500.4388699997</v>
      </c>
      <c r="AR190">
        <v>284331.19365000003</v>
      </c>
      <c r="AS190">
        <v>7223169.2452199999</v>
      </c>
      <c r="AT190">
        <v>49064.7</v>
      </c>
      <c r="AU190">
        <v>0</v>
      </c>
      <c r="AV190">
        <v>76266.210000000006</v>
      </c>
      <c r="AW190">
        <v>133786.37412661195</v>
      </c>
      <c r="AX190">
        <v>-8455.4641266119434</v>
      </c>
      <c r="AY190">
        <v>0</v>
      </c>
    </row>
    <row r="191" spans="1:51" hidden="1" x14ac:dyDescent="0.35">
      <c r="A191" t="s">
        <v>331</v>
      </c>
      <c r="C191" t="s">
        <v>223</v>
      </c>
      <c r="D191">
        <v>39717</v>
      </c>
      <c r="E191">
        <v>97656.7</v>
      </c>
      <c r="F191">
        <v>0</v>
      </c>
      <c r="G191">
        <v>639557.5</v>
      </c>
      <c r="H191">
        <v>0</v>
      </c>
      <c r="I191">
        <v>1784419.1647127785</v>
      </c>
      <c r="J191">
        <v>0</v>
      </c>
      <c r="K191">
        <v>527.98891834748179</v>
      </c>
      <c r="L191">
        <v>26.235835127045561</v>
      </c>
      <c r="M191">
        <v>501.75308322043622</v>
      </c>
      <c r="N191">
        <v>2026</v>
      </c>
      <c r="O191" t="s">
        <v>224</v>
      </c>
      <c r="P191">
        <v>6901983</v>
      </c>
      <c r="Q191">
        <v>0</v>
      </c>
      <c r="R191" t="s">
        <v>236</v>
      </c>
      <c r="S191">
        <v>300.76557128861691</v>
      </c>
      <c r="T191">
        <v>245.82259498124228</v>
      </c>
      <c r="V191">
        <v>11.354796428733287</v>
      </c>
      <c r="W191">
        <v>2024</v>
      </c>
      <c r="X191">
        <v>8.64</v>
      </c>
      <c r="Z191">
        <v>360.26656797432645</v>
      </c>
      <c r="AA191">
        <v>132</v>
      </c>
      <c r="AB191" t="s">
        <v>420</v>
      </c>
      <c r="AF191">
        <v>0</v>
      </c>
      <c r="AG191" t="s">
        <v>579</v>
      </c>
      <c r="AH191">
        <v>100000</v>
      </c>
      <c r="AI191">
        <v>0</v>
      </c>
      <c r="AJ191">
        <v>3484435</v>
      </c>
      <c r="AK191" t="s">
        <v>237</v>
      </c>
      <c r="AL191">
        <v>0</v>
      </c>
      <c r="AM191">
        <v>500000</v>
      </c>
      <c r="AP191">
        <v>0</v>
      </c>
      <c r="AQ191">
        <v>11945506.194869997</v>
      </c>
      <c r="AR191">
        <v>450978.44975999999</v>
      </c>
      <c r="AS191">
        <v>11494527.745109998</v>
      </c>
      <c r="AT191">
        <v>97656.7</v>
      </c>
      <c r="AU191">
        <v>0</v>
      </c>
      <c r="AV191">
        <v>63955.75</v>
      </c>
      <c r="AW191">
        <v>178441.91647127786</v>
      </c>
      <c r="AX191">
        <v>-16829.466471277847</v>
      </c>
      <c r="AY191">
        <v>0</v>
      </c>
    </row>
    <row r="192" spans="1:51" hidden="1" x14ac:dyDescent="0.35">
      <c r="A192" t="s">
        <v>212</v>
      </c>
      <c r="C192" t="s">
        <v>172</v>
      </c>
      <c r="D192">
        <v>41939</v>
      </c>
      <c r="E192">
        <v>10149.700000000001</v>
      </c>
      <c r="G192">
        <v>310750.5</v>
      </c>
      <c r="H192">
        <v>0</v>
      </c>
      <c r="I192">
        <v>365277.96016998828</v>
      </c>
      <c r="J192">
        <v>0.15</v>
      </c>
      <c r="K192">
        <v>58.466760443650593</v>
      </c>
      <c r="L192">
        <v>5.3705836207525115</v>
      </c>
      <c r="M192">
        <v>53.09617682289808</v>
      </c>
      <c r="N192">
        <v>2026</v>
      </c>
      <c r="O192">
        <v>2028</v>
      </c>
      <c r="P192">
        <v>18500000</v>
      </c>
      <c r="Q192">
        <v>0</v>
      </c>
      <c r="S192">
        <v>49.476814615751451</v>
      </c>
      <c r="T192">
        <v>24.19531753666039</v>
      </c>
      <c r="V192">
        <v>3.0980441546254891</v>
      </c>
      <c r="W192">
        <v>2024</v>
      </c>
      <c r="X192">
        <v>311.04000000000002</v>
      </c>
      <c r="Z192">
        <v>288.21325437946115</v>
      </c>
      <c r="AA192">
        <v>124</v>
      </c>
      <c r="AB192">
        <v>40</v>
      </c>
      <c r="AF192">
        <v>0</v>
      </c>
      <c r="AG192" t="s">
        <v>580</v>
      </c>
      <c r="AH192">
        <v>25000</v>
      </c>
      <c r="AI192" t="s">
        <v>181</v>
      </c>
      <c r="AJ192">
        <v>3213730</v>
      </c>
      <c r="AK192" t="s">
        <v>213</v>
      </c>
      <c r="AL192">
        <v>428460</v>
      </c>
      <c r="AM192">
        <v>1118730</v>
      </c>
      <c r="AP192">
        <v>0</v>
      </c>
      <c r="AQ192">
        <v>2075008.1281700002</v>
      </c>
      <c r="AR192">
        <v>129928.87380083838</v>
      </c>
      <c r="AS192">
        <v>1945079.2543691618</v>
      </c>
      <c r="AT192">
        <v>10149.700000000001</v>
      </c>
      <c r="AU192">
        <v>0</v>
      </c>
      <c r="AV192">
        <v>31075.050000000003</v>
      </c>
      <c r="AW192">
        <v>36527.796016998829</v>
      </c>
      <c r="AX192">
        <v>4696.9539830011709</v>
      </c>
      <c r="AY192" t="s">
        <v>470</v>
      </c>
    </row>
    <row r="193" spans="1:51" hidden="1" x14ac:dyDescent="0.35">
      <c r="A193" t="s">
        <v>433</v>
      </c>
      <c r="C193" t="s">
        <v>172</v>
      </c>
      <c r="D193">
        <v>43813</v>
      </c>
      <c r="E193">
        <v>11057.9</v>
      </c>
      <c r="G193">
        <v>308255.2</v>
      </c>
      <c r="H193">
        <v>0</v>
      </c>
      <c r="I193">
        <v>437890.60445486521</v>
      </c>
      <c r="J193">
        <v>0</v>
      </c>
      <c r="K193">
        <v>63.252880691135836</v>
      </c>
      <c r="L193">
        <v>6.4381878032616573</v>
      </c>
      <c r="M193">
        <v>56.81469288787418</v>
      </c>
      <c r="N193" t="s">
        <v>434</v>
      </c>
      <c r="O193" t="s">
        <v>233</v>
      </c>
      <c r="P193">
        <v>0</v>
      </c>
      <c r="Q193">
        <v>0</v>
      </c>
      <c r="S193">
        <v>49</v>
      </c>
      <c r="T193">
        <v>25.232823960696599</v>
      </c>
      <c r="V193">
        <v>106.56066526373451</v>
      </c>
      <c r="W193" t="s">
        <v>474</v>
      </c>
      <c r="X193">
        <v>0</v>
      </c>
      <c r="Z193">
        <v>230.57060350356892</v>
      </c>
      <c r="AB193" t="e">
        <v>#N/A</v>
      </c>
      <c r="AF193">
        <v>0</v>
      </c>
      <c r="AG193">
        <v>0</v>
      </c>
      <c r="AI193" t="s">
        <v>233</v>
      </c>
      <c r="AP193">
        <v>0</v>
      </c>
      <c r="AQ193">
        <v>2146837</v>
      </c>
      <c r="AR193">
        <v>4668742.4271999998</v>
      </c>
      <c r="AS193">
        <v>-2521905.4271999998</v>
      </c>
      <c r="AT193">
        <v>11057.9</v>
      </c>
      <c r="AU193">
        <v>0</v>
      </c>
      <c r="AV193">
        <v>30825.520000000004</v>
      </c>
      <c r="AW193">
        <v>43789.060445486524</v>
      </c>
      <c r="AX193">
        <v>1905.6404454865187</v>
      </c>
    </row>
    <row r="194" spans="1:51" hidden="1" x14ac:dyDescent="0.35">
      <c r="A194" t="s">
        <v>217</v>
      </c>
      <c r="C194" t="s">
        <v>172</v>
      </c>
      <c r="D194">
        <v>47000</v>
      </c>
      <c r="E194">
        <v>20161.3</v>
      </c>
      <c r="G194">
        <v>462077.1</v>
      </c>
      <c r="H194">
        <v>0</v>
      </c>
      <c r="I194">
        <v>558747.72923798359</v>
      </c>
      <c r="J194">
        <v>0.2</v>
      </c>
      <c r="K194">
        <v>113.85620271310376</v>
      </c>
      <c r="L194">
        <v>8.2151176090167066</v>
      </c>
      <c r="M194">
        <v>105.64108510408705</v>
      </c>
      <c r="N194">
        <v>2029</v>
      </c>
      <c r="O194">
        <v>2024</v>
      </c>
      <c r="P194">
        <v>6500000</v>
      </c>
      <c r="Q194">
        <v>0</v>
      </c>
      <c r="S194">
        <v>76.430961917659559</v>
      </c>
      <c r="T194">
        <v>42.886130743191487</v>
      </c>
      <c r="V194">
        <v>2.9789268571358765</v>
      </c>
      <c r="W194">
        <v>2024</v>
      </c>
      <c r="X194">
        <v>241.92000000000002</v>
      </c>
      <c r="Z194">
        <v>798.12901212773863</v>
      </c>
      <c r="AA194">
        <v>135</v>
      </c>
      <c r="AB194">
        <v>160</v>
      </c>
      <c r="AE194">
        <v>500</v>
      </c>
      <c r="AF194">
        <v>28000</v>
      </c>
      <c r="AG194" t="s">
        <v>581</v>
      </c>
      <c r="AH194">
        <v>75000</v>
      </c>
      <c r="AI194" t="s">
        <v>177</v>
      </c>
      <c r="AJ194">
        <v>3666000</v>
      </c>
      <c r="AM194">
        <v>600000</v>
      </c>
      <c r="AO194" t="s">
        <v>184</v>
      </c>
      <c r="AP194" t="s">
        <v>177</v>
      </c>
      <c r="AQ194">
        <v>3592255.2101299991</v>
      </c>
      <c r="AR194">
        <v>140009.5622853862</v>
      </c>
      <c r="AS194">
        <v>3452245.6478446131</v>
      </c>
      <c r="AT194">
        <v>20161.3</v>
      </c>
      <c r="AU194">
        <v>0</v>
      </c>
      <c r="AV194">
        <v>46207.71</v>
      </c>
      <c r="AW194">
        <v>55874.772923798359</v>
      </c>
      <c r="AX194">
        <v>10494.237076201636</v>
      </c>
      <c r="AY194" t="s">
        <v>469</v>
      </c>
    </row>
    <row r="195" spans="1:51" hidden="1" x14ac:dyDescent="0.35">
      <c r="A195" t="s">
        <v>377</v>
      </c>
      <c r="C195" t="s">
        <v>223</v>
      </c>
      <c r="D195">
        <v>48000</v>
      </c>
      <c r="E195">
        <v>91472.1</v>
      </c>
      <c r="F195">
        <v>0</v>
      </c>
      <c r="G195">
        <v>1104977.8</v>
      </c>
      <c r="H195">
        <v>0</v>
      </c>
      <c r="I195">
        <v>2177335.3615474794</v>
      </c>
      <c r="J195">
        <v>0</v>
      </c>
      <c r="K195">
        <v>501.98983066031565</v>
      </c>
      <c r="L195">
        <v>32.012776309225842</v>
      </c>
      <c r="M195">
        <v>469.97705435108981</v>
      </c>
      <c r="N195">
        <v>2031</v>
      </c>
      <c r="O195" t="s">
        <v>224</v>
      </c>
      <c r="P195">
        <v>6777000</v>
      </c>
      <c r="Q195">
        <v>0</v>
      </c>
      <c r="S195">
        <v>269.06683480020831</v>
      </c>
      <c r="T195">
        <v>190.52132951687503</v>
      </c>
      <c r="V195">
        <v>36.78784145874419</v>
      </c>
      <c r="W195">
        <v>2024</v>
      </c>
      <c r="X195">
        <v>8.64</v>
      </c>
      <c r="Z195">
        <v>831.38438763306101</v>
      </c>
      <c r="AA195">
        <v>272</v>
      </c>
      <c r="AB195">
        <v>215.41</v>
      </c>
      <c r="AF195">
        <v>14000</v>
      </c>
      <c r="AG195" t="s">
        <v>582</v>
      </c>
      <c r="AH195">
        <v>100000</v>
      </c>
      <c r="AI195" t="s">
        <v>174</v>
      </c>
      <c r="AJ195">
        <v>3685000</v>
      </c>
      <c r="AP195">
        <v>0</v>
      </c>
      <c r="AQ195">
        <v>12915208.070409998</v>
      </c>
      <c r="AR195">
        <v>1765816.3900197211</v>
      </c>
      <c r="AS195">
        <v>11149391.680390278</v>
      </c>
      <c r="AT195">
        <v>91472.1</v>
      </c>
      <c r="AU195">
        <v>0</v>
      </c>
      <c r="AV195">
        <v>110497.78000000001</v>
      </c>
      <c r="AW195">
        <v>217733.53615474794</v>
      </c>
      <c r="AX195">
        <v>-15763.656154747936</v>
      </c>
      <c r="AY195">
        <v>0</v>
      </c>
    </row>
    <row r="196" spans="1:51" hidden="1" x14ac:dyDescent="0.35">
      <c r="A196" t="s">
        <v>216</v>
      </c>
      <c r="C196" t="s">
        <v>172</v>
      </c>
      <c r="D196">
        <v>48381</v>
      </c>
      <c r="E196">
        <v>28916.5</v>
      </c>
      <c r="F196">
        <v>418759.7</v>
      </c>
      <c r="G196">
        <v>594379.9</v>
      </c>
      <c r="H196">
        <v>0</v>
      </c>
      <c r="I196">
        <v>736852.60084994137</v>
      </c>
      <c r="J196">
        <v>0.25</v>
      </c>
      <c r="K196">
        <v>197.05421834300506</v>
      </c>
      <c r="L196">
        <v>10.833745641790088</v>
      </c>
      <c r="M196">
        <v>186.22047270121499</v>
      </c>
      <c r="N196">
        <v>2029</v>
      </c>
      <c r="O196" t="s">
        <v>219</v>
      </c>
      <c r="P196">
        <v>15250000</v>
      </c>
      <c r="Q196" t="s">
        <v>583</v>
      </c>
      <c r="S196">
        <v>110.32725273247763</v>
      </c>
      <c r="T196">
        <v>59.754012849052309</v>
      </c>
      <c r="U196">
        <v>167.50388000000001</v>
      </c>
      <c r="V196">
        <v>2.8938955847416588</v>
      </c>
      <c r="W196">
        <v>2022</v>
      </c>
      <c r="X196">
        <v>250.56</v>
      </c>
      <c r="Z196">
        <v>345.85590525535343</v>
      </c>
      <c r="AA196">
        <v>110</v>
      </c>
      <c r="AB196">
        <v>80</v>
      </c>
      <c r="AF196">
        <v>28000</v>
      </c>
      <c r="AG196" t="s">
        <v>584</v>
      </c>
      <c r="AH196">
        <v>0</v>
      </c>
      <c r="AI196" t="s">
        <v>177</v>
      </c>
      <c r="AJ196">
        <v>7051152</v>
      </c>
      <c r="AK196" t="s">
        <v>211</v>
      </c>
      <c r="AL196">
        <v>1635197</v>
      </c>
      <c r="AM196">
        <v>984546</v>
      </c>
      <c r="AO196" t="s">
        <v>184</v>
      </c>
      <c r="AP196" t="s">
        <v>177</v>
      </c>
      <c r="AQ196">
        <v>5337742.8144500004</v>
      </c>
      <c r="AR196">
        <v>140009.5622853862</v>
      </c>
      <c r="AS196">
        <v>5197733.2521646144</v>
      </c>
      <c r="AT196">
        <v>28916.5</v>
      </c>
      <c r="AU196">
        <v>13400.3104</v>
      </c>
      <c r="AV196">
        <v>59437.990000000005</v>
      </c>
      <c r="AW196">
        <v>73685.260084994137</v>
      </c>
      <c r="AX196">
        <v>28069.54031500587</v>
      </c>
      <c r="AY196" t="s">
        <v>484</v>
      </c>
    </row>
    <row r="197" spans="1:51" hidden="1" x14ac:dyDescent="0.35">
      <c r="A197" t="s">
        <v>428</v>
      </c>
      <c r="C197" t="s">
        <v>418</v>
      </c>
      <c r="D197">
        <v>49680</v>
      </c>
      <c r="E197">
        <v>0</v>
      </c>
      <c r="F197">
        <v>596420</v>
      </c>
      <c r="G197">
        <v>361979.8</v>
      </c>
      <c r="H197">
        <v>0</v>
      </c>
      <c r="I197">
        <v>431900.08135990618</v>
      </c>
      <c r="K197">
        <v>54.829326995808024</v>
      </c>
      <c r="L197">
        <v>6.3501107531200214</v>
      </c>
      <c r="M197">
        <v>48.479216242688004</v>
      </c>
      <c r="N197">
        <v>2025</v>
      </c>
      <c r="O197" t="s">
        <v>224</v>
      </c>
      <c r="P197" t="s">
        <v>225</v>
      </c>
      <c r="Q197" t="s">
        <v>224</v>
      </c>
      <c r="S197">
        <v>36.8658429468599</v>
      </c>
      <c r="T197">
        <v>0</v>
      </c>
      <c r="U197">
        <v>10.847747403648533</v>
      </c>
      <c r="V197">
        <v>76.536721529893867</v>
      </c>
      <c r="W197">
        <v>0</v>
      </c>
      <c r="X197">
        <v>0</v>
      </c>
      <c r="Z197">
        <v>0</v>
      </c>
      <c r="AB197" t="e">
        <v>#N/A</v>
      </c>
      <c r="AF197">
        <v>0</v>
      </c>
      <c r="AH197">
        <v>0</v>
      </c>
      <c r="AI197" t="s">
        <v>174</v>
      </c>
      <c r="AQ197">
        <v>1831495.0775999997</v>
      </c>
      <c r="AR197">
        <v>3802344.3256051275</v>
      </c>
      <c r="AS197">
        <v>-1970849.2480051278</v>
      </c>
      <c r="AT197">
        <v>0</v>
      </c>
      <c r="AU197">
        <v>19085.439999999999</v>
      </c>
      <c r="AV197">
        <v>36197.980000000003</v>
      </c>
      <c r="AW197">
        <v>43190.008135990618</v>
      </c>
      <c r="AX197">
        <v>-12093.41186400938</v>
      </c>
    </row>
    <row r="198" spans="1:51" hidden="1" x14ac:dyDescent="0.35">
      <c r="A198" t="s">
        <v>425</v>
      </c>
      <c r="C198" t="s">
        <v>418</v>
      </c>
      <c r="D198">
        <v>49847</v>
      </c>
      <c r="E198">
        <v>0</v>
      </c>
      <c r="F198">
        <v>1653960</v>
      </c>
      <c r="G198">
        <v>918534.6</v>
      </c>
      <c r="H198">
        <v>0</v>
      </c>
      <c r="I198">
        <v>1112433.7793669403</v>
      </c>
      <c r="K198">
        <v>150.79578066938365</v>
      </c>
      <c r="L198">
        <v>16.355814711239645</v>
      </c>
      <c r="M198">
        <v>134.439965958144</v>
      </c>
      <c r="N198">
        <v>2036</v>
      </c>
      <c r="O198" t="s">
        <v>224</v>
      </c>
      <c r="P198" t="s">
        <v>225</v>
      </c>
      <c r="Q198" t="s">
        <v>224</v>
      </c>
      <c r="S198">
        <v>96.053926117920824</v>
      </c>
      <c r="T198">
        <v>0</v>
      </c>
      <c r="U198">
        <v>33.039552536955654</v>
      </c>
      <c r="V198">
        <v>26.752967389010376</v>
      </c>
      <c r="W198" t="e">
        <v>#N/A</v>
      </c>
      <c r="X198" t="e">
        <v>#N/A</v>
      </c>
      <c r="Z198" t="e">
        <v>#N/A</v>
      </c>
      <c r="AA198">
        <v>221</v>
      </c>
      <c r="AB198" t="e">
        <v>#N/A</v>
      </c>
      <c r="AF198">
        <v>0</v>
      </c>
      <c r="AH198">
        <v>0</v>
      </c>
      <c r="AI198" t="s">
        <v>233</v>
      </c>
      <c r="AQ198">
        <v>4788000.0551999994</v>
      </c>
      <c r="AR198">
        <v>1333555.1654400001</v>
      </c>
      <c r="AS198">
        <v>3454444.8897599992</v>
      </c>
      <c r="AT198">
        <v>0</v>
      </c>
      <c r="AU198">
        <v>52926.720000000001</v>
      </c>
      <c r="AV198">
        <v>91853.46</v>
      </c>
      <c r="AW198">
        <v>111243.37793669403</v>
      </c>
      <c r="AX198">
        <v>-33536.802063305964</v>
      </c>
    </row>
    <row r="199" spans="1:51" hidden="1" x14ac:dyDescent="0.35">
      <c r="A199" t="s">
        <v>358</v>
      </c>
      <c r="C199" t="s">
        <v>223</v>
      </c>
      <c r="D199">
        <v>50060</v>
      </c>
      <c r="E199">
        <v>22607.3</v>
      </c>
      <c r="F199">
        <v>0</v>
      </c>
      <c r="G199">
        <v>169236.8</v>
      </c>
      <c r="H199">
        <v>0</v>
      </c>
      <c r="I199">
        <v>390842.66279015242</v>
      </c>
      <c r="J199">
        <v>0.1</v>
      </c>
      <c r="K199">
        <v>122.53962685773161</v>
      </c>
      <c r="L199">
        <v>5.7464545687214752</v>
      </c>
      <c r="M199">
        <v>116.79317228901013</v>
      </c>
      <c r="N199">
        <v>2029</v>
      </c>
      <c r="O199" t="s">
        <v>224</v>
      </c>
      <c r="P199">
        <v>2942600</v>
      </c>
      <c r="Q199">
        <v>0</v>
      </c>
      <c r="S199">
        <v>56.684491552736716</v>
      </c>
      <c r="T199">
        <v>45.149614173591686</v>
      </c>
      <c r="V199">
        <v>6.0128939352776669</v>
      </c>
      <c r="W199">
        <v>2024</v>
      </c>
      <c r="X199">
        <v>8.64</v>
      </c>
      <c r="Z199">
        <v>216.15994078459588</v>
      </c>
      <c r="AA199">
        <v>122</v>
      </c>
      <c r="AB199">
        <v>120</v>
      </c>
      <c r="AF199">
        <v>14000</v>
      </c>
      <c r="AG199" t="s">
        <v>585</v>
      </c>
      <c r="AH199">
        <v>0</v>
      </c>
      <c r="AJ199">
        <v>1627000</v>
      </c>
      <c r="AP199" t="s">
        <v>181</v>
      </c>
      <c r="AQ199">
        <v>2837625.6471299999</v>
      </c>
      <c r="AR199">
        <v>301005.47039999999</v>
      </c>
      <c r="AS199">
        <v>2536620.1767299999</v>
      </c>
      <c r="AT199">
        <v>22607.3</v>
      </c>
      <c r="AU199">
        <v>0</v>
      </c>
      <c r="AV199">
        <v>16923.68</v>
      </c>
      <c r="AW199">
        <v>39084.266279015246</v>
      </c>
      <c r="AX199">
        <v>446.71372098474967</v>
      </c>
      <c r="AY199" t="s">
        <v>470</v>
      </c>
    </row>
    <row r="200" spans="1:51" hidden="1" x14ac:dyDescent="0.35">
      <c r="A200" t="s">
        <v>189</v>
      </c>
      <c r="C200" t="s">
        <v>172</v>
      </c>
      <c r="D200">
        <v>50755</v>
      </c>
      <c r="E200">
        <v>56966.8</v>
      </c>
      <c r="G200">
        <v>2115202.4</v>
      </c>
      <c r="H200">
        <v>0</v>
      </c>
      <c r="I200">
        <v>2783042.9627198121</v>
      </c>
      <c r="J200">
        <v>0</v>
      </c>
      <c r="K200">
        <v>333.60964318756754</v>
      </c>
      <c r="L200">
        <v>40.918332287220203</v>
      </c>
      <c r="M200">
        <v>292.69131090034733</v>
      </c>
      <c r="N200">
        <v>2033</v>
      </c>
      <c r="O200" t="s">
        <v>269</v>
      </c>
      <c r="P200">
        <v>10625000</v>
      </c>
      <c r="Q200" t="s">
        <v>586</v>
      </c>
      <c r="S200">
        <v>254.40624731120084</v>
      </c>
      <c r="T200">
        <v>112.21196913565167</v>
      </c>
      <c r="V200" t="e">
        <v>#REF!</v>
      </c>
      <c r="W200">
        <v>2022</v>
      </c>
      <c r="X200">
        <v>1002.2399999999999</v>
      </c>
      <c r="Z200">
        <v>2660.4300404257956</v>
      </c>
      <c r="AA200">
        <v>383</v>
      </c>
      <c r="AB200">
        <v>70</v>
      </c>
      <c r="AF200">
        <v>0</v>
      </c>
      <c r="AG200" t="s">
        <v>587</v>
      </c>
      <c r="AH200">
        <v>150000</v>
      </c>
      <c r="AI200" t="s">
        <v>174</v>
      </c>
      <c r="AJ200">
        <v>4707526.25</v>
      </c>
      <c r="AK200" t="s">
        <v>190</v>
      </c>
      <c r="AM200">
        <v>444106.25</v>
      </c>
      <c r="AP200">
        <v>0</v>
      </c>
      <c r="AQ200">
        <v>12912389.082279999</v>
      </c>
      <c r="AR200" t="e">
        <v>#REF!</v>
      </c>
      <c r="AS200" t="e">
        <v>#REF!</v>
      </c>
      <c r="AT200">
        <v>56966.8</v>
      </c>
      <c r="AU200">
        <v>0</v>
      </c>
      <c r="AV200">
        <v>211520.24</v>
      </c>
      <c r="AW200">
        <v>278304.29627198121</v>
      </c>
      <c r="AX200">
        <v>-9817.2562719812267</v>
      </c>
      <c r="AY200" t="s">
        <v>469</v>
      </c>
    </row>
    <row r="201" spans="1:51" hidden="1" x14ac:dyDescent="0.35">
      <c r="A201" t="s">
        <v>305</v>
      </c>
      <c r="C201" t="s">
        <v>223</v>
      </c>
      <c r="D201">
        <v>52690</v>
      </c>
      <c r="E201">
        <v>38478.1</v>
      </c>
      <c r="F201">
        <v>0</v>
      </c>
      <c r="G201">
        <v>1115984.8</v>
      </c>
      <c r="H201">
        <v>0</v>
      </c>
      <c r="I201">
        <v>1567076.2419695193</v>
      </c>
      <c r="J201">
        <v>0</v>
      </c>
      <c r="K201">
        <v>220.73800397844829</v>
      </c>
      <c r="L201">
        <v>23.040300580071463</v>
      </c>
      <c r="M201">
        <v>197.69770339837683</v>
      </c>
      <c r="N201">
        <v>2034</v>
      </c>
      <c r="O201" t="s">
        <v>224</v>
      </c>
      <c r="P201">
        <v>6213300</v>
      </c>
      <c r="Q201">
        <v>0</v>
      </c>
      <c r="S201">
        <v>145.27672254716265</v>
      </c>
      <c r="T201">
        <v>73.009876132283168</v>
      </c>
      <c r="V201">
        <v>86.634865917631416</v>
      </c>
      <c r="W201">
        <v>0</v>
      </c>
      <c r="X201">
        <v>0</v>
      </c>
      <c r="Z201">
        <v>1330.2150202128978</v>
      </c>
      <c r="AA201">
        <v>162.53</v>
      </c>
      <c r="AB201">
        <v>235.41</v>
      </c>
      <c r="AE201">
        <v>750</v>
      </c>
      <c r="AF201">
        <v>14000</v>
      </c>
      <c r="AG201">
        <v>0</v>
      </c>
      <c r="AH201">
        <v>25000</v>
      </c>
      <c r="AI201" t="s">
        <v>233</v>
      </c>
      <c r="AJ201">
        <v>3426000</v>
      </c>
      <c r="AP201" t="s">
        <v>233</v>
      </c>
      <c r="AQ201">
        <v>7654630.5110099996</v>
      </c>
      <c r="AR201">
        <v>4564791.0851999996</v>
      </c>
      <c r="AS201">
        <v>3089839.4258099999</v>
      </c>
      <c r="AT201">
        <v>38478.1</v>
      </c>
      <c r="AU201">
        <v>0</v>
      </c>
      <c r="AV201">
        <v>111598.48000000001</v>
      </c>
      <c r="AW201">
        <v>156707.62419695195</v>
      </c>
      <c r="AX201">
        <v>-6631.0441969519306</v>
      </c>
      <c r="AY201" t="s">
        <v>469</v>
      </c>
    </row>
    <row r="202" spans="1:51" hidden="1" x14ac:dyDescent="0.35">
      <c r="A202" t="s">
        <v>423</v>
      </c>
      <c r="C202" t="s">
        <v>418</v>
      </c>
      <c r="D202">
        <v>54981</v>
      </c>
      <c r="E202">
        <v>21997.657440128191</v>
      </c>
      <c r="F202">
        <v>1376730</v>
      </c>
      <c r="G202">
        <v>695119</v>
      </c>
      <c r="H202">
        <v>0</v>
      </c>
      <c r="I202">
        <v>1114403.3779616435</v>
      </c>
      <c r="K202">
        <v>241.31284058880749</v>
      </c>
      <c r="L202">
        <v>16.384773189728868</v>
      </c>
      <c r="M202">
        <v>224.92806739907863</v>
      </c>
      <c r="N202">
        <v>2025</v>
      </c>
      <c r="O202" t="s">
        <v>224</v>
      </c>
      <c r="P202" t="s">
        <v>225</v>
      </c>
      <c r="Q202" t="s">
        <v>224</v>
      </c>
      <c r="S202">
        <v>108.17766188319601</v>
      </c>
      <c r="T202">
        <v>40</v>
      </c>
      <c r="U202">
        <v>27.711956521739129</v>
      </c>
      <c r="V202">
        <v>26.802769640421236</v>
      </c>
      <c r="W202">
        <v>0</v>
      </c>
      <c r="X202">
        <v>0</v>
      </c>
      <c r="Z202">
        <v>0</v>
      </c>
      <c r="AA202">
        <v>442</v>
      </c>
      <c r="AB202" t="e">
        <v>#N/A</v>
      </c>
      <c r="AF202">
        <v>0</v>
      </c>
      <c r="AH202">
        <v>0</v>
      </c>
      <c r="AI202" t="s">
        <v>174</v>
      </c>
      <c r="AQ202">
        <v>5947716.0279999999</v>
      </c>
      <c r="AR202">
        <v>1473643.0776</v>
      </c>
      <c r="AS202">
        <v>4474072.9504000004</v>
      </c>
      <c r="AT202">
        <v>21997.657440128191</v>
      </c>
      <c r="AU202">
        <v>44055.360000000001</v>
      </c>
      <c r="AV202">
        <v>69511.900000000009</v>
      </c>
      <c r="AW202">
        <v>111440.33779616436</v>
      </c>
      <c r="AX202">
        <v>-24124.579643963865</v>
      </c>
    </row>
    <row r="203" spans="1:51" hidden="1" x14ac:dyDescent="0.35">
      <c r="A203" t="s">
        <v>183</v>
      </c>
      <c r="C203" t="s">
        <v>172</v>
      </c>
      <c r="D203">
        <v>57960</v>
      </c>
      <c r="E203">
        <v>20656.599999999999</v>
      </c>
      <c r="G203">
        <v>1804202.6</v>
      </c>
      <c r="H203">
        <v>0</v>
      </c>
      <c r="I203">
        <v>1841730.0539507621</v>
      </c>
      <c r="J203">
        <v>0.1</v>
      </c>
      <c r="K203">
        <v>136.21930107782799</v>
      </c>
      <c r="L203">
        <v>27.078461719925787</v>
      </c>
      <c r="M203">
        <v>109.14083935790221</v>
      </c>
      <c r="N203">
        <v>2031</v>
      </c>
      <c r="O203">
        <v>2025</v>
      </c>
      <c r="P203">
        <v>12250000</v>
      </c>
      <c r="Q203">
        <v>0</v>
      </c>
      <c r="S203">
        <v>141.84102102242926</v>
      </c>
      <c r="T203">
        <v>35.630888669082125</v>
      </c>
      <c r="V203" t="e">
        <v>#REF!</v>
      </c>
      <c r="W203">
        <v>2034</v>
      </c>
      <c r="X203">
        <v>691.2</v>
      </c>
      <c r="Y203" t="s">
        <v>180</v>
      </c>
      <c r="Z203">
        <v>798.12901212773863</v>
      </c>
      <c r="AA203">
        <v>366</v>
      </c>
      <c r="AB203">
        <v>210</v>
      </c>
      <c r="AF203">
        <v>28000</v>
      </c>
      <c r="AG203" t="s">
        <v>588</v>
      </c>
      <c r="AH203">
        <v>150000</v>
      </c>
      <c r="AI203" t="s">
        <v>174</v>
      </c>
      <c r="AJ203">
        <v>4702305.5</v>
      </c>
      <c r="AM203">
        <v>2000000</v>
      </c>
      <c r="AO203" t="s">
        <v>184</v>
      </c>
      <c r="AP203" t="s">
        <v>492</v>
      </c>
      <c r="AQ203">
        <v>8221105.5784599995</v>
      </c>
      <c r="AR203" t="e">
        <v>#REF!</v>
      </c>
      <c r="AS203" t="e">
        <v>#REF!</v>
      </c>
      <c r="AT203">
        <v>20656.599999999999</v>
      </c>
      <c r="AU203">
        <v>0</v>
      </c>
      <c r="AV203">
        <v>180420.26</v>
      </c>
      <c r="AW203">
        <v>184173.00539507624</v>
      </c>
      <c r="AX203">
        <v>16903.854604923778</v>
      </c>
      <c r="AY203" t="s">
        <v>484</v>
      </c>
    </row>
    <row r="204" spans="1:51" hidden="1" x14ac:dyDescent="0.35">
      <c r="A204" t="s">
        <v>415</v>
      </c>
      <c r="C204" t="s">
        <v>286</v>
      </c>
      <c r="D204">
        <v>58640</v>
      </c>
      <c r="E204">
        <v>23461.607324150471</v>
      </c>
      <c r="G204">
        <v>851112</v>
      </c>
      <c r="H204">
        <v>0</v>
      </c>
      <c r="I204">
        <v>1126160.1515140736</v>
      </c>
      <c r="K204">
        <v>137.10167663968988</v>
      </c>
      <c r="L204">
        <v>16.557629869732761</v>
      </c>
      <c r="M204" t="s">
        <v>416</v>
      </c>
      <c r="N204">
        <v>2022</v>
      </c>
      <c r="O204" t="s">
        <v>224</v>
      </c>
      <c r="P204">
        <v>0</v>
      </c>
      <c r="Q204">
        <v>0</v>
      </c>
      <c r="S204">
        <v>89.522410368349242</v>
      </c>
      <c r="T204">
        <v>40</v>
      </c>
      <c r="V204">
        <v>25.47890079126876</v>
      </c>
      <c r="W204">
        <v>0</v>
      </c>
      <c r="X204">
        <v>0</v>
      </c>
      <c r="Z204">
        <v>1330.2150202128978</v>
      </c>
      <c r="AB204" t="e">
        <v>#N/A</v>
      </c>
      <c r="AF204">
        <v>0</v>
      </c>
      <c r="AG204">
        <v>0</v>
      </c>
      <c r="AH204">
        <v>0</v>
      </c>
      <c r="AJ204">
        <v>0</v>
      </c>
      <c r="AQ204">
        <v>5249594.1439999994</v>
      </c>
      <c r="AR204">
        <v>1494082.7424000001</v>
      </c>
      <c r="AS204">
        <v>3755511.4015999995</v>
      </c>
      <c r="AT204">
        <v>23461.607324150471</v>
      </c>
      <c r="AU204">
        <v>0</v>
      </c>
      <c r="AV204">
        <v>85111.200000000012</v>
      </c>
      <c r="AW204">
        <v>112616.01515140737</v>
      </c>
      <c r="AX204">
        <v>4043.207827256876</v>
      </c>
    </row>
    <row r="205" spans="1:51" hidden="1" x14ac:dyDescent="0.35">
      <c r="A205" t="s">
        <v>353</v>
      </c>
      <c r="C205" t="s">
        <v>223</v>
      </c>
      <c r="D205">
        <v>60823</v>
      </c>
      <c r="E205">
        <v>16799.099999999999</v>
      </c>
      <c r="F205">
        <v>0</v>
      </c>
      <c r="G205">
        <v>620591.69999999995</v>
      </c>
      <c r="H205">
        <v>0</v>
      </c>
      <c r="I205">
        <v>572273.1583470105</v>
      </c>
      <c r="J205">
        <v>0.3</v>
      </c>
      <c r="K205">
        <v>98.332533607946559</v>
      </c>
      <c r="L205">
        <v>8.4139783560565391</v>
      </c>
      <c r="M205">
        <v>89.918555251890012</v>
      </c>
      <c r="N205">
        <v>2031</v>
      </c>
      <c r="O205" t="s">
        <v>224</v>
      </c>
      <c r="P205">
        <v>630000</v>
      </c>
      <c r="Q205">
        <v>0</v>
      </c>
      <c r="S205">
        <v>62.426506122848259</v>
      </c>
      <c r="T205">
        <v>27.613049364714005</v>
      </c>
      <c r="V205">
        <v>13.247251734376796</v>
      </c>
      <c r="W205">
        <v>2024</v>
      </c>
      <c r="X205">
        <v>60.480000000000004</v>
      </c>
      <c r="Z205">
        <v>2494.1531628991829</v>
      </c>
      <c r="AA205">
        <v>257</v>
      </c>
      <c r="AB205">
        <v>265.41000000000003</v>
      </c>
      <c r="AE205">
        <v>1500</v>
      </c>
      <c r="AF205">
        <v>0</v>
      </c>
      <c r="AG205">
        <v>0</v>
      </c>
      <c r="AJ205">
        <v>350000</v>
      </c>
      <c r="AP205" t="s">
        <v>177</v>
      </c>
      <c r="AQ205">
        <v>3796967.3819099995</v>
      </c>
      <c r="AR205">
        <v>805737.59223999991</v>
      </c>
      <c r="AS205">
        <v>2991229.7896699999</v>
      </c>
      <c r="AT205">
        <v>16799.099999999999</v>
      </c>
      <c r="AU205">
        <v>0</v>
      </c>
      <c r="AV205">
        <v>62059.17</v>
      </c>
      <c r="AW205">
        <v>57227.315834701054</v>
      </c>
      <c r="AX205">
        <v>21630.954165298936</v>
      </c>
      <c r="AY205" t="s">
        <v>469</v>
      </c>
    </row>
    <row r="206" spans="1:51" hidden="1" x14ac:dyDescent="0.35">
      <c r="A206" t="s">
        <v>380</v>
      </c>
      <c r="C206" t="s">
        <v>223</v>
      </c>
      <c r="D206">
        <v>61323</v>
      </c>
      <c r="E206">
        <v>5604.8</v>
      </c>
      <c r="F206">
        <v>0</v>
      </c>
      <c r="G206">
        <v>2062955.2</v>
      </c>
      <c r="H206">
        <v>0</v>
      </c>
      <c r="I206">
        <v>2128662.116764361</v>
      </c>
      <c r="J206">
        <v>0</v>
      </c>
      <c r="K206">
        <v>60.094204954893883</v>
      </c>
      <c r="L206">
        <v>31.297146679999258</v>
      </c>
      <c r="M206">
        <v>28.797058274894624</v>
      </c>
      <c r="N206">
        <v>2035</v>
      </c>
      <c r="O206" t="s">
        <v>224</v>
      </c>
      <c r="P206">
        <v>11538140</v>
      </c>
      <c r="Q206">
        <v>0</v>
      </c>
      <c r="R206" t="s">
        <v>236</v>
      </c>
      <c r="S206">
        <v>123.92004937266604</v>
      </c>
      <c r="T206">
        <v>9.1376163149226244</v>
      </c>
      <c r="U206">
        <v>0</v>
      </c>
      <c r="V206">
        <v>6.0889028325424395</v>
      </c>
      <c r="W206">
        <v>0</v>
      </c>
      <c r="X206">
        <v>0</v>
      </c>
      <c r="Z206" t="s">
        <v>225</v>
      </c>
      <c r="AA206" t="s">
        <v>233</v>
      </c>
      <c r="AB206">
        <v>265.41000000000003</v>
      </c>
      <c r="AF206">
        <v>0</v>
      </c>
      <c r="AG206">
        <v>0</v>
      </c>
      <c r="AH206">
        <v>0</v>
      </c>
      <c r="AI206" t="s">
        <v>177</v>
      </c>
      <c r="AJ206">
        <v>6132300</v>
      </c>
      <c r="AK206" t="s">
        <v>237</v>
      </c>
      <c r="AL206">
        <v>0</v>
      </c>
      <c r="AM206">
        <v>500000</v>
      </c>
      <c r="AP206" t="s">
        <v>233</v>
      </c>
      <c r="AQ206">
        <v>7599149.1876799995</v>
      </c>
      <c r="AR206">
        <v>373389.78840000002</v>
      </c>
      <c r="AS206">
        <v>7225759.3992799995</v>
      </c>
      <c r="AT206">
        <v>5604.8</v>
      </c>
      <c r="AU206">
        <v>0</v>
      </c>
      <c r="AV206">
        <v>206295.52000000002</v>
      </c>
      <c r="AW206">
        <v>212866.21167643613</v>
      </c>
      <c r="AX206">
        <v>-965.89167643612018</v>
      </c>
      <c r="AY206" t="e">
        <v>#VALUE!</v>
      </c>
    </row>
    <row r="207" spans="1:51" hidden="1" x14ac:dyDescent="0.35">
      <c r="A207" t="s">
        <v>427</v>
      </c>
      <c r="C207" t="s">
        <v>418</v>
      </c>
      <c r="D207">
        <v>65000</v>
      </c>
      <c r="E207">
        <v>0</v>
      </c>
      <c r="F207">
        <v>2910560</v>
      </c>
      <c r="G207">
        <v>1027115.6</v>
      </c>
      <c r="H207">
        <v>0</v>
      </c>
      <c r="I207">
        <v>1368330.1369284876</v>
      </c>
      <c r="K207">
        <v>256.69923633124978</v>
      </c>
      <c r="L207">
        <v>20.11819004286577</v>
      </c>
      <c r="M207">
        <v>236.58104628838402</v>
      </c>
      <c r="N207">
        <v>2025</v>
      </c>
      <c r="O207" t="s">
        <v>224</v>
      </c>
      <c r="P207" t="s">
        <v>225</v>
      </c>
      <c r="Q207" t="s">
        <v>224</v>
      </c>
      <c r="S207">
        <v>98.693514264615388</v>
      </c>
      <c r="T207">
        <v>0</v>
      </c>
      <c r="U207">
        <v>55.239324349971533</v>
      </c>
      <c r="V207">
        <v>82.259448270769226</v>
      </c>
      <c r="W207">
        <v>0</v>
      </c>
      <c r="X207">
        <v>0</v>
      </c>
      <c r="Z207">
        <v>0</v>
      </c>
      <c r="AB207" t="e">
        <v>#N/A</v>
      </c>
      <c r="AF207">
        <v>0</v>
      </c>
      <c r="AH207">
        <v>0</v>
      </c>
      <c r="AI207" t="s">
        <v>174</v>
      </c>
      <c r="AQ207">
        <v>6415078.4271999998</v>
      </c>
      <c r="AR207">
        <v>5346864.1376</v>
      </c>
      <c r="AS207">
        <v>1068214.2895999998</v>
      </c>
      <c r="AT207">
        <v>0</v>
      </c>
      <c r="AU207">
        <v>93137.919999999998</v>
      </c>
      <c r="AV207">
        <v>102711.56</v>
      </c>
      <c r="AW207">
        <v>136833.01369284876</v>
      </c>
      <c r="AX207">
        <v>-59016.466307151219</v>
      </c>
    </row>
    <row r="208" spans="1:51" hidden="1" x14ac:dyDescent="0.35">
      <c r="A208" t="s">
        <v>444</v>
      </c>
      <c r="C208" t="s">
        <v>223</v>
      </c>
      <c r="D208">
        <v>66597</v>
      </c>
      <c r="E208">
        <v>0</v>
      </c>
      <c r="G208">
        <v>336149.4</v>
      </c>
      <c r="H208">
        <v>0</v>
      </c>
      <c r="I208">
        <v>336149.4</v>
      </c>
      <c r="J208">
        <v>0</v>
      </c>
      <c r="K208">
        <v>4.9423142335925476</v>
      </c>
      <c r="L208">
        <v>4.9423142335925476</v>
      </c>
      <c r="M208">
        <v>0</v>
      </c>
      <c r="N208">
        <v>2036</v>
      </c>
      <c r="O208" t="s">
        <v>224</v>
      </c>
      <c r="P208">
        <v>0</v>
      </c>
      <c r="Q208">
        <v>0</v>
      </c>
      <c r="S208">
        <v>17.222123410964461</v>
      </c>
      <c r="T208">
        <v>0</v>
      </c>
      <c r="V208">
        <v>87.349387672117359</v>
      </c>
      <c r="W208">
        <v>0</v>
      </c>
      <c r="X208">
        <v>0</v>
      </c>
      <c r="Z208" t="s">
        <v>225</v>
      </c>
      <c r="AA208">
        <v>135</v>
      </c>
      <c r="AB208" t="e">
        <v>#N/A</v>
      </c>
      <c r="AF208">
        <v>0</v>
      </c>
      <c r="AG208" t="s">
        <v>471</v>
      </c>
      <c r="AH208">
        <v>0</v>
      </c>
      <c r="AI208" t="s">
        <v>233</v>
      </c>
      <c r="AP208" t="e">
        <v>#N/A</v>
      </c>
      <c r="AT208">
        <v>0</v>
      </c>
      <c r="AU208">
        <v>0</v>
      </c>
      <c r="AV208">
        <v>33614.94</v>
      </c>
      <c r="AW208">
        <v>33614.94</v>
      </c>
      <c r="AX208">
        <v>0</v>
      </c>
    </row>
    <row r="209" spans="1:51" hidden="1" x14ac:dyDescent="0.35">
      <c r="A209" t="s">
        <v>185</v>
      </c>
      <c r="C209" t="s">
        <v>172</v>
      </c>
      <c r="D209">
        <v>67772</v>
      </c>
      <c r="E209">
        <v>43279.7</v>
      </c>
      <c r="G209">
        <v>555150</v>
      </c>
      <c r="H209">
        <v>0</v>
      </c>
      <c r="I209">
        <v>850025.7444314186</v>
      </c>
      <c r="J209">
        <v>0.2</v>
      </c>
      <c r="K209">
        <v>237.99010290953311</v>
      </c>
      <c r="L209">
        <v>12.497699938252161</v>
      </c>
      <c r="M209">
        <v>225.49240297128094</v>
      </c>
      <c r="N209">
        <v>2028</v>
      </c>
      <c r="O209">
        <v>2028</v>
      </c>
      <c r="P209">
        <v>8500000</v>
      </c>
      <c r="Q209" t="s">
        <v>589</v>
      </c>
      <c r="S209">
        <v>91.794655833825175</v>
      </c>
      <c r="T209">
        <v>63.845476231629583</v>
      </c>
      <c r="V209" t="e">
        <v>#REF!</v>
      </c>
      <c r="W209">
        <v>2024</v>
      </c>
      <c r="X209">
        <v>34.56</v>
      </c>
      <c r="Z209">
        <v>461.14120700713784</v>
      </c>
      <c r="AA209">
        <v>168.65</v>
      </c>
      <c r="AB209">
        <v>360</v>
      </c>
      <c r="AE209">
        <v>300</v>
      </c>
      <c r="AF209">
        <v>0</v>
      </c>
      <c r="AG209" t="s">
        <v>590</v>
      </c>
      <c r="AH209">
        <v>150000</v>
      </c>
      <c r="AI209" t="s">
        <v>181</v>
      </c>
      <c r="AJ209">
        <v>6465650</v>
      </c>
      <c r="AK209" t="s">
        <v>186</v>
      </c>
      <c r="AL209">
        <v>309410</v>
      </c>
      <c r="AM209">
        <v>2219400</v>
      </c>
      <c r="AN209" t="s">
        <v>187</v>
      </c>
      <c r="AP209">
        <v>0</v>
      </c>
      <c r="AQ209">
        <v>6221107.4151699999</v>
      </c>
      <c r="AR209" t="e">
        <v>#REF!</v>
      </c>
      <c r="AS209" t="e">
        <v>#REF!</v>
      </c>
      <c r="AT209">
        <v>43279.7</v>
      </c>
      <c r="AU209">
        <v>0</v>
      </c>
      <c r="AV209">
        <v>55515</v>
      </c>
      <c r="AW209">
        <v>85002.574443141872</v>
      </c>
      <c r="AX209">
        <v>13792.125556858125</v>
      </c>
      <c r="AY209" t="s">
        <v>470</v>
      </c>
    </row>
    <row r="210" spans="1:51" hidden="1" x14ac:dyDescent="0.35">
      <c r="A210" t="s">
        <v>296</v>
      </c>
      <c r="C210" t="s">
        <v>297</v>
      </c>
      <c r="D210">
        <v>69400</v>
      </c>
      <c r="E210">
        <v>44824.9</v>
      </c>
      <c r="G210">
        <v>3509717.3</v>
      </c>
      <c r="H210">
        <v>0</v>
      </c>
      <c r="I210">
        <v>4035214.3691676436</v>
      </c>
      <c r="K210">
        <v>289.63577592485819</v>
      </c>
      <c r="L210">
        <v>59.328671752305425</v>
      </c>
      <c r="M210">
        <v>230.30710417255278</v>
      </c>
      <c r="N210">
        <v>2032</v>
      </c>
      <c r="O210" t="s">
        <v>224</v>
      </c>
      <c r="P210">
        <v>5428000</v>
      </c>
      <c r="Q210">
        <v>0</v>
      </c>
      <c r="S210">
        <v>237.12642813386165</v>
      </c>
      <c r="T210">
        <v>64.573756266426514</v>
      </c>
      <c r="V210">
        <v>5.2540332034582136</v>
      </c>
      <c r="W210">
        <v>0</v>
      </c>
      <c r="X210">
        <v>0</v>
      </c>
      <c r="Z210" t="s">
        <v>225</v>
      </c>
      <c r="AA210" t="s">
        <v>233</v>
      </c>
      <c r="AB210">
        <v>485.41</v>
      </c>
      <c r="AF210">
        <v>28000</v>
      </c>
      <c r="AI210" t="s">
        <v>233</v>
      </c>
      <c r="AJ210">
        <v>3000000</v>
      </c>
      <c r="AQ210">
        <v>16456574.112489998</v>
      </c>
      <c r="AR210">
        <v>364629.90432000003</v>
      </c>
      <c r="AS210">
        <v>16091944.208169999</v>
      </c>
      <c r="AT210">
        <v>44824.9</v>
      </c>
      <c r="AU210">
        <v>0</v>
      </c>
      <c r="AV210">
        <v>350971.73</v>
      </c>
      <c r="AW210">
        <v>403521.43691676436</v>
      </c>
      <c r="AX210">
        <v>-7724.8069167643553</v>
      </c>
      <c r="AY210" t="e">
        <v>#VALUE!</v>
      </c>
    </row>
    <row r="211" spans="1:51" hidden="1" x14ac:dyDescent="0.35">
      <c r="A211" t="s">
        <v>441</v>
      </c>
      <c r="C211" t="s">
        <v>223</v>
      </c>
      <c r="D211">
        <v>73440</v>
      </c>
      <c r="E211">
        <v>14592.7</v>
      </c>
      <c r="G211">
        <v>556763.80000000005</v>
      </c>
      <c r="H211">
        <v>0</v>
      </c>
      <c r="I211">
        <v>727838.82930832356</v>
      </c>
      <c r="J211">
        <v>0</v>
      </c>
      <c r="K211">
        <v>85.677458999520383</v>
      </c>
      <c r="L211">
        <v>10.701218582725014</v>
      </c>
      <c r="M211">
        <v>74.976240416795363</v>
      </c>
      <c r="N211" t="s">
        <v>442</v>
      </c>
      <c r="O211" t="s">
        <v>224</v>
      </c>
      <c r="P211">
        <v>0</v>
      </c>
      <c r="Q211">
        <v>0</v>
      </c>
      <c r="S211">
        <v>46.4</v>
      </c>
      <c r="T211">
        <v>19.865485218818083</v>
      </c>
      <c r="V211">
        <v>56.611939787581697</v>
      </c>
      <c r="W211">
        <v>0</v>
      </c>
      <c r="X211">
        <v>0</v>
      </c>
      <c r="Z211" t="s">
        <v>225</v>
      </c>
      <c r="AB211" t="e">
        <v>#N/A</v>
      </c>
      <c r="AF211">
        <v>0</v>
      </c>
      <c r="AG211">
        <v>0</v>
      </c>
      <c r="AP211" t="s">
        <v>233</v>
      </c>
      <c r="AQ211">
        <v>3407616</v>
      </c>
      <c r="AR211">
        <v>4157580.858</v>
      </c>
      <c r="AS211">
        <v>-749964.85800000001</v>
      </c>
      <c r="AT211">
        <v>14592.7</v>
      </c>
      <c r="AU211">
        <v>0</v>
      </c>
      <c r="AV211">
        <v>55676.380000000005</v>
      </c>
      <c r="AW211">
        <v>72783.882930832362</v>
      </c>
      <c r="AX211">
        <v>2514.8029308323603</v>
      </c>
    </row>
    <row r="212" spans="1:51" hidden="1" x14ac:dyDescent="0.35">
      <c r="A212" t="s">
        <v>440</v>
      </c>
      <c r="C212" t="s">
        <v>223</v>
      </c>
      <c r="D212">
        <v>74386</v>
      </c>
      <c r="E212">
        <v>15425.1</v>
      </c>
      <c r="G212">
        <v>556763.80000000005</v>
      </c>
      <c r="H212">
        <v>0</v>
      </c>
      <c r="I212">
        <v>737597.32872215717</v>
      </c>
      <c r="K212">
        <v>90.097746773358821</v>
      </c>
      <c r="L212">
        <v>10.844695175429017</v>
      </c>
      <c r="M212">
        <v>79.253051597929812</v>
      </c>
      <c r="N212" t="s">
        <v>225</v>
      </c>
      <c r="O212" t="s">
        <v>224</v>
      </c>
      <c r="P212">
        <v>0</v>
      </c>
      <c r="Q212" t="e">
        <v>#N/A</v>
      </c>
      <c r="S212">
        <v>45.8</v>
      </c>
      <c r="T212">
        <v>20.731607293173447</v>
      </c>
      <c r="V212">
        <v>17.740048174656522</v>
      </c>
      <c r="W212">
        <v>0</v>
      </c>
      <c r="X212">
        <v>0</v>
      </c>
      <c r="Z212" t="e">
        <v>#N/A</v>
      </c>
      <c r="AB212" t="e">
        <v>#N/A</v>
      </c>
      <c r="AF212">
        <v>0</v>
      </c>
      <c r="AG212" t="e">
        <v>#N/A</v>
      </c>
      <c r="AP212" t="e">
        <v>#N/A</v>
      </c>
      <c r="AQ212">
        <v>3406878.8</v>
      </c>
      <c r="AR212">
        <v>1319611.22352</v>
      </c>
      <c r="AS212">
        <v>2087267.5764799998</v>
      </c>
      <c r="AT212">
        <v>15425.1</v>
      </c>
      <c r="AU212">
        <v>0</v>
      </c>
      <c r="AV212">
        <v>55676.380000000005</v>
      </c>
      <c r="AW212">
        <v>73759.732872215725</v>
      </c>
      <c r="AX212">
        <v>2658.2528722157149</v>
      </c>
    </row>
    <row r="213" spans="1:51" hidden="1" x14ac:dyDescent="0.35">
      <c r="A213" t="s">
        <v>357</v>
      </c>
      <c r="C213" t="s">
        <v>223</v>
      </c>
      <c r="D213">
        <v>80755</v>
      </c>
      <c r="E213">
        <v>15275.9</v>
      </c>
      <c r="F213">
        <v>0</v>
      </c>
      <c r="G213">
        <v>250644.4</v>
      </c>
      <c r="H213">
        <v>0</v>
      </c>
      <c r="I213">
        <v>386755.92717467761</v>
      </c>
      <c r="J213">
        <v>0.1</v>
      </c>
      <c r="K213">
        <v>84.80465986013337</v>
      </c>
      <c r="L213">
        <v>5.6863683939393965</v>
      </c>
      <c r="M213">
        <v>79.118291466193966</v>
      </c>
      <c r="N213">
        <v>2032</v>
      </c>
      <c r="O213" t="s">
        <v>224</v>
      </c>
      <c r="P213">
        <v>5148000</v>
      </c>
      <c r="Q213">
        <v>0</v>
      </c>
      <c r="S213">
        <v>29.501871076589687</v>
      </c>
      <c r="T213">
        <v>18.911830920562196</v>
      </c>
      <c r="V213">
        <v>4.7159281996161235</v>
      </c>
      <c r="W213">
        <v>0</v>
      </c>
      <c r="X213">
        <v>0</v>
      </c>
      <c r="Z213">
        <v>831.38438763306101</v>
      </c>
      <c r="AA213">
        <v>105</v>
      </c>
      <c r="AB213">
        <v>260</v>
      </c>
      <c r="AE213">
        <v>500</v>
      </c>
      <c r="AF213">
        <v>0</v>
      </c>
      <c r="AG213" t="s">
        <v>591</v>
      </c>
      <c r="AH213">
        <v>50000</v>
      </c>
      <c r="AI213" t="s">
        <v>174</v>
      </c>
      <c r="AJ213">
        <v>1935000</v>
      </c>
      <c r="AL213">
        <v>1000000</v>
      </c>
      <c r="AP213" t="s">
        <v>174</v>
      </c>
      <c r="AQ213">
        <v>2382423.5987900002</v>
      </c>
      <c r="AR213">
        <v>380834.78176000004</v>
      </c>
      <c r="AS213">
        <v>2001588.81703</v>
      </c>
      <c r="AT213">
        <v>15275.9</v>
      </c>
      <c r="AU213">
        <v>0</v>
      </c>
      <c r="AV213">
        <v>25064.440000000002</v>
      </c>
      <c r="AW213">
        <v>38675.592717467764</v>
      </c>
      <c r="AX213">
        <v>1664.7472825322402</v>
      </c>
      <c r="AY213" t="s">
        <v>469</v>
      </c>
    </row>
    <row r="214" spans="1:51" hidden="1" x14ac:dyDescent="0.35">
      <c r="A214" t="s">
        <v>356</v>
      </c>
      <c r="C214" t="s">
        <v>223</v>
      </c>
      <c r="D214">
        <v>86473</v>
      </c>
      <c r="E214">
        <v>26709.200000000001</v>
      </c>
      <c r="G214">
        <v>905396.5</v>
      </c>
      <c r="H214">
        <v>0</v>
      </c>
      <c r="I214">
        <v>1218517.2502930833</v>
      </c>
      <c r="J214">
        <v>0</v>
      </c>
      <c r="K214">
        <v>155.14547523316455</v>
      </c>
      <c r="L214">
        <v>17.91553145714839</v>
      </c>
      <c r="M214">
        <v>137.22994377601617</v>
      </c>
      <c r="N214">
        <v>2035</v>
      </c>
      <c r="O214" t="s">
        <v>224</v>
      </c>
      <c r="P214">
        <v>450000</v>
      </c>
      <c r="Q214">
        <v>0</v>
      </c>
      <c r="S214">
        <v>65.599999999999994</v>
      </c>
      <c r="T214">
        <v>30.879946921235533</v>
      </c>
      <c r="V214">
        <v>4.6405920044406921</v>
      </c>
      <c r="W214">
        <v>0</v>
      </c>
      <c r="X214">
        <v>0</v>
      </c>
      <c r="Z214" t="s">
        <v>225</v>
      </c>
      <c r="AA214">
        <v>50</v>
      </c>
      <c r="AB214">
        <v>120</v>
      </c>
      <c r="AF214">
        <v>0</v>
      </c>
      <c r="AG214">
        <v>0</v>
      </c>
      <c r="AJ214">
        <v>250000</v>
      </c>
      <c r="AP214" t="s">
        <v>181</v>
      </c>
      <c r="AQ214">
        <v>5672628.7999999998</v>
      </c>
      <c r="AR214">
        <v>401285.91239999997</v>
      </c>
      <c r="AS214">
        <v>5271342.8876</v>
      </c>
      <c r="AT214">
        <v>26709.200000000001</v>
      </c>
      <c r="AU214">
        <v>0</v>
      </c>
      <c r="AV214">
        <v>90539.650000000009</v>
      </c>
      <c r="AW214">
        <v>121851.72502930833</v>
      </c>
      <c r="AX214">
        <v>4602.8750293083285</v>
      </c>
      <c r="AY214" t="e">
        <v>#N/A</v>
      </c>
    </row>
    <row r="215" spans="1:51" hidden="1" x14ac:dyDescent="0.35">
      <c r="A215" t="s">
        <v>390</v>
      </c>
      <c r="C215" t="s">
        <v>317</v>
      </c>
      <c r="D215">
        <v>90072</v>
      </c>
      <c r="E215">
        <v>37940.9</v>
      </c>
      <c r="F215">
        <v>0</v>
      </c>
      <c r="G215">
        <v>1271621.6000000001</v>
      </c>
      <c r="H215">
        <v>0</v>
      </c>
      <c r="I215">
        <v>1716415.2694021103</v>
      </c>
      <c r="K215">
        <v>220.17360067367667</v>
      </c>
      <c r="L215">
        <v>25.235992141356299</v>
      </c>
      <c r="M215">
        <v>194.93760853232038</v>
      </c>
      <c r="N215" t="s">
        <v>318</v>
      </c>
      <c r="Q215">
        <v>0</v>
      </c>
      <c r="S215">
        <v>90.282841634359173</v>
      </c>
      <c r="T215">
        <v>42.112789906852299</v>
      </c>
      <c r="U215">
        <v>0</v>
      </c>
      <c r="V215">
        <v>11.736472641886492</v>
      </c>
      <c r="W215">
        <v>2024</v>
      </c>
      <c r="X215">
        <v>0</v>
      </c>
      <c r="Z215" t="s">
        <v>228</v>
      </c>
      <c r="AA215" t="s">
        <v>228</v>
      </c>
      <c r="AB215" t="s">
        <v>228</v>
      </c>
      <c r="AF215" t="s">
        <v>228</v>
      </c>
      <c r="AG215">
        <v>0</v>
      </c>
      <c r="AH215" t="s">
        <v>228</v>
      </c>
      <c r="AJ215" t="s">
        <v>228</v>
      </c>
      <c r="AL215" t="s">
        <v>228</v>
      </c>
      <c r="AM215" t="s">
        <v>228</v>
      </c>
      <c r="AQ215">
        <v>8131956.1116899997</v>
      </c>
      <c r="AR215">
        <v>1057127.5638000001</v>
      </c>
      <c r="AS215">
        <v>7074828.54789</v>
      </c>
      <c r="AT215">
        <v>37940.9</v>
      </c>
      <c r="AU215">
        <v>0</v>
      </c>
      <c r="AV215">
        <v>127162.16000000002</v>
      </c>
      <c r="AW215">
        <v>171641.52694021104</v>
      </c>
      <c r="AX215">
        <v>-6538.4669402110158</v>
      </c>
      <c r="AY215" t="e">
        <v>#N/A</v>
      </c>
    </row>
    <row r="216" spans="1:51" hidden="1" x14ac:dyDescent="0.35">
      <c r="A216" t="s">
        <v>285</v>
      </c>
      <c r="C216" t="s">
        <v>286</v>
      </c>
      <c r="D216">
        <v>94288</v>
      </c>
      <c r="E216">
        <v>27662.9</v>
      </c>
      <c r="G216">
        <v>1905604.6</v>
      </c>
      <c r="H216">
        <v>0</v>
      </c>
      <c r="I216">
        <v>2229905.8895662371</v>
      </c>
      <c r="J216">
        <v>0</v>
      </c>
      <c r="K216">
        <v>174.91569225684864</v>
      </c>
      <c r="L216">
        <v>32.785706645839809</v>
      </c>
      <c r="M216">
        <v>142.12998561100883</v>
      </c>
      <c r="N216">
        <v>2024</v>
      </c>
      <c r="O216" t="s">
        <v>224</v>
      </c>
      <c r="P216">
        <v>4714400</v>
      </c>
      <c r="Q216">
        <v>0</v>
      </c>
      <c r="S216">
        <v>98.289832766523844</v>
      </c>
      <c r="T216">
        <v>29.331716196016462</v>
      </c>
      <c r="V216">
        <v>4.2374699066689301</v>
      </c>
      <c r="W216">
        <v>0</v>
      </c>
      <c r="X216">
        <v>0</v>
      </c>
      <c r="Z216">
        <v>599.92697411601682</v>
      </c>
      <c r="AA216">
        <v>50</v>
      </c>
      <c r="AB216">
        <v>405.41</v>
      </c>
      <c r="AF216">
        <v>0</v>
      </c>
      <c r="AG216" t="s">
        <v>592</v>
      </c>
      <c r="AH216">
        <v>50000</v>
      </c>
      <c r="AI216" t="s">
        <v>233</v>
      </c>
      <c r="AQ216">
        <v>9267551.75189</v>
      </c>
      <c r="AR216">
        <v>399542.56256000011</v>
      </c>
      <c r="AS216">
        <v>8868009.1893300004</v>
      </c>
      <c r="AT216">
        <v>27662.9</v>
      </c>
      <c r="AU216">
        <v>0</v>
      </c>
      <c r="AV216">
        <v>190560.46000000002</v>
      </c>
      <c r="AW216">
        <v>222990.58895662372</v>
      </c>
      <c r="AX216">
        <v>-4767.2289566237014</v>
      </c>
      <c r="AY216" t="s">
        <v>469</v>
      </c>
    </row>
    <row r="217" spans="1:51" hidden="1" x14ac:dyDescent="0.35">
      <c r="A217" t="s">
        <v>182</v>
      </c>
      <c r="C217" t="s">
        <v>172</v>
      </c>
      <c r="D217">
        <v>99950</v>
      </c>
      <c r="E217">
        <v>19240.3</v>
      </c>
      <c r="G217">
        <v>3675628.7</v>
      </c>
      <c r="H217">
        <v>0</v>
      </c>
      <c r="I217">
        <v>3901189.0751465419</v>
      </c>
      <c r="J217">
        <v>0</v>
      </c>
      <c r="K217">
        <v>156.21340800438222</v>
      </c>
      <c r="L217">
        <v>57.358133895323029</v>
      </c>
      <c r="M217">
        <v>98.855274109059195</v>
      </c>
      <c r="N217">
        <v>2034</v>
      </c>
      <c r="O217" t="s">
        <v>268</v>
      </c>
      <c r="P217">
        <v>17500000</v>
      </c>
      <c r="Q217" t="s">
        <v>593</v>
      </c>
      <c r="S217">
        <v>144.72051306883444</v>
      </c>
      <c r="T217">
        <v>19.245324230415207</v>
      </c>
      <c r="V217" t="e">
        <v>#REF!</v>
      </c>
      <c r="W217" t="s">
        <v>474</v>
      </c>
      <c r="X217">
        <v>0</v>
      </c>
      <c r="Y217" t="s">
        <v>180</v>
      </c>
      <c r="Z217">
        <v>1995.3225303193465</v>
      </c>
      <c r="AA217">
        <v>608.23</v>
      </c>
      <c r="AB217">
        <v>48</v>
      </c>
      <c r="AE217">
        <v>1000</v>
      </c>
      <c r="AF217">
        <v>0</v>
      </c>
      <c r="AG217" t="s">
        <v>594</v>
      </c>
      <c r="AH217">
        <v>150000</v>
      </c>
      <c r="AI217" t="s">
        <v>174</v>
      </c>
      <c r="AJ217">
        <v>9320337.5</v>
      </c>
      <c r="AM217">
        <v>524737.5</v>
      </c>
      <c r="AP217">
        <v>0</v>
      </c>
      <c r="AQ217">
        <v>14464815.281230003</v>
      </c>
      <c r="AR217" t="e">
        <v>#REF!</v>
      </c>
      <c r="AS217" t="e">
        <v>#REF!</v>
      </c>
      <c r="AT217">
        <v>19240.3</v>
      </c>
      <c r="AU217">
        <v>0</v>
      </c>
      <c r="AV217">
        <v>367562.87000000005</v>
      </c>
      <c r="AW217">
        <v>390118.90751465422</v>
      </c>
      <c r="AX217">
        <v>-3315.7375146541744</v>
      </c>
      <c r="AY217" t="s">
        <v>469</v>
      </c>
    </row>
    <row r="218" spans="1:51" hidden="1" x14ac:dyDescent="0.35">
      <c r="A218" t="s">
        <v>179</v>
      </c>
      <c r="C218" t="s">
        <v>172</v>
      </c>
      <c r="D218">
        <v>103917</v>
      </c>
      <c r="E218">
        <v>8970.2999999999993</v>
      </c>
      <c r="G218">
        <v>1734211.7</v>
      </c>
      <c r="H218">
        <v>0</v>
      </c>
      <c r="I218">
        <v>1655436.1337514652</v>
      </c>
      <c r="J218">
        <v>0.1</v>
      </c>
      <c r="K218">
        <v>73.132568286371821</v>
      </c>
      <c r="L218">
        <v>24.339432307906193</v>
      </c>
      <c r="M218">
        <v>48.793135978465628</v>
      </c>
      <c r="N218">
        <v>2032</v>
      </c>
      <c r="O218">
        <v>2022</v>
      </c>
      <c r="P218">
        <v>11200000</v>
      </c>
      <c r="Q218" t="s">
        <v>595</v>
      </c>
      <c r="S218">
        <v>65.571041602721394</v>
      </c>
      <c r="T218">
        <v>8.6301145128323569</v>
      </c>
      <c r="V218" t="e">
        <v>#REF!</v>
      </c>
      <c r="W218" t="s">
        <v>474</v>
      </c>
      <c r="X218">
        <v>0</v>
      </c>
      <c r="Y218" t="s">
        <v>180</v>
      </c>
      <c r="Z218">
        <v>1330.2150202128978</v>
      </c>
      <c r="AA218">
        <v>390</v>
      </c>
      <c r="AB218">
        <v>150</v>
      </c>
      <c r="AE218">
        <v>500</v>
      </c>
      <c r="AF218">
        <v>0</v>
      </c>
      <c r="AG218" t="s">
        <v>596</v>
      </c>
      <c r="AH218">
        <v>50000</v>
      </c>
      <c r="AI218" t="s">
        <v>181</v>
      </c>
      <c r="AJ218">
        <v>5949248.25</v>
      </c>
      <c r="AM218">
        <v>441647.25</v>
      </c>
      <c r="AP218">
        <v>0</v>
      </c>
      <c r="AQ218">
        <v>6813945.9302299991</v>
      </c>
      <c r="AR218" t="e">
        <v>#REF!</v>
      </c>
      <c r="AS218" t="e">
        <v>#REF!</v>
      </c>
      <c r="AT218">
        <v>8970.2999999999993</v>
      </c>
      <c r="AU218">
        <v>0</v>
      </c>
      <c r="AV218">
        <v>173421.17</v>
      </c>
      <c r="AW218">
        <v>165543.61337514652</v>
      </c>
      <c r="AX218">
        <v>16847.856624853477</v>
      </c>
      <c r="AY218" t="s">
        <v>469</v>
      </c>
    </row>
    <row r="219" spans="1:51" hidden="1" x14ac:dyDescent="0.35">
      <c r="A219" t="s">
        <v>419</v>
      </c>
      <c r="C219" t="s">
        <v>418</v>
      </c>
      <c r="D219">
        <v>108000</v>
      </c>
      <c r="E219">
        <v>0</v>
      </c>
      <c r="G219">
        <v>0</v>
      </c>
      <c r="H219">
        <v>0</v>
      </c>
      <c r="I219">
        <v>0</v>
      </c>
      <c r="K219">
        <v>0</v>
      </c>
      <c r="L219">
        <v>0</v>
      </c>
      <c r="M219">
        <v>0</v>
      </c>
      <c r="N219" t="s">
        <v>420</v>
      </c>
      <c r="O219" t="s">
        <v>268</v>
      </c>
      <c r="P219">
        <v>0</v>
      </c>
      <c r="Q219" t="s">
        <v>224</v>
      </c>
      <c r="S219">
        <v>0</v>
      </c>
      <c r="T219">
        <v>0</v>
      </c>
      <c r="V219">
        <v>68.78766901481481</v>
      </c>
      <c r="W219">
        <v>0</v>
      </c>
      <c r="X219">
        <v>0</v>
      </c>
      <c r="Z219">
        <v>0</v>
      </c>
      <c r="AA219">
        <v>37</v>
      </c>
      <c r="AB219" t="e">
        <v>#N/A</v>
      </c>
      <c r="AF219">
        <v>0</v>
      </c>
      <c r="AH219">
        <v>0</v>
      </c>
      <c r="AI219" t="s">
        <v>220</v>
      </c>
      <c r="AT219">
        <v>0</v>
      </c>
      <c r="AU219">
        <v>0</v>
      </c>
      <c r="AV219">
        <v>0</v>
      </c>
      <c r="AW219">
        <v>0</v>
      </c>
      <c r="AX219">
        <v>0</v>
      </c>
    </row>
    <row r="220" spans="1:51" hidden="1" x14ac:dyDescent="0.35">
      <c r="A220" t="s">
        <v>386</v>
      </c>
      <c r="C220" t="s">
        <v>223</v>
      </c>
      <c r="D220">
        <v>113780</v>
      </c>
      <c r="E220">
        <v>24404</v>
      </c>
      <c r="F220">
        <v>0</v>
      </c>
      <c r="G220">
        <v>503060.5</v>
      </c>
      <c r="H220">
        <v>0</v>
      </c>
      <c r="I220">
        <v>591867.47347596718</v>
      </c>
      <c r="J220">
        <v>0.25</v>
      </c>
      <c r="K220">
        <v>136.98875012509592</v>
      </c>
      <c r="L220">
        <v>8.7020683022511172</v>
      </c>
      <c r="M220">
        <v>128.2866818228448</v>
      </c>
      <c r="N220">
        <v>2033</v>
      </c>
      <c r="O220" t="s">
        <v>219</v>
      </c>
      <c r="P220">
        <v>6237000</v>
      </c>
      <c r="Q220">
        <v>0</v>
      </c>
      <c r="S220">
        <v>36.52890815960626</v>
      </c>
      <c r="T220">
        <v>21.443283040956231</v>
      </c>
      <c r="V220">
        <v>4.6476087333450513</v>
      </c>
      <c r="W220">
        <v>2024</v>
      </c>
      <c r="X220">
        <v>1008</v>
      </c>
      <c r="Y220" t="s">
        <v>180</v>
      </c>
      <c r="Z220">
        <v>249.41531628991831</v>
      </c>
      <c r="AA220">
        <v>139</v>
      </c>
      <c r="AB220">
        <v>350</v>
      </c>
      <c r="AF220">
        <v>0</v>
      </c>
      <c r="AG220" t="s">
        <v>597</v>
      </c>
      <c r="AH220">
        <v>0</v>
      </c>
      <c r="AI220" t="s">
        <v>181</v>
      </c>
      <c r="AJ220">
        <v>3465000</v>
      </c>
      <c r="AP220" t="s">
        <v>177</v>
      </c>
      <c r="AQ220">
        <v>4156259.1704000002</v>
      </c>
      <c r="AR220">
        <v>528804.92167999991</v>
      </c>
      <c r="AS220">
        <v>3627454.2487200005</v>
      </c>
      <c r="AT220">
        <v>24404</v>
      </c>
      <c r="AU220">
        <v>0</v>
      </c>
      <c r="AV220">
        <v>50306.05</v>
      </c>
      <c r="AW220">
        <v>59186.74734759672</v>
      </c>
      <c r="AX220">
        <v>15523.302652403283</v>
      </c>
      <c r="AY220" t="s">
        <v>478</v>
      </c>
    </row>
    <row r="221" spans="1:51" hidden="1" x14ac:dyDescent="0.35">
      <c r="A221" t="s">
        <v>455</v>
      </c>
      <c r="C221" t="s">
        <v>227</v>
      </c>
      <c r="D221">
        <v>138602</v>
      </c>
      <c r="E221">
        <v>0</v>
      </c>
      <c r="G221">
        <v>1704925.9</v>
      </c>
      <c r="H221">
        <v>0</v>
      </c>
      <c r="I221">
        <v>1704925.9</v>
      </c>
      <c r="J221">
        <v>0</v>
      </c>
      <c r="K221">
        <v>25.067067032666376</v>
      </c>
      <c r="L221">
        <v>25.067067032666376</v>
      </c>
      <c r="M221">
        <v>0</v>
      </c>
      <c r="N221">
        <v>2036</v>
      </c>
      <c r="P221">
        <v>0</v>
      </c>
      <c r="Q221">
        <v>0</v>
      </c>
      <c r="S221">
        <v>41.970586072351047</v>
      </c>
      <c r="T221">
        <v>0</v>
      </c>
      <c r="V221">
        <v>107.49909528578232</v>
      </c>
      <c r="W221">
        <v>2022</v>
      </c>
      <c r="X221">
        <v>1367.64</v>
      </c>
      <c r="Z221">
        <v>1330.2150202128978</v>
      </c>
      <c r="AB221" t="e">
        <v>#N/A</v>
      </c>
      <c r="AF221">
        <v>0</v>
      </c>
      <c r="AG221" t="s">
        <v>220</v>
      </c>
      <c r="AH221">
        <v>0</v>
      </c>
      <c r="AI221" t="s">
        <v>233</v>
      </c>
      <c r="AQ221">
        <v>5817207.1707999995</v>
      </c>
      <c r="AR221">
        <v>14899589.604800001</v>
      </c>
      <c r="AS221">
        <v>-9082382.4340000004</v>
      </c>
      <c r="AT221">
        <v>0</v>
      </c>
      <c r="AU221">
        <v>0</v>
      </c>
      <c r="AV221">
        <v>170492.59</v>
      </c>
      <c r="AW221">
        <v>170492.59</v>
      </c>
      <c r="AX221">
        <v>0</v>
      </c>
    </row>
    <row r="222" spans="1:51" hidden="1" x14ac:dyDescent="0.35">
      <c r="A222" t="s">
        <v>171</v>
      </c>
      <c r="C222" t="s">
        <v>172</v>
      </c>
      <c r="D222">
        <v>172411</v>
      </c>
      <c r="E222">
        <v>5242.6000000000004</v>
      </c>
      <c r="F222">
        <v>6424176.5999999996</v>
      </c>
      <c r="G222">
        <v>2858648.9</v>
      </c>
      <c r="H222">
        <v>0</v>
      </c>
      <c r="I222">
        <v>3673237.0125439623</v>
      </c>
      <c r="J222">
        <v>0</v>
      </c>
      <c r="K222">
        <v>603.12347294128472</v>
      </c>
      <c r="L222">
        <v>54.006616017922362</v>
      </c>
      <c r="M222">
        <v>549.11685692336232</v>
      </c>
      <c r="N222">
        <v>2029</v>
      </c>
      <c r="O222">
        <v>2035</v>
      </c>
      <c r="P222">
        <v>25408285</v>
      </c>
      <c r="Q222">
        <v>0</v>
      </c>
      <c r="S222">
        <v>96.873293169577337</v>
      </c>
      <c r="T222">
        <v>3.0400305192824124</v>
      </c>
      <c r="U222" t="e">
        <v>#REF!</v>
      </c>
      <c r="V222" t="e">
        <v>#REF!</v>
      </c>
      <c r="W222" t="e">
        <v>#N/A</v>
      </c>
      <c r="X222">
        <v>0</v>
      </c>
      <c r="Z222" t="s">
        <v>225</v>
      </c>
      <c r="AA222">
        <v>912</v>
      </c>
      <c r="AB222">
        <v>750.03</v>
      </c>
      <c r="AF222">
        <v>2800</v>
      </c>
      <c r="AG222" t="s">
        <v>173</v>
      </c>
      <c r="AH222">
        <v>100000</v>
      </c>
      <c r="AI222" t="s">
        <v>174</v>
      </c>
      <c r="AJ222">
        <v>12930825</v>
      </c>
      <c r="AM222">
        <v>2000000</v>
      </c>
      <c r="AP222">
        <v>0</v>
      </c>
      <c r="AQ222">
        <v>16702021.348659998</v>
      </c>
      <c r="AR222" t="e">
        <v>#REF!</v>
      </c>
      <c r="AS222" t="e">
        <v>#REF!</v>
      </c>
      <c r="AT222">
        <v>5242.6000000000004</v>
      </c>
      <c r="AU222">
        <v>205573.65119999999</v>
      </c>
      <c r="AV222">
        <v>285864.89</v>
      </c>
      <c r="AW222">
        <v>367323.70125439623</v>
      </c>
      <c r="AX222">
        <v>129357.43994560378</v>
      </c>
      <c r="AY222" t="e">
        <v>#VALUE!</v>
      </c>
    </row>
    <row r="223" spans="1:51" hidden="1" x14ac:dyDescent="0.35">
      <c r="A223" t="s">
        <v>355</v>
      </c>
      <c r="C223" t="s">
        <v>223</v>
      </c>
      <c r="D223">
        <v>178196</v>
      </c>
      <c r="E223">
        <v>8809.1</v>
      </c>
      <c r="F223">
        <v>0</v>
      </c>
      <c r="G223">
        <v>183093</v>
      </c>
      <c r="H223">
        <v>0</v>
      </c>
      <c r="I223">
        <v>286364.98124267289</v>
      </c>
      <c r="J223">
        <v>0</v>
      </c>
      <c r="K223">
        <v>49.470867946218874</v>
      </c>
      <c r="L223">
        <v>4.2103473122311836</v>
      </c>
      <c r="M223">
        <v>45.260520633987689</v>
      </c>
      <c r="N223">
        <v>2034</v>
      </c>
      <c r="O223" t="s">
        <v>224</v>
      </c>
      <c r="P223">
        <v>302500</v>
      </c>
      <c r="Q223">
        <v>0</v>
      </c>
      <c r="R223" t="s">
        <v>236</v>
      </c>
      <c r="S223">
        <v>8.4480727878852502</v>
      </c>
      <c r="T223">
        <v>4.9423076977597704</v>
      </c>
      <c r="V223">
        <v>3.4359993018922985</v>
      </c>
      <c r="W223">
        <v>2024</v>
      </c>
      <c r="X223">
        <v>604.79999999999995</v>
      </c>
      <c r="Z223">
        <v>288.21325437946115</v>
      </c>
      <c r="AA223">
        <v>68</v>
      </c>
      <c r="AB223">
        <v>745.41</v>
      </c>
      <c r="AF223">
        <v>0</v>
      </c>
      <c r="AG223">
        <v>0</v>
      </c>
      <c r="AH223">
        <v>25000</v>
      </c>
      <c r="AJ223">
        <v>150000</v>
      </c>
      <c r="AK223" t="s">
        <v>237</v>
      </c>
      <c r="AP223" t="s">
        <v>233</v>
      </c>
      <c r="AQ223">
        <v>1505412.7785100001</v>
      </c>
      <c r="AR223">
        <v>612281.33160000003</v>
      </c>
      <c r="AS223">
        <v>893131.44691000006</v>
      </c>
      <c r="AT223">
        <v>8809.1</v>
      </c>
      <c r="AU223">
        <v>0</v>
      </c>
      <c r="AV223">
        <v>18309.3</v>
      </c>
      <c r="AW223">
        <v>28636.498124267291</v>
      </c>
      <c r="AX223">
        <v>-1518.0981242672897</v>
      </c>
      <c r="AY223" t="s">
        <v>470</v>
      </c>
    </row>
    <row r="224" spans="1:51" hidden="1" x14ac:dyDescent="0.35">
      <c r="A224" t="s">
        <v>287</v>
      </c>
      <c r="C224" t="s">
        <v>286</v>
      </c>
      <c r="D224">
        <v>180725</v>
      </c>
      <c r="E224">
        <v>9258.9</v>
      </c>
      <c r="G224">
        <v>2447236.2000000002</v>
      </c>
      <c r="H224">
        <v>0</v>
      </c>
      <c r="I224">
        <v>2555781.3348182887</v>
      </c>
      <c r="J224">
        <v>0</v>
      </c>
      <c r="K224">
        <v>85.148526287443829</v>
      </c>
      <c r="L224">
        <v>37.576965685562989</v>
      </c>
      <c r="M224">
        <v>47.57156060188084</v>
      </c>
      <c r="N224">
        <v>2030</v>
      </c>
      <c r="O224" t="s">
        <v>224</v>
      </c>
      <c r="P224">
        <v>1760500</v>
      </c>
      <c r="Q224">
        <v>0</v>
      </c>
      <c r="S224">
        <v>51.324601613999171</v>
      </c>
      <c r="T224">
        <v>5.1219737849771745</v>
      </c>
      <c r="V224">
        <v>2.5757202976898603</v>
      </c>
      <c r="W224">
        <v>0</v>
      </c>
      <c r="X224">
        <v>0</v>
      </c>
      <c r="Z224">
        <v>1330.2150202128978</v>
      </c>
      <c r="AA224">
        <v>50</v>
      </c>
      <c r="AB224">
        <v>160</v>
      </c>
      <c r="AF224">
        <v>0</v>
      </c>
      <c r="AG224" t="s">
        <v>598</v>
      </c>
      <c r="AH224">
        <v>25000</v>
      </c>
      <c r="AI224" t="s">
        <v>233</v>
      </c>
      <c r="AJ224">
        <v>960000</v>
      </c>
      <c r="AL224">
        <v>0</v>
      </c>
      <c r="AM224">
        <v>0</v>
      </c>
      <c r="AQ224">
        <v>9275638.6266900003</v>
      </c>
      <c r="AR224">
        <v>465497.05080000003</v>
      </c>
      <c r="AS224">
        <v>8810141.5758900009</v>
      </c>
      <c r="AT224">
        <v>9258.9</v>
      </c>
      <c r="AU224">
        <v>0</v>
      </c>
      <c r="AV224">
        <v>244723.62000000002</v>
      </c>
      <c r="AW224">
        <v>255578.13348182887</v>
      </c>
      <c r="AX224">
        <v>-1595.6134818288556</v>
      </c>
      <c r="AY224" t="s">
        <v>469</v>
      </c>
    </row>
    <row r="225" spans="1:51" hidden="1" x14ac:dyDescent="0.35">
      <c r="A225" t="s">
        <v>175</v>
      </c>
      <c r="C225" t="s">
        <v>172</v>
      </c>
      <c r="D225">
        <v>184042</v>
      </c>
      <c r="E225">
        <v>52362.7</v>
      </c>
      <c r="G225">
        <v>2532858.6</v>
      </c>
      <c r="H225">
        <v>0</v>
      </c>
      <c r="I225">
        <v>3146723.7817116063</v>
      </c>
      <c r="J225">
        <v>0</v>
      </c>
      <c r="K225">
        <v>315.30121064230599</v>
      </c>
      <c r="L225">
        <v>46.265433570720155</v>
      </c>
      <c r="M225">
        <v>269.03577707158581</v>
      </c>
      <c r="N225">
        <v>2028</v>
      </c>
      <c r="O225">
        <v>2023</v>
      </c>
      <c r="P225">
        <v>19500000</v>
      </c>
      <c r="Q225" t="s">
        <v>599</v>
      </c>
      <c r="S225">
        <v>75.401984735386478</v>
      </c>
      <c r="T225">
        <v>28.444694860249289</v>
      </c>
      <c r="V225" t="e">
        <v>#REF!</v>
      </c>
      <c r="W225">
        <v>2024</v>
      </c>
      <c r="X225">
        <v>17.28</v>
      </c>
      <c r="Z225">
        <v>1995.3225303193465</v>
      </c>
      <c r="AA225">
        <v>334</v>
      </c>
      <c r="AB225">
        <v>170</v>
      </c>
      <c r="AF225">
        <v>0</v>
      </c>
      <c r="AG225" t="s">
        <v>600</v>
      </c>
      <c r="AH225">
        <v>0</v>
      </c>
      <c r="AI225" t="s">
        <v>177</v>
      </c>
      <c r="AJ225">
        <v>12928950.5</v>
      </c>
      <c r="AK225" t="s">
        <v>178</v>
      </c>
      <c r="AM225">
        <v>782178.5</v>
      </c>
      <c r="AP225">
        <v>0</v>
      </c>
      <c r="AQ225">
        <v>13877132.074669998</v>
      </c>
      <c r="AR225" t="e">
        <v>#REF!</v>
      </c>
      <c r="AS225" t="e">
        <v>#REF!</v>
      </c>
      <c r="AT225">
        <v>52362.7</v>
      </c>
      <c r="AU225">
        <v>0</v>
      </c>
      <c r="AV225">
        <v>253285.86000000002</v>
      </c>
      <c r="AW225">
        <v>314672.37817116064</v>
      </c>
      <c r="AX225">
        <v>-9023.8181711606449</v>
      </c>
      <c r="AY225" t="s">
        <v>469</v>
      </c>
    </row>
    <row r="226" spans="1:51" hidden="1" x14ac:dyDescent="0.35">
      <c r="A226" t="s">
        <v>295</v>
      </c>
      <c r="C226" t="s">
        <v>227</v>
      </c>
      <c r="D226">
        <v>187092</v>
      </c>
      <c r="E226">
        <v>4000.8</v>
      </c>
      <c r="G226">
        <v>1711830.6</v>
      </c>
      <c r="H226">
        <v>0</v>
      </c>
      <c r="I226">
        <v>1758733.296365768</v>
      </c>
      <c r="J226">
        <v>0</v>
      </c>
      <c r="K226">
        <v>46.41400464071706</v>
      </c>
      <c r="L226">
        <v>25.85818271197769</v>
      </c>
      <c r="M226">
        <v>20.55582192873937</v>
      </c>
      <c r="N226">
        <v>2034</v>
      </c>
      <c r="O226" t="s">
        <v>228</v>
      </c>
      <c r="P226">
        <v>750000</v>
      </c>
      <c r="Q226">
        <v>0</v>
      </c>
      <c r="S226">
        <v>33.356586000897956</v>
      </c>
      <c r="T226">
        <v>2.1379021063434034</v>
      </c>
      <c r="V226">
        <v>2.1859487942728952</v>
      </c>
      <c r="W226">
        <v>2024</v>
      </c>
      <c r="X226">
        <v>817.92</v>
      </c>
      <c r="Z226">
        <v>1064.1720161703183</v>
      </c>
      <c r="AA226" t="s">
        <v>233</v>
      </c>
      <c r="AB226">
        <v>775.41</v>
      </c>
      <c r="AF226">
        <v>0</v>
      </c>
      <c r="AG226" t="s">
        <v>601</v>
      </c>
      <c r="AH226">
        <v>25000</v>
      </c>
      <c r="AI226" t="s">
        <v>174</v>
      </c>
      <c r="AJ226">
        <v>400000</v>
      </c>
      <c r="AL226">
        <v>0</v>
      </c>
      <c r="AM226">
        <v>317500</v>
      </c>
      <c r="AN226" t="s">
        <v>229</v>
      </c>
      <c r="AQ226">
        <v>6240750.3880799999</v>
      </c>
      <c r="AR226">
        <v>408973.5318181045</v>
      </c>
      <c r="AS226">
        <v>5831776.856261895</v>
      </c>
      <c r="AT226">
        <v>4000.8</v>
      </c>
      <c r="AU226">
        <v>0</v>
      </c>
      <c r="AV226">
        <v>171183.06000000003</v>
      </c>
      <c r="AW226">
        <v>175873.32963657682</v>
      </c>
      <c r="AX226">
        <v>-689.46963657680317</v>
      </c>
      <c r="AY226" t="e">
        <v>#VALUE!</v>
      </c>
    </row>
    <row r="227" spans="1:51" hidden="1" x14ac:dyDescent="0.35">
      <c r="A227" t="s">
        <v>602</v>
      </c>
      <c r="C227" t="s">
        <v>227</v>
      </c>
      <c r="D227">
        <v>213346</v>
      </c>
      <c r="E227">
        <v>0</v>
      </c>
      <c r="F227">
        <v>0</v>
      </c>
      <c r="G227">
        <v>375912</v>
      </c>
      <c r="H227">
        <v>0</v>
      </c>
      <c r="I227">
        <v>375912</v>
      </c>
      <c r="J227">
        <v>0</v>
      </c>
      <c r="K227">
        <v>5.5269330487522561</v>
      </c>
      <c r="L227">
        <v>5.5269330487522561</v>
      </c>
      <c r="M227">
        <v>0</v>
      </c>
      <c r="N227">
        <v>2024</v>
      </c>
      <c r="O227" t="s">
        <v>228</v>
      </c>
      <c r="P227">
        <v>340000</v>
      </c>
      <c r="Q227">
        <v>0</v>
      </c>
      <c r="S227">
        <v>6.0118855942928384</v>
      </c>
      <c r="T227">
        <v>0</v>
      </c>
      <c r="U227">
        <v>0</v>
      </c>
      <c r="V227">
        <v>0</v>
      </c>
      <c r="W227">
        <v>2022</v>
      </c>
      <c r="X227">
        <v>293.76</v>
      </c>
      <c r="Z227" t="s">
        <v>225</v>
      </c>
      <c r="AA227" t="s">
        <v>233</v>
      </c>
      <c r="AB227" t="e">
        <v>#N/A</v>
      </c>
      <c r="AF227">
        <v>0</v>
      </c>
      <c r="AG227">
        <v>0</v>
      </c>
      <c r="AH227">
        <v>0</v>
      </c>
      <c r="AI227" t="s">
        <v>461</v>
      </c>
      <c r="AJ227">
        <v>0</v>
      </c>
      <c r="AK227" t="s">
        <v>461</v>
      </c>
      <c r="AL227">
        <v>0</v>
      </c>
      <c r="AM227">
        <v>340000</v>
      </c>
      <c r="AN227" t="s">
        <v>234</v>
      </c>
      <c r="AQ227">
        <v>1282611.7439999999</v>
      </c>
      <c r="AR227">
        <v>0</v>
      </c>
      <c r="AS227">
        <v>1282611.7439999999</v>
      </c>
      <c r="AT227">
        <v>0</v>
      </c>
      <c r="AU227">
        <v>0</v>
      </c>
      <c r="AV227">
        <v>37591.200000000004</v>
      </c>
      <c r="AW227">
        <v>37591.200000000004</v>
      </c>
      <c r="AX227">
        <v>0</v>
      </c>
    </row>
    <row r="228" spans="1:51" hidden="1" x14ac:dyDescent="0.35">
      <c r="A228" t="s">
        <v>421</v>
      </c>
      <c r="C228" t="s">
        <v>418</v>
      </c>
      <c r="D228">
        <v>278500</v>
      </c>
      <c r="E228">
        <v>0</v>
      </c>
      <c r="F228">
        <v>7235689.7000000002</v>
      </c>
      <c r="G228">
        <v>1921033.3</v>
      </c>
      <c r="H228">
        <v>0</v>
      </c>
      <c r="I228">
        <v>2769297.039742087</v>
      </c>
      <c r="K228">
        <v>628.85976214063237</v>
      </c>
      <c r="L228">
        <v>40.716229678122353</v>
      </c>
      <c r="M228">
        <v>588.14353246251005</v>
      </c>
      <c r="N228">
        <v>2036</v>
      </c>
      <c r="O228" t="s">
        <v>224</v>
      </c>
      <c r="P228" t="s">
        <v>225</v>
      </c>
      <c r="Q228" t="s">
        <v>224</v>
      </c>
      <c r="S228">
        <v>49.51617709012568</v>
      </c>
      <c r="T228">
        <v>0</v>
      </c>
      <c r="U228">
        <v>149.55643124367003</v>
      </c>
      <c r="V228">
        <v>9.0274365317773775</v>
      </c>
      <c r="W228">
        <v>0</v>
      </c>
      <c r="X228">
        <v>0</v>
      </c>
      <c r="Z228">
        <v>0</v>
      </c>
      <c r="AA228">
        <v>244</v>
      </c>
      <c r="AB228" t="e">
        <v>#N/A</v>
      </c>
      <c r="AF228">
        <v>2800</v>
      </c>
      <c r="AH228">
        <v>0</v>
      </c>
      <c r="AI228" t="s">
        <v>422</v>
      </c>
      <c r="AQ228">
        <v>13790255.319600003</v>
      </c>
      <c r="AR228">
        <v>2514141.0740999999</v>
      </c>
      <c r="AS228">
        <v>11276114.245500002</v>
      </c>
      <c r="AT228">
        <v>0</v>
      </c>
      <c r="AU228">
        <v>231542.0704</v>
      </c>
      <c r="AV228">
        <v>192103.33000000002</v>
      </c>
      <c r="AW228">
        <v>276929.70397420874</v>
      </c>
      <c r="AX228">
        <v>-146715.69642579131</v>
      </c>
    </row>
    <row r="229" spans="1:51" hidden="1" x14ac:dyDescent="0.35">
      <c r="A229" t="s">
        <v>424</v>
      </c>
      <c r="C229" t="s">
        <v>418</v>
      </c>
      <c r="D229">
        <v>296000</v>
      </c>
      <c r="E229">
        <v>4880.7</v>
      </c>
      <c r="F229">
        <v>5690960</v>
      </c>
      <c r="G229">
        <v>3626175.5</v>
      </c>
      <c r="H229">
        <v>0</v>
      </c>
      <c r="I229">
        <v>4350563.5422039861</v>
      </c>
      <c r="K229">
        <v>551.6240584821885</v>
      </c>
      <c r="L229">
        <v>63.965165842281941</v>
      </c>
      <c r="M229">
        <v>487.65889263990658</v>
      </c>
      <c r="N229">
        <v>2036</v>
      </c>
      <c r="O229" t="s">
        <v>224</v>
      </c>
      <c r="P229" t="s">
        <v>225</v>
      </c>
      <c r="Q229" t="s">
        <v>224</v>
      </c>
      <c r="S229">
        <v>62.673730261047297</v>
      </c>
      <c r="T229">
        <v>1.6484910515878377</v>
      </c>
      <c r="U229">
        <v>114.16855578068891</v>
      </c>
      <c r="V229">
        <v>12.823054240540541</v>
      </c>
      <c r="W229">
        <v>0</v>
      </c>
      <c r="X229">
        <v>0</v>
      </c>
      <c r="Z229">
        <v>0</v>
      </c>
      <c r="AA229">
        <v>573</v>
      </c>
      <c r="AB229" t="e">
        <v>#N/A</v>
      </c>
      <c r="AF229">
        <v>2800</v>
      </c>
      <c r="AH229">
        <v>0</v>
      </c>
      <c r="AI229" t="s">
        <v>174</v>
      </c>
      <c r="AQ229">
        <v>18551424.157269999</v>
      </c>
      <c r="AR229">
        <v>3795624.0552000003</v>
      </c>
      <c r="AS229">
        <v>14755800.10207</v>
      </c>
      <c r="AT229">
        <v>4880.7</v>
      </c>
      <c r="AU229">
        <v>182110.72</v>
      </c>
      <c r="AV229">
        <v>362617.55000000005</v>
      </c>
      <c r="AW229">
        <v>435056.35422039864</v>
      </c>
      <c r="AX229">
        <v>-114552.61577960144</v>
      </c>
    </row>
    <row r="230" spans="1:51" hidden="1" x14ac:dyDescent="0.35">
      <c r="A230" t="s">
        <v>188</v>
      </c>
      <c r="C230" t="s">
        <v>172</v>
      </c>
      <c r="D230">
        <v>298278</v>
      </c>
      <c r="E230">
        <v>46820.6</v>
      </c>
      <c r="G230">
        <v>3767494.3</v>
      </c>
      <c r="H230">
        <v>0</v>
      </c>
      <c r="I230">
        <v>4316387.6177022271</v>
      </c>
      <c r="J230">
        <v>0</v>
      </c>
      <c r="K230">
        <v>304.02355329045724</v>
      </c>
      <c r="L230">
        <v>63.462686414648786</v>
      </c>
      <c r="M230">
        <v>240.56086687580847</v>
      </c>
      <c r="N230">
        <v>2032</v>
      </c>
      <c r="O230">
        <v>2021</v>
      </c>
      <c r="P230">
        <v>28700000</v>
      </c>
      <c r="Q230" t="s">
        <v>603</v>
      </c>
      <c r="S230">
        <v>58.789557189132289</v>
      </c>
      <c r="T230">
        <v>15.69321568355695</v>
      </c>
      <c r="V230" t="e">
        <v>#REF!</v>
      </c>
      <c r="W230" t="s">
        <v>474</v>
      </c>
      <c r="X230">
        <v>0</v>
      </c>
      <c r="Z230">
        <v>4655.7525707451414</v>
      </c>
      <c r="AA230">
        <v>551</v>
      </c>
      <c r="AB230">
        <v>300</v>
      </c>
      <c r="AF230">
        <v>0</v>
      </c>
      <c r="AG230" t="s">
        <v>604</v>
      </c>
      <c r="AH230">
        <v>0</v>
      </c>
      <c r="AI230" t="s">
        <v>174</v>
      </c>
      <c r="AJ230">
        <v>17300124</v>
      </c>
      <c r="AK230" t="s">
        <v>178</v>
      </c>
      <c r="AM230">
        <v>1193112</v>
      </c>
      <c r="AP230">
        <v>0</v>
      </c>
      <c r="AQ230">
        <v>17535631.53926</v>
      </c>
      <c r="AR230" t="e">
        <v>#REF!</v>
      </c>
      <c r="AS230" t="e">
        <v>#REF!</v>
      </c>
      <c r="AT230">
        <v>46820.6</v>
      </c>
      <c r="AU230">
        <v>0</v>
      </c>
      <c r="AV230">
        <v>376749.43</v>
      </c>
      <c r="AW230">
        <v>431638.76177022274</v>
      </c>
      <c r="AX230">
        <v>-8068.7317702227738</v>
      </c>
      <c r="AY230" t="s">
        <v>469</v>
      </c>
    </row>
    <row r="231" spans="1:51" hidden="1" x14ac:dyDescent="0.35">
      <c r="A231" t="s">
        <v>266</v>
      </c>
      <c r="C231" t="s">
        <v>232</v>
      </c>
      <c r="D231">
        <v>365987</v>
      </c>
      <c r="E231">
        <v>0</v>
      </c>
      <c r="F231">
        <v>694277.8</v>
      </c>
      <c r="G231">
        <v>4390982.4000000004</v>
      </c>
      <c r="H231">
        <v>0</v>
      </c>
      <c r="I231">
        <v>4472374.8736225087</v>
      </c>
      <c r="J231">
        <v>0</v>
      </c>
      <c r="K231">
        <v>122.18958406128165</v>
      </c>
      <c r="L231">
        <v>65.756125091599728</v>
      </c>
      <c r="M231">
        <v>56.433458969681922</v>
      </c>
      <c r="N231">
        <v>2024</v>
      </c>
      <c r="P231">
        <v>3300000</v>
      </c>
      <c r="S231">
        <v>42.832968790694757</v>
      </c>
      <c r="T231">
        <v>40</v>
      </c>
      <c r="U231">
        <v>120.76496782049053</v>
      </c>
      <c r="V231">
        <v>1.9315440165907531</v>
      </c>
      <c r="W231">
        <v>0</v>
      </c>
      <c r="X231">
        <v>0</v>
      </c>
      <c r="Z231" t="s">
        <v>228</v>
      </c>
      <c r="AA231" t="s">
        <v>228</v>
      </c>
      <c r="AB231" t="s">
        <v>228</v>
      </c>
      <c r="AF231">
        <v>0</v>
      </c>
      <c r="AG231">
        <v>0</v>
      </c>
      <c r="AH231">
        <v>0</v>
      </c>
      <c r="AI231" t="s">
        <v>174</v>
      </c>
      <c r="AJ231">
        <v>1500000</v>
      </c>
      <c r="AM231">
        <v>600000</v>
      </c>
      <c r="AQ231">
        <v>15676309.748800002</v>
      </c>
      <c r="AR231">
        <v>706920</v>
      </c>
      <c r="AS231">
        <v>14969389.748800002</v>
      </c>
      <c r="AT231">
        <v>0</v>
      </c>
      <c r="AU231">
        <v>22216.889600000002</v>
      </c>
      <c r="AV231">
        <v>439098.24000000005</v>
      </c>
      <c r="AW231">
        <v>447237.48736225092</v>
      </c>
      <c r="AX231">
        <v>14077.642237749125</v>
      </c>
      <c r="AY231">
        <v>0</v>
      </c>
    </row>
    <row r="232" spans="1:51" hidden="1" x14ac:dyDescent="0.35">
      <c r="A232" t="s">
        <v>417</v>
      </c>
      <c r="C232" t="s">
        <v>418</v>
      </c>
      <c r="D232">
        <v>368000</v>
      </c>
      <c r="E232">
        <v>0</v>
      </c>
      <c r="F232">
        <v>0</v>
      </c>
      <c r="G232">
        <v>244146.6</v>
      </c>
      <c r="H232">
        <v>0</v>
      </c>
      <c r="I232">
        <v>244146.6</v>
      </c>
      <c r="K232">
        <v>3.5896218058495011</v>
      </c>
      <c r="L232">
        <v>3.5896218058495011</v>
      </c>
      <c r="M232">
        <v>0</v>
      </c>
      <c r="N232">
        <v>2020</v>
      </c>
      <c r="O232" t="s">
        <v>224</v>
      </c>
      <c r="P232">
        <v>0</v>
      </c>
      <c r="Q232" t="s">
        <v>224</v>
      </c>
      <c r="S232">
        <v>2.2999999999999998</v>
      </c>
      <c r="T232">
        <v>0</v>
      </c>
      <c r="V232">
        <v>5.180563185217391</v>
      </c>
      <c r="W232">
        <v>0</v>
      </c>
      <c r="X232">
        <v>0</v>
      </c>
      <c r="Z232">
        <v>0</v>
      </c>
      <c r="AB232" t="e">
        <v>#N/A</v>
      </c>
      <c r="AF232">
        <v>0</v>
      </c>
      <c r="AH232">
        <v>0</v>
      </c>
      <c r="AI232" t="s">
        <v>220</v>
      </c>
      <c r="AQ232">
        <v>846399.99999999988</v>
      </c>
      <c r="AR232">
        <v>1906447.2521599999</v>
      </c>
      <c r="AS232">
        <v>-1060047.2521600001</v>
      </c>
      <c r="AT232">
        <v>0</v>
      </c>
      <c r="AU232">
        <v>0</v>
      </c>
      <c r="AV232">
        <v>24414.660000000003</v>
      </c>
      <c r="AW232">
        <v>24414.660000000003</v>
      </c>
      <c r="AX232">
        <v>0</v>
      </c>
    </row>
    <row r="233" spans="1:51" hidden="1" x14ac:dyDescent="0.35">
      <c r="A233" t="s">
        <v>352</v>
      </c>
      <c r="C233" t="s">
        <v>317</v>
      </c>
      <c r="D233">
        <v>564258</v>
      </c>
      <c r="E233">
        <v>106096.1</v>
      </c>
      <c r="F233">
        <v>0</v>
      </c>
      <c r="G233">
        <v>3123020.4</v>
      </c>
      <c r="H233">
        <v>0</v>
      </c>
      <c r="I233">
        <v>4366819.9310668232</v>
      </c>
      <c r="K233">
        <v>609.31829106724308</v>
      </c>
      <c r="L233">
        <v>64.204179156194201</v>
      </c>
      <c r="M233">
        <v>545.11411191104889</v>
      </c>
      <c r="N233" t="s">
        <v>318</v>
      </c>
      <c r="O233" t="s">
        <v>224</v>
      </c>
      <c r="Q233" t="e">
        <v>#N/A</v>
      </c>
      <c r="S233">
        <v>37.682797422473406</v>
      </c>
      <c r="T233">
        <v>18.798270123259222</v>
      </c>
      <c r="V233">
        <v>0</v>
      </c>
      <c r="W233">
        <v>0</v>
      </c>
      <c r="X233">
        <v>0</v>
      </c>
      <c r="Y233" t="s">
        <v>209</v>
      </c>
      <c r="Z233" t="s">
        <v>228</v>
      </c>
      <c r="AA233">
        <v>144</v>
      </c>
      <c r="AB233" t="s">
        <v>228</v>
      </c>
      <c r="AF233" t="s">
        <v>228</v>
      </c>
      <c r="AG233" t="e">
        <v>#N/A</v>
      </c>
      <c r="AH233" t="s">
        <v>228</v>
      </c>
      <c r="AI233" t="s">
        <v>233</v>
      </c>
      <c r="AJ233" t="s">
        <v>228</v>
      </c>
      <c r="AL233" t="s">
        <v>228</v>
      </c>
      <c r="AM233" t="s">
        <v>228</v>
      </c>
      <c r="AQ233">
        <v>21262819.908009999</v>
      </c>
      <c r="AR233">
        <v>0</v>
      </c>
      <c r="AS233">
        <v>21262819.908009999</v>
      </c>
      <c r="AT233">
        <v>106096.1</v>
      </c>
      <c r="AU233">
        <v>0</v>
      </c>
      <c r="AV233">
        <v>312302.03999999998</v>
      </c>
      <c r="AW233">
        <v>436681.99310668232</v>
      </c>
      <c r="AX233">
        <v>-18283.853106682305</v>
      </c>
      <c r="AY233" t="e">
        <v>#N/A</v>
      </c>
    </row>
    <row r="234" spans="1:51" hidden="1" x14ac:dyDescent="0.35">
      <c r="A234" t="s">
        <v>447</v>
      </c>
      <c r="C234" t="s">
        <v>172</v>
      </c>
      <c r="D234">
        <v>1222878</v>
      </c>
      <c r="E234">
        <v>332.8</v>
      </c>
      <c r="G234">
        <v>14374652.4</v>
      </c>
      <c r="H234">
        <v>0</v>
      </c>
      <c r="I234">
        <v>14378553.924032826</v>
      </c>
      <c r="J234">
        <v>0</v>
      </c>
      <c r="K234">
        <v>213.11391418335211</v>
      </c>
      <c r="L234">
        <v>211.40401177936184</v>
      </c>
      <c r="M234">
        <v>1.7099024039902702</v>
      </c>
      <c r="N234">
        <v>2022</v>
      </c>
      <c r="O234" t="s">
        <v>268</v>
      </c>
      <c r="P234">
        <v>0</v>
      </c>
      <c r="Q234" t="s">
        <v>605</v>
      </c>
      <c r="S234">
        <v>40.1</v>
      </c>
      <c r="T234">
        <v>2.720798483577266E-2</v>
      </c>
      <c r="V234">
        <v>0.7989981960588054</v>
      </c>
      <c r="W234">
        <v>2022</v>
      </c>
      <c r="X234">
        <v>0</v>
      </c>
      <c r="Z234">
        <v>6651.075101064489</v>
      </c>
      <c r="AA234">
        <v>5332</v>
      </c>
      <c r="AB234" t="e">
        <v>#N/A</v>
      </c>
      <c r="AF234">
        <v>0</v>
      </c>
      <c r="AG234" t="s">
        <v>606</v>
      </c>
      <c r="AH234">
        <v>0</v>
      </c>
      <c r="AI234" t="s">
        <v>243</v>
      </c>
      <c r="AJ234">
        <v>0</v>
      </c>
      <c r="AK234" t="s">
        <v>197</v>
      </c>
      <c r="AT234">
        <v>332.8</v>
      </c>
      <c r="AU234">
        <v>0</v>
      </c>
      <c r="AV234">
        <v>1437465.2400000002</v>
      </c>
      <c r="AW234">
        <v>1437855.3924032827</v>
      </c>
      <c r="AX234">
        <v>57.35240328242071</v>
      </c>
    </row>
    <row r="235" spans="1:51" hidden="1" x14ac:dyDescent="0.35">
      <c r="A235" t="s">
        <v>431</v>
      </c>
      <c r="C235" t="s">
        <v>317</v>
      </c>
      <c r="D235">
        <v>1302104</v>
      </c>
      <c r="E235">
        <v>246159.1</v>
      </c>
      <c r="G235">
        <v>11151887.4</v>
      </c>
      <c r="H235">
        <v>0</v>
      </c>
      <c r="I235">
        <v>14037691.620398594</v>
      </c>
      <c r="K235">
        <v>1471.1401118842994</v>
      </c>
      <c r="L235">
        <v>206.39240499099151</v>
      </c>
      <c r="M235">
        <v>1264.7477068933078</v>
      </c>
      <c r="N235" t="s">
        <v>420</v>
      </c>
      <c r="O235" t="s">
        <v>224</v>
      </c>
      <c r="P235">
        <v>0</v>
      </c>
      <c r="Q235" t="s">
        <v>224</v>
      </c>
      <c r="S235">
        <v>48.1</v>
      </c>
      <c r="T235">
        <v>18.900200596503815</v>
      </c>
      <c r="V235">
        <v>1.4995699393289628</v>
      </c>
      <c r="W235">
        <v>0</v>
      </c>
      <c r="X235">
        <v>0</v>
      </c>
      <c r="Z235" t="s">
        <v>228</v>
      </c>
      <c r="AA235">
        <v>1326</v>
      </c>
      <c r="AB235" t="e">
        <v>#N/A</v>
      </c>
      <c r="AF235">
        <v>0</v>
      </c>
      <c r="AH235">
        <v>0</v>
      </c>
      <c r="AI235" t="s">
        <v>228</v>
      </c>
      <c r="AQ235">
        <v>62631202.399999999</v>
      </c>
      <c r="AR235">
        <v>1952596.0162799996</v>
      </c>
      <c r="AS235">
        <v>60678606.383719996</v>
      </c>
      <c r="AT235">
        <v>246159.1</v>
      </c>
      <c r="AU235">
        <v>0</v>
      </c>
      <c r="AV235">
        <v>1115188.74</v>
      </c>
      <c r="AW235">
        <v>1403769.1620398595</v>
      </c>
      <c r="AX235">
        <v>42421.322039859369</v>
      </c>
    </row>
    <row r="236" spans="1:51" hidden="1" x14ac:dyDescent="0.35">
      <c r="D236">
        <v>9997104</v>
      </c>
      <c r="E236">
        <v>2387953.5830645738</v>
      </c>
      <c r="G236">
        <v>186</v>
      </c>
      <c r="H236" t="s">
        <v>404</v>
      </c>
      <c r="K236">
        <v>16824.591611740878</v>
      </c>
      <c r="L236">
        <v>2021.2756629973976</v>
      </c>
      <c r="P236">
        <v>425632800</v>
      </c>
      <c r="AP236" t="e">
        <v>#VALUE!</v>
      </c>
      <c r="AQ236" t="e">
        <v>#VALUE!</v>
      </c>
      <c r="AR236" t="e">
        <v>#REF!</v>
      </c>
      <c r="AS236" t="e">
        <v>#VALUE!</v>
      </c>
      <c r="AT236">
        <v>2387953.5830645738</v>
      </c>
      <c r="AU236">
        <v>970424.12159999995</v>
      </c>
      <c r="AV236">
        <v>11063242.01144666</v>
      </c>
      <c r="AW236">
        <v>13747620.431193983</v>
      </c>
      <c r="AX236">
        <v>-109043.11652887193</v>
      </c>
    </row>
  </sheetData>
  <autoFilter ref="A1:AY236" xr:uid="{CD385A71-4D7D-4EC4-B876-B98119FAFD24}">
    <filterColumn colId="1">
      <customFilters>
        <customFilter operator="notEqual" val=" "/>
      </customFilters>
    </filterColumn>
    <filterColumn colId="35">
      <filters>
        <filter val="100000"/>
        <filter val="1009000"/>
        <filter val="1033000"/>
        <filter val="1054000"/>
        <filter val="1088000"/>
        <filter val="150000"/>
        <filter val="173664"/>
        <filter val="200000"/>
        <filter val="205800"/>
        <filter val="222000"/>
        <filter val="300000"/>
        <filter val="358000"/>
        <filter val="362000"/>
        <filter val="408135"/>
        <filter val="55000"/>
        <filter val="821000"/>
        <filter val="887000"/>
        <filter val="991000"/>
      </filters>
    </filterColumn>
    <sortState xmlns:xlrd2="http://schemas.microsoft.com/office/spreadsheetml/2017/richdata2" ref="A2:AY237">
      <sortCondition ref="D1"/>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72106-1F35-4FF6-832F-9D17685E58BF}">
  <dimension ref="A1:S99"/>
  <sheetViews>
    <sheetView workbookViewId="0">
      <selection activeCell="D3" sqref="D3:E8"/>
    </sheetView>
  </sheetViews>
  <sheetFormatPr defaultRowHeight="14.5" x14ac:dyDescent="0.35"/>
  <cols>
    <col min="1" max="1" width="20.26953125" customWidth="1"/>
    <col min="2" max="2" width="22.90625" bestFit="1" customWidth="1"/>
    <col min="3" max="3" width="11.1796875" customWidth="1"/>
    <col min="4" max="4" width="12.7265625" customWidth="1"/>
    <col min="5" max="5" width="22.453125" customWidth="1"/>
    <col min="6" max="6" width="12.7265625" customWidth="1"/>
    <col min="7" max="7" width="20.81640625" customWidth="1"/>
    <col min="8" max="10" width="12.7265625" customWidth="1"/>
    <col min="11" max="11" width="12.90625" customWidth="1"/>
    <col min="12" max="12" width="12.7265625" customWidth="1"/>
    <col min="13" max="13" width="7.26953125" customWidth="1"/>
    <col min="14" max="18" width="12.90625" customWidth="1"/>
    <col min="19" max="19" width="10.90625" customWidth="1"/>
  </cols>
  <sheetData>
    <row r="1" spans="1:18" s="9" customFormat="1" x14ac:dyDescent="0.35">
      <c r="A1" s="52" t="s">
        <v>717</v>
      </c>
    </row>
    <row r="2" spans="1:18" ht="15" thickBot="1" x14ac:dyDescent="0.4">
      <c r="A2" s="92" t="s">
        <v>627</v>
      </c>
      <c r="B2" s="93"/>
      <c r="C2" s="93"/>
      <c r="D2" s="93"/>
      <c r="E2" s="93"/>
      <c r="F2" s="93"/>
      <c r="G2" s="93"/>
      <c r="H2" s="93"/>
    </row>
    <row r="3" spans="1:18" x14ac:dyDescent="0.35">
      <c r="D3" s="347" t="s">
        <v>710</v>
      </c>
      <c r="E3" s="347"/>
      <c r="G3" s="348" t="s">
        <v>649</v>
      </c>
      <c r="H3" s="349"/>
      <c r="I3" s="350"/>
    </row>
    <row r="4" spans="1:18" x14ac:dyDescent="0.35">
      <c r="A4" t="s">
        <v>616</v>
      </c>
      <c r="D4" s="53" t="s">
        <v>619</v>
      </c>
      <c r="E4" s="53" t="s">
        <v>620</v>
      </c>
      <c r="G4" s="53"/>
      <c r="H4" s="99" t="s">
        <v>650</v>
      </c>
      <c r="I4" s="99" t="s">
        <v>651</v>
      </c>
    </row>
    <row r="5" spans="1:18" x14ac:dyDescent="0.35">
      <c r="A5" t="s">
        <v>617</v>
      </c>
      <c r="D5" s="53" t="s">
        <v>621</v>
      </c>
      <c r="E5" s="53" t="s">
        <v>622</v>
      </c>
      <c r="G5" s="53" t="s">
        <v>655</v>
      </c>
      <c r="H5" s="124">
        <f>SUM(F25:F30)</f>
        <v>2658.1</v>
      </c>
      <c r="I5" s="124">
        <f>SUM(F25:F50)</f>
        <v>13290.5</v>
      </c>
    </row>
    <row r="6" spans="1:18" x14ac:dyDescent="0.35">
      <c r="A6" s="88" t="s">
        <v>618</v>
      </c>
      <c r="D6" s="53" t="s">
        <v>0</v>
      </c>
      <c r="E6" s="73" t="s">
        <v>624</v>
      </c>
      <c r="G6" s="53" t="s">
        <v>656</v>
      </c>
      <c r="H6" s="124">
        <f>L30</f>
        <v>1357.03</v>
      </c>
      <c r="I6" s="124">
        <f>L50</f>
        <v>6645.25</v>
      </c>
    </row>
    <row r="7" spans="1:18" x14ac:dyDescent="0.35">
      <c r="D7" s="53" t="s">
        <v>625</v>
      </c>
      <c r="E7" s="53" t="s">
        <v>626</v>
      </c>
      <c r="G7" s="53" t="s">
        <v>657</v>
      </c>
      <c r="H7" s="124">
        <f>R30</f>
        <v>3576.5</v>
      </c>
      <c r="I7" s="124">
        <f>R50</f>
        <v>17727</v>
      </c>
    </row>
    <row r="8" spans="1:18" s="9" customFormat="1" x14ac:dyDescent="0.35">
      <c r="D8" s="123" t="s">
        <v>711</v>
      </c>
      <c r="E8" s="123" t="s">
        <v>712</v>
      </c>
      <c r="G8" s="125" t="s">
        <v>713</v>
      </c>
      <c r="H8" s="124">
        <f>SUM(H5:H7)</f>
        <v>7591.63</v>
      </c>
      <c r="I8" s="124">
        <f>SUM(I5:I7)</f>
        <v>37662.75</v>
      </c>
    </row>
    <row r="9" spans="1:18" s="9" customFormat="1" x14ac:dyDescent="0.35">
      <c r="D9" s="32"/>
      <c r="E9" s="32"/>
    </row>
    <row r="10" spans="1:18" s="9" customFormat="1" x14ac:dyDescent="0.35">
      <c r="A10" s="92" t="s">
        <v>627</v>
      </c>
      <c r="B10" s="93"/>
      <c r="C10" s="93"/>
      <c r="D10" s="93"/>
      <c r="E10" s="93"/>
      <c r="F10" s="93"/>
      <c r="G10" s="93"/>
      <c r="H10" s="95"/>
      <c r="I10" s="96" t="s">
        <v>653</v>
      </c>
      <c r="J10" s="95"/>
      <c r="K10" s="95"/>
      <c r="L10" s="95"/>
      <c r="M10" s="95"/>
      <c r="N10" s="101" t="s">
        <v>660</v>
      </c>
      <c r="O10" s="100"/>
      <c r="P10" s="100"/>
      <c r="Q10" s="100"/>
      <c r="R10" s="100"/>
    </row>
    <row r="11" spans="1:18" x14ac:dyDescent="0.35">
      <c r="A11" s="52" t="s">
        <v>636</v>
      </c>
      <c r="H11" s="52" t="s">
        <v>636</v>
      </c>
    </row>
    <row r="12" spans="1:18" x14ac:dyDescent="0.35">
      <c r="A12" t="s">
        <v>637</v>
      </c>
      <c r="B12" s="9" t="s">
        <v>623</v>
      </c>
      <c r="H12" s="9" t="s">
        <v>637</v>
      </c>
      <c r="I12" s="9" t="s">
        <v>623</v>
      </c>
      <c r="N12" s="9" t="s">
        <v>637</v>
      </c>
      <c r="O12" t="s">
        <v>661</v>
      </c>
    </row>
    <row r="13" spans="1:18" x14ac:dyDescent="0.35">
      <c r="K13" t="s">
        <v>630</v>
      </c>
    </row>
    <row r="14" spans="1:18" x14ac:dyDescent="0.35">
      <c r="B14" t="s">
        <v>628</v>
      </c>
      <c r="C14">
        <v>1399</v>
      </c>
      <c r="D14" s="9" t="s">
        <v>629</v>
      </c>
      <c r="O14" s="9" t="s">
        <v>628</v>
      </c>
      <c r="P14" s="9">
        <v>311</v>
      </c>
      <c r="Q14" s="9" t="s">
        <v>629</v>
      </c>
    </row>
    <row r="15" spans="1:18" ht="14.5" customHeight="1" x14ac:dyDescent="0.35">
      <c r="C15">
        <f>C14/1000</f>
        <v>1.399</v>
      </c>
      <c r="D15" t="s">
        <v>630</v>
      </c>
      <c r="H15" s="351" t="s">
        <v>654</v>
      </c>
      <c r="I15" s="351"/>
      <c r="J15" s="351"/>
      <c r="K15" s="351"/>
      <c r="L15" s="351"/>
      <c r="M15" s="102"/>
      <c r="N15" s="102"/>
      <c r="O15" s="9"/>
      <c r="P15" s="9">
        <f>P14/1000</f>
        <v>0.311</v>
      </c>
      <c r="Q15" s="9" t="s">
        <v>630</v>
      </c>
    </row>
    <row r="16" spans="1:18" x14ac:dyDescent="0.35">
      <c r="B16" t="s">
        <v>631</v>
      </c>
      <c r="C16">
        <v>-1211</v>
      </c>
      <c r="D16" t="s">
        <v>632</v>
      </c>
      <c r="H16" s="351"/>
      <c r="I16" s="351"/>
      <c r="J16" s="351"/>
      <c r="K16" s="351"/>
      <c r="L16" s="351"/>
      <c r="M16" s="102"/>
      <c r="N16" s="102"/>
      <c r="O16" s="9" t="s">
        <v>631</v>
      </c>
      <c r="P16" s="9">
        <v>44</v>
      </c>
      <c r="Q16" s="9" t="s">
        <v>632</v>
      </c>
    </row>
    <row r="17" spans="1:18" x14ac:dyDescent="0.35">
      <c r="B17" t="s">
        <v>634</v>
      </c>
      <c r="C17">
        <v>288</v>
      </c>
      <c r="D17" t="s">
        <v>633</v>
      </c>
      <c r="H17" s="351"/>
      <c r="I17" s="351"/>
      <c r="J17" s="351"/>
      <c r="K17" s="351"/>
      <c r="L17" s="351"/>
      <c r="M17" s="102"/>
      <c r="N17" s="102"/>
      <c r="O17" s="9" t="s">
        <v>634</v>
      </c>
      <c r="P17" s="9">
        <v>231</v>
      </c>
      <c r="Q17" s="9" t="s">
        <v>633</v>
      </c>
    </row>
    <row r="18" spans="1:18" x14ac:dyDescent="0.35">
      <c r="A18" s="52" t="s">
        <v>635</v>
      </c>
      <c r="H18" s="351"/>
      <c r="I18" s="351"/>
      <c r="J18" s="351"/>
      <c r="K18" s="351"/>
      <c r="L18" s="351"/>
      <c r="M18" s="102"/>
      <c r="N18" s="102"/>
      <c r="O18" s="102"/>
      <c r="P18" s="102"/>
    </row>
    <row r="19" spans="1:18" x14ac:dyDescent="0.35">
      <c r="A19" t="s">
        <v>638</v>
      </c>
      <c r="B19">
        <v>50</v>
      </c>
      <c r="D19" s="9" t="s">
        <v>663</v>
      </c>
      <c r="E19" s="9">
        <v>20</v>
      </c>
      <c r="F19" s="9" t="s">
        <v>664</v>
      </c>
      <c r="H19" s="351"/>
      <c r="I19" s="351"/>
      <c r="J19" s="351"/>
      <c r="K19" s="351"/>
      <c r="L19" s="351"/>
      <c r="O19" t="s">
        <v>663</v>
      </c>
      <c r="P19">
        <v>20</v>
      </c>
      <c r="Q19" t="s">
        <v>664</v>
      </c>
    </row>
    <row r="20" spans="1:18" x14ac:dyDescent="0.35">
      <c r="A20" t="s">
        <v>639</v>
      </c>
      <c r="B20">
        <v>10</v>
      </c>
      <c r="H20" s="351"/>
      <c r="I20" s="351"/>
      <c r="J20" s="351"/>
      <c r="K20" s="351"/>
      <c r="L20" s="351"/>
    </row>
    <row r="21" spans="1:18" x14ac:dyDescent="0.35">
      <c r="A21" t="s">
        <v>640</v>
      </c>
      <c r="B21">
        <f>B20*B19</f>
        <v>500</v>
      </c>
      <c r="H21" s="351"/>
      <c r="I21" s="351"/>
      <c r="J21" s="351"/>
      <c r="K21" s="351"/>
      <c r="L21" s="351"/>
    </row>
    <row r="23" spans="1:18" x14ac:dyDescent="0.35">
      <c r="A23" t="s">
        <v>641</v>
      </c>
      <c r="C23" s="92" t="s">
        <v>627</v>
      </c>
      <c r="D23" s="93"/>
      <c r="E23" s="93"/>
      <c r="F23" s="93"/>
      <c r="G23" s="93"/>
      <c r="H23" s="96" t="s">
        <v>653</v>
      </c>
      <c r="I23" s="95"/>
      <c r="J23" s="95"/>
      <c r="K23" s="95"/>
      <c r="L23" s="95"/>
      <c r="N23" s="101" t="s">
        <v>660</v>
      </c>
      <c r="O23" s="100"/>
      <c r="P23" s="100"/>
      <c r="Q23" s="100"/>
      <c r="R23" s="100"/>
    </row>
    <row r="24" spans="1:18" s="10" customFormat="1" ht="116" x14ac:dyDescent="0.35">
      <c r="A24" s="94" t="s">
        <v>643</v>
      </c>
      <c r="B24" s="94" t="s">
        <v>642</v>
      </c>
      <c r="C24" s="94" t="s">
        <v>638</v>
      </c>
      <c r="D24" s="94" t="s">
        <v>644</v>
      </c>
      <c r="E24" s="94" t="s">
        <v>645</v>
      </c>
      <c r="F24" s="94" t="s">
        <v>647</v>
      </c>
      <c r="G24" s="94" t="s">
        <v>648</v>
      </c>
      <c r="H24" s="94" t="s">
        <v>638</v>
      </c>
      <c r="I24" s="94" t="s">
        <v>644</v>
      </c>
      <c r="J24" s="94" t="s">
        <v>645</v>
      </c>
      <c r="K24" s="94" t="s">
        <v>647</v>
      </c>
      <c r="L24" s="94" t="s">
        <v>648</v>
      </c>
      <c r="M24" s="94" t="s">
        <v>643</v>
      </c>
      <c r="N24" s="94" t="s">
        <v>658</v>
      </c>
      <c r="O24" s="10" t="s">
        <v>659</v>
      </c>
      <c r="P24" s="94" t="s">
        <v>662</v>
      </c>
      <c r="Q24" s="94" t="s">
        <v>647</v>
      </c>
      <c r="R24" s="94" t="s">
        <v>648</v>
      </c>
    </row>
    <row r="25" spans="1:18" x14ac:dyDescent="0.35">
      <c r="A25">
        <v>1</v>
      </c>
      <c r="B25">
        <v>2025</v>
      </c>
      <c r="C25">
        <v>0</v>
      </c>
      <c r="D25">
        <v>0</v>
      </c>
      <c r="E25">
        <f>D25*10</f>
        <v>0</v>
      </c>
      <c r="F25">
        <f>E25*$C$15</f>
        <v>0</v>
      </c>
      <c r="G25" s="97">
        <v>0</v>
      </c>
      <c r="H25">
        <v>0</v>
      </c>
      <c r="I25">
        <v>0</v>
      </c>
      <c r="J25">
        <v>0</v>
      </c>
      <c r="K25">
        <v>0</v>
      </c>
      <c r="L25">
        <v>0</v>
      </c>
      <c r="M25" s="9">
        <v>1</v>
      </c>
      <c r="N25">
        <v>0</v>
      </c>
      <c r="O25">
        <v>0</v>
      </c>
      <c r="P25">
        <v>0</v>
      </c>
      <c r="Q25">
        <v>0</v>
      </c>
      <c r="R25">
        <v>0</v>
      </c>
    </row>
    <row r="26" spans="1:18" x14ac:dyDescent="0.35">
      <c r="A26">
        <v>2</v>
      </c>
      <c r="B26">
        <v>2026</v>
      </c>
      <c r="C26">
        <v>10</v>
      </c>
      <c r="D26">
        <f>C26+D25</f>
        <v>10</v>
      </c>
      <c r="E26" s="9">
        <f t="shared" ref="E26:E44" si="0">D26*10</f>
        <v>100</v>
      </c>
      <c r="F26" s="9">
        <f t="shared" ref="F26:F50" si="1">E26*$C$15</f>
        <v>139.9</v>
      </c>
      <c r="G26" s="97">
        <f>F26</f>
        <v>139.9</v>
      </c>
      <c r="H26">
        <v>6</v>
      </c>
      <c r="I26" s="9">
        <f>H26+I25</f>
        <v>6</v>
      </c>
      <c r="J26" s="9">
        <f t="shared" ref="J26:J44" si="2">I26*10</f>
        <v>60</v>
      </c>
      <c r="K26" s="9">
        <f t="shared" ref="K26:K50" si="3">J26*$C$15</f>
        <v>83.94</v>
      </c>
      <c r="L26" s="9">
        <f>K26</f>
        <v>83.94</v>
      </c>
      <c r="M26" s="9">
        <v>2</v>
      </c>
      <c r="N26">
        <v>50</v>
      </c>
      <c r="O26" s="9">
        <f>N26+O25</f>
        <v>50</v>
      </c>
      <c r="P26" s="9">
        <f t="shared" ref="P26:P44" si="4">O26*10</f>
        <v>500</v>
      </c>
      <c r="Q26" s="9">
        <f>P26*$P$15</f>
        <v>155.5</v>
      </c>
      <c r="R26" s="97">
        <f>Q26</f>
        <v>155.5</v>
      </c>
    </row>
    <row r="27" spans="1:18" x14ac:dyDescent="0.35">
      <c r="A27" s="9">
        <v>3</v>
      </c>
      <c r="B27" s="9">
        <v>2027</v>
      </c>
      <c r="C27">
        <v>20</v>
      </c>
      <c r="D27" s="9">
        <f t="shared" ref="D27:D50" si="5">C27+D26</f>
        <v>30</v>
      </c>
      <c r="E27" s="9">
        <f t="shared" si="0"/>
        <v>300</v>
      </c>
      <c r="F27" s="9">
        <f t="shared" si="1"/>
        <v>419.7</v>
      </c>
      <c r="G27" s="97">
        <f>G26+F27</f>
        <v>559.6</v>
      </c>
      <c r="H27">
        <v>10</v>
      </c>
      <c r="I27" s="9">
        <f t="shared" ref="I27:I50" si="6">H27+I26</f>
        <v>16</v>
      </c>
      <c r="J27" s="9">
        <f t="shared" si="2"/>
        <v>160</v>
      </c>
      <c r="K27" s="9">
        <f t="shared" si="3"/>
        <v>223.84</v>
      </c>
      <c r="L27" s="97">
        <f>L26+K27</f>
        <v>307.77999999999997</v>
      </c>
      <c r="M27" s="9">
        <v>3</v>
      </c>
      <c r="N27">
        <v>150</v>
      </c>
      <c r="O27" s="9">
        <f t="shared" ref="O27:O50" si="7">N27+O26</f>
        <v>200</v>
      </c>
      <c r="P27" s="9">
        <f t="shared" si="4"/>
        <v>2000</v>
      </c>
      <c r="Q27" s="9">
        <f t="shared" ref="Q27:Q50" si="8">P27*$P$15</f>
        <v>622</v>
      </c>
      <c r="R27" s="97">
        <f>R26+Q27</f>
        <v>777.5</v>
      </c>
    </row>
    <row r="28" spans="1:18" x14ac:dyDescent="0.35">
      <c r="A28" s="9">
        <v>4</v>
      </c>
      <c r="B28" s="9">
        <v>2028</v>
      </c>
      <c r="C28">
        <v>20</v>
      </c>
      <c r="D28" s="9">
        <f t="shared" si="5"/>
        <v>50</v>
      </c>
      <c r="E28" s="9">
        <f t="shared" si="0"/>
        <v>500</v>
      </c>
      <c r="F28" s="9">
        <f t="shared" si="1"/>
        <v>699.5</v>
      </c>
      <c r="G28" s="97">
        <f t="shared" ref="G28:G50" si="9">G27+F28</f>
        <v>1259.0999999999999</v>
      </c>
      <c r="H28">
        <v>9</v>
      </c>
      <c r="I28" s="9">
        <f t="shared" si="6"/>
        <v>25</v>
      </c>
      <c r="J28" s="9">
        <f t="shared" si="2"/>
        <v>250</v>
      </c>
      <c r="K28" s="9">
        <f t="shared" si="3"/>
        <v>349.75</v>
      </c>
      <c r="L28" s="97">
        <f t="shared" ref="L28:L50" si="10">L27+K28</f>
        <v>657.53</v>
      </c>
      <c r="M28" s="9">
        <v>4</v>
      </c>
      <c r="N28">
        <v>100</v>
      </c>
      <c r="O28" s="9">
        <f t="shared" si="7"/>
        <v>300</v>
      </c>
      <c r="P28" s="9">
        <f t="shared" si="4"/>
        <v>3000</v>
      </c>
      <c r="Q28" s="9">
        <f t="shared" si="8"/>
        <v>933</v>
      </c>
      <c r="R28" s="97">
        <f t="shared" ref="R28:R50" si="11">R27+Q28</f>
        <v>1710.5</v>
      </c>
    </row>
    <row r="29" spans="1:18" ht="15" thickBot="1" x14ac:dyDescent="0.4">
      <c r="A29" s="9">
        <v>5</v>
      </c>
      <c r="B29" s="9">
        <v>2029</v>
      </c>
      <c r="C29">
        <v>0</v>
      </c>
      <c r="D29" s="9">
        <f t="shared" si="5"/>
        <v>50</v>
      </c>
      <c r="E29" s="9">
        <f t="shared" si="0"/>
        <v>500</v>
      </c>
      <c r="F29" s="9">
        <f t="shared" si="1"/>
        <v>699.5</v>
      </c>
      <c r="G29" s="97">
        <f t="shared" si="9"/>
        <v>1958.6</v>
      </c>
      <c r="H29">
        <v>0</v>
      </c>
      <c r="I29" s="9">
        <f t="shared" si="6"/>
        <v>25</v>
      </c>
      <c r="J29" s="9">
        <f t="shared" si="2"/>
        <v>250</v>
      </c>
      <c r="K29" s="9">
        <f t="shared" si="3"/>
        <v>349.75</v>
      </c>
      <c r="L29" s="97">
        <f t="shared" si="10"/>
        <v>1007.28</v>
      </c>
      <c r="M29" s="9">
        <v>5</v>
      </c>
      <c r="N29">
        <v>0</v>
      </c>
      <c r="O29" s="9">
        <f t="shared" si="7"/>
        <v>300</v>
      </c>
      <c r="P29" s="9">
        <f t="shared" si="4"/>
        <v>3000</v>
      </c>
      <c r="Q29" s="9">
        <f t="shared" si="8"/>
        <v>933</v>
      </c>
      <c r="R29" s="97">
        <f t="shared" si="11"/>
        <v>2643.5</v>
      </c>
    </row>
    <row r="30" spans="1:18" ht="15" thickBot="1" x14ac:dyDescent="0.4">
      <c r="A30" s="9">
        <v>6</v>
      </c>
      <c r="B30" s="9">
        <v>2030</v>
      </c>
      <c r="D30" s="9">
        <f t="shared" si="5"/>
        <v>50</v>
      </c>
      <c r="E30" s="9">
        <f t="shared" si="0"/>
        <v>500</v>
      </c>
      <c r="F30" s="9">
        <f t="shared" si="1"/>
        <v>699.5</v>
      </c>
      <c r="G30" s="98">
        <f t="shared" si="9"/>
        <v>2658.1</v>
      </c>
      <c r="I30" s="9">
        <f t="shared" si="6"/>
        <v>25</v>
      </c>
      <c r="J30" s="9">
        <f t="shared" si="2"/>
        <v>250</v>
      </c>
      <c r="K30" s="9">
        <f t="shared" si="3"/>
        <v>349.75</v>
      </c>
      <c r="L30" s="98">
        <f t="shared" si="10"/>
        <v>1357.03</v>
      </c>
      <c r="M30" s="9">
        <v>6</v>
      </c>
      <c r="O30" s="9">
        <f t="shared" si="7"/>
        <v>300</v>
      </c>
      <c r="P30" s="9">
        <f t="shared" si="4"/>
        <v>3000</v>
      </c>
      <c r="Q30" s="9">
        <f t="shared" si="8"/>
        <v>933</v>
      </c>
      <c r="R30" s="98">
        <f t="shared" si="11"/>
        <v>3576.5</v>
      </c>
    </row>
    <row r="31" spans="1:18" x14ac:dyDescent="0.35">
      <c r="A31" s="9">
        <v>7</v>
      </c>
      <c r="B31" s="9">
        <v>2031</v>
      </c>
      <c r="D31" s="9">
        <f t="shared" si="5"/>
        <v>50</v>
      </c>
      <c r="E31" s="9">
        <f t="shared" si="0"/>
        <v>500</v>
      </c>
      <c r="F31" s="9">
        <f t="shared" si="1"/>
        <v>699.5</v>
      </c>
      <c r="G31" s="97">
        <f t="shared" si="9"/>
        <v>3357.6</v>
      </c>
      <c r="I31" s="9">
        <f t="shared" si="6"/>
        <v>25</v>
      </c>
      <c r="J31" s="9">
        <f t="shared" si="2"/>
        <v>250</v>
      </c>
      <c r="K31" s="9">
        <f t="shared" si="3"/>
        <v>349.75</v>
      </c>
      <c r="L31" s="97">
        <f t="shared" si="10"/>
        <v>1706.78</v>
      </c>
      <c r="M31" s="9">
        <v>7</v>
      </c>
      <c r="O31" s="9">
        <f t="shared" si="7"/>
        <v>300</v>
      </c>
      <c r="P31" s="9">
        <f t="shared" si="4"/>
        <v>3000</v>
      </c>
      <c r="Q31" s="9">
        <f t="shared" si="8"/>
        <v>933</v>
      </c>
      <c r="R31" s="97">
        <f t="shared" si="11"/>
        <v>4509.5</v>
      </c>
    </row>
    <row r="32" spans="1:18" x14ac:dyDescent="0.35">
      <c r="A32" s="9">
        <v>8</v>
      </c>
      <c r="B32" s="9">
        <v>2032</v>
      </c>
      <c r="D32" s="9">
        <f t="shared" si="5"/>
        <v>50</v>
      </c>
      <c r="E32" s="9">
        <f t="shared" si="0"/>
        <v>500</v>
      </c>
      <c r="F32" s="9">
        <f t="shared" si="1"/>
        <v>699.5</v>
      </c>
      <c r="G32" s="97">
        <f t="shared" si="9"/>
        <v>4057.1</v>
      </c>
      <c r="I32" s="9">
        <f t="shared" si="6"/>
        <v>25</v>
      </c>
      <c r="J32" s="9">
        <f t="shared" si="2"/>
        <v>250</v>
      </c>
      <c r="K32" s="9">
        <f t="shared" si="3"/>
        <v>349.75</v>
      </c>
      <c r="L32" s="97">
        <f t="shared" si="10"/>
        <v>2056.5299999999997</v>
      </c>
      <c r="M32" s="9">
        <v>8</v>
      </c>
      <c r="O32" s="9">
        <f t="shared" si="7"/>
        <v>300</v>
      </c>
      <c r="P32" s="9">
        <f t="shared" si="4"/>
        <v>3000</v>
      </c>
      <c r="Q32" s="9">
        <f t="shared" si="8"/>
        <v>933</v>
      </c>
      <c r="R32" s="97">
        <f t="shared" si="11"/>
        <v>5442.5</v>
      </c>
    </row>
    <row r="33" spans="1:19" x14ac:dyDescent="0.35">
      <c r="A33" s="9">
        <v>9</v>
      </c>
      <c r="B33" s="9">
        <v>2033</v>
      </c>
      <c r="D33" s="9">
        <f t="shared" si="5"/>
        <v>50</v>
      </c>
      <c r="E33" s="9">
        <f t="shared" si="0"/>
        <v>500</v>
      </c>
      <c r="F33" s="9">
        <f t="shared" si="1"/>
        <v>699.5</v>
      </c>
      <c r="G33" s="97">
        <f t="shared" si="9"/>
        <v>4756.6000000000004</v>
      </c>
      <c r="I33" s="9">
        <f t="shared" si="6"/>
        <v>25</v>
      </c>
      <c r="J33" s="9">
        <f t="shared" si="2"/>
        <v>250</v>
      </c>
      <c r="K33" s="9">
        <f t="shared" si="3"/>
        <v>349.75</v>
      </c>
      <c r="L33" s="97">
        <f t="shared" si="10"/>
        <v>2406.2799999999997</v>
      </c>
      <c r="M33" s="9">
        <v>9</v>
      </c>
      <c r="O33" s="9">
        <f t="shared" si="7"/>
        <v>300</v>
      </c>
      <c r="P33" s="9">
        <f t="shared" si="4"/>
        <v>3000</v>
      </c>
      <c r="Q33" s="9">
        <f t="shared" si="8"/>
        <v>933</v>
      </c>
      <c r="R33" s="97">
        <f t="shared" si="11"/>
        <v>6375.5</v>
      </c>
    </row>
    <row r="34" spans="1:19" x14ac:dyDescent="0.35">
      <c r="A34" s="9">
        <v>10</v>
      </c>
      <c r="B34" s="9">
        <v>2034</v>
      </c>
      <c r="D34" s="9">
        <f t="shared" si="5"/>
        <v>50</v>
      </c>
      <c r="E34" s="9">
        <f t="shared" si="0"/>
        <v>500</v>
      </c>
      <c r="F34" s="9">
        <f t="shared" si="1"/>
        <v>699.5</v>
      </c>
      <c r="G34" s="97">
        <f t="shared" si="9"/>
        <v>5456.1</v>
      </c>
      <c r="I34" s="9">
        <f t="shared" si="6"/>
        <v>25</v>
      </c>
      <c r="J34" s="9">
        <f t="shared" si="2"/>
        <v>250</v>
      </c>
      <c r="K34" s="9">
        <f t="shared" si="3"/>
        <v>349.75</v>
      </c>
      <c r="L34" s="97">
        <f t="shared" si="10"/>
        <v>2756.0299999999997</v>
      </c>
      <c r="M34" s="9">
        <v>10</v>
      </c>
      <c r="O34" s="9">
        <f t="shared" si="7"/>
        <v>300</v>
      </c>
      <c r="P34" s="9">
        <f t="shared" si="4"/>
        <v>3000</v>
      </c>
      <c r="Q34" s="9">
        <f t="shared" si="8"/>
        <v>933</v>
      </c>
      <c r="R34" s="97">
        <f t="shared" si="11"/>
        <v>7308.5</v>
      </c>
    </row>
    <row r="35" spans="1:19" x14ac:dyDescent="0.35">
      <c r="A35" s="9">
        <v>11</v>
      </c>
      <c r="B35" s="9">
        <v>2035</v>
      </c>
      <c r="D35" s="9">
        <f t="shared" si="5"/>
        <v>50</v>
      </c>
      <c r="E35" s="9">
        <f t="shared" si="0"/>
        <v>500</v>
      </c>
      <c r="F35" s="9">
        <f t="shared" si="1"/>
        <v>699.5</v>
      </c>
      <c r="G35" s="97">
        <f t="shared" si="9"/>
        <v>6155.6</v>
      </c>
      <c r="I35" s="9">
        <f t="shared" si="6"/>
        <v>25</v>
      </c>
      <c r="J35" s="9">
        <f t="shared" si="2"/>
        <v>250</v>
      </c>
      <c r="K35" s="9">
        <f t="shared" si="3"/>
        <v>349.75</v>
      </c>
      <c r="L35" s="97">
        <f t="shared" si="10"/>
        <v>3105.7799999999997</v>
      </c>
      <c r="M35" s="9">
        <v>11</v>
      </c>
      <c r="O35" s="9">
        <f t="shared" si="7"/>
        <v>300</v>
      </c>
      <c r="P35" s="9">
        <f t="shared" si="4"/>
        <v>3000</v>
      </c>
      <c r="Q35" s="9">
        <f t="shared" si="8"/>
        <v>933</v>
      </c>
      <c r="R35" s="97">
        <f t="shared" si="11"/>
        <v>8241.5</v>
      </c>
    </row>
    <row r="36" spans="1:19" x14ac:dyDescent="0.35">
      <c r="A36" s="9">
        <v>12</v>
      </c>
      <c r="B36" s="9">
        <v>2036</v>
      </c>
      <c r="D36" s="9">
        <f t="shared" si="5"/>
        <v>50</v>
      </c>
      <c r="E36" s="9">
        <f t="shared" si="0"/>
        <v>500</v>
      </c>
      <c r="F36" s="9">
        <f t="shared" si="1"/>
        <v>699.5</v>
      </c>
      <c r="G36" s="97">
        <f t="shared" si="9"/>
        <v>6855.1</v>
      </c>
      <c r="I36" s="9">
        <f t="shared" si="6"/>
        <v>25</v>
      </c>
      <c r="J36" s="9">
        <f t="shared" si="2"/>
        <v>250</v>
      </c>
      <c r="K36" s="9">
        <f t="shared" si="3"/>
        <v>349.75</v>
      </c>
      <c r="L36" s="97">
        <f t="shared" si="10"/>
        <v>3455.5299999999997</v>
      </c>
      <c r="M36" s="9">
        <v>12</v>
      </c>
      <c r="O36" s="9">
        <f t="shared" si="7"/>
        <v>300</v>
      </c>
      <c r="P36" s="9">
        <f t="shared" si="4"/>
        <v>3000</v>
      </c>
      <c r="Q36" s="9">
        <f t="shared" si="8"/>
        <v>933</v>
      </c>
      <c r="R36" s="97">
        <f t="shared" si="11"/>
        <v>9174.5</v>
      </c>
    </row>
    <row r="37" spans="1:19" x14ac:dyDescent="0.35">
      <c r="A37" s="9">
        <v>13</v>
      </c>
      <c r="B37" s="9">
        <v>2037</v>
      </c>
      <c r="D37" s="9">
        <f t="shared" si="5"/>
        <v>50</v>
      </c>
      <c r="E37" s="9">
        <f t="shared" si="0"/>
        <v>500</v>
      </c>
      <c r="F37" s="9">
        <f t="shared" si="1"/>
        <v>699.5</v>
      </c>
      <c r="G37" s="97">
        <f t="shared" si="9"/>
        <v>7554.6</v>
      </c>
      <c r="I37" s="9">
        <f t="shared" si="6"/>
        <v>25</v>
      </c>
      <c r="J37" s="9">
        <f t="shared" si="2"/>
        <v>250</v>
      </c>
      <c r="K37" s="9">
        <f t="shared" si="3"/>
        <v>349.75</v>
      </c>
      <c r="L37" s="97">
        <f t="shared" si="10"/>
        <v>3805.2799999999997</v>
      </c>
      <c r="M37" s="9">
        <v>13</v>
      </c>
      <c r="O37" s="9">
        <f t="shared" si="7"/>
        <v>300</v>
      </c>
      <c r="P37" s="9">
        <f t="shared" si="4"/>
        <v>3000</v>
      </c>
      <c r="Q37" s="9">
        <f t="shared" si="8"/>
        <v>933</v>
      </c>
      <c r="R37" s="97">
        <f t="shared" si="11"/>
        <v>10107.5</v>
      </c>
    </row>
    <row r="38" spans="1:19" x14ac:dyDescent="0.35">
      <c r="A38" s="9">
        <v>14</v>
      </c>
      <c r="B38" s="9">
        <v>2038</v>
      </c>
      <c r="D38" s="9">
        <f t="shared" si="5"/>
        <v>50</v>
      </c>
      <c r="E38" s="9">
        <f t="shared" si="0"/>
        <v>500</v>
      </c>
      <c r="F38" s="9">
        <f t="shared" si="1"/>
        <v>699.5</v>
      </c>
      <c r="G38" s="97">
        <f t="shared" si="9"/>
        <v>8254.1</v>
      </c>
      <c r="I38" s="9">
        <f t="shared" si="6"/>
        <v>25</v>
      </c>
      <c r="J38" s="9">
        <f t="shared" si="2"/>
        <v>250</v>
      </c>
      <c r="K38" s="9">
        <f t="shared" si="3"/>
        <v>349.75</v>
      </c>
      <c r="L38" s="97">
        <f t="shared" si="10"/>
        <v>4155.03</v>
      </c>
      <c r="M38" s="9">
        <v>14</v>
      </c>
      <c r="O38" s="9">
        <f t="shared" si="7"/>
        <v>300</v>
      </c>
      <c r="P38" s="9">
        <f t="shared" si="4"/>
        <v>3000</v>
      </c>
      <c r="Q38" s="9">
        <f t="shared" si="8"/>
        <v>933</v>
      </c>
      <c r="R38" s="97">
        <f t="shared" si="11"/>
        <v>11040.5</v>
      </c>
    </row>
    <row r="39" spans="1:19" x14ac:dyDescent="0.35">
      <c r="A39" s="9">
        <v>15</v>
      </c>
      <c r="B39" s="9">
        <v>2039</v>
      </c>
      <c r="D39" s="9">
        <f t="shared" si="5"/>
        <v>50</v>
      </c>
      <c r="E39" s="9">
        <f t="shared" si="0"/>
        <v>500</v>
      </c>
      <c r="F39" s="9">
        <f t="shared" si="1"/>
        <v>699.5</v>
      </c>
      <c r="G39" s="97">
        <f t="shared" si="9"/>
        <v>8953.6</v>
      </c>
      <c r="I39" s="9">
        <f t="shared" si="6"/>
        <v>25</v>
      </c>
      <c r="J39" s="9">
        <f t="shared" si="2"/>
        <v>250</v>
      </c>
      <c r="K39" s="9">
        <f t="shared" si="3"/>
        <v>349.75</v>
      </c>
      <c r="L39" s="97">
        <f t="shared" si="10"/>
        <v>4504.78</v>
      </c>
      <c r="M39" s="9">
        <v>15</v>
      </c>
      <c r="O39" s="9">
        <f t="shared" si="7"/>
        <v>300</v>
      </c>
      <c r="P39" s="9">
        <f t="shared" si="4"/>
        <v>3000</v>
      </c>
      <c r="Q39" s="9">
        <f t="shared" si="8"/>
        <v>933</v>
      </c>
      <c r="R39" s="97">
        <f t="shared" si="11"/>
        <v>11973.5</v>
      </c>
    </row>
    <row r="40" spans="1:19" x14ac:dyDescent="0.35">
      <c r="A40" s="9">
        <v>16</v>
      </c>
      <c r="B40" s="9">
        <v>2040</v>
      </c>
      <c r="D40" s="9">
        <f t="shared" si="5"/>
        <v>50</v>
      </c>
      <c r="E40" s="9">
        <f t="shared" si="0"/>
        <v>500</v>
      </c>
      <c r="F40" s="9">
        <f t="shared" si="1"/>
        <v>699.5</v>
      </c>
      <c r="G40" s="97">
        <f t="shared" si="9"/>
        <v>9653.1</v>
      </c>
      <c r="I40" s="9">
        <f t="shared" si="6"/>
        <v>25</v>
      </c>
      <c r="J40" s="9">
        <f t="shared" si="2"/>
        <v>250</v>
      </c>
      <c r="K40" s="9">
        <f t="shared" si="3"/>
        <v>349.75</v>
      </c>
      <c r="L40" s="97">
        <f t="shared" si="10"/>
        <v>4854.53</v>
      </c>
      <c r="M40" s="9">
        <v>16</v>
      </c>
      <c r="O40" s="9">
        <f t="shared" si="7"/>
        <v>300</v>
      </c>
      <c r="P40" s="9">
        <f t="shared" si="4"/>
        <v>3000</v>
      </c>
      <c r="Q40" s="9">
        <f t="shared" si="8"/>
        <v>933</v>
      </c>
      <c r="R40" s="97">
        <f t="shared" si="11"/>
        <v>12906.5</v>
      </c>
    </row>
    <row r="41" spans="1:19" x14ac:dyDescent="0.35">
      <c r="A41" s="9">
        <v>17</v>
      </c>
      <c r="B41" s="9">
        <v>2041</v>
      </c>
      <c r="D41" s="9">
        <f t="shared" si="5"/>
        <v>50</v>
      </c>
      <c r="E41" s="9">
        <f t="shared" si="0"/>
        <v>500</v>
      </c>
      <c r="F41" s="9">
        <f t="shared" si="1"/>
        <v>699.5</v>
      </c>
      <c r="G41" s="97">
        <f t="shared" si="9"/>
        <v>10352.6</v>
      </c>
      <c r="I41" s="9">
        <f t="shared" si="6"/>
        <v>25</v>
      </c>
      <c r="J41" s="9">
        <f t="shared" si="2"/>
        <v>250</v>
      </c>
      <c r="K41" s="9">
        <f t="shared" si="3"/>
        <v>349.75</v>
      </c>
      <c r="L41" s="97">
        <f t="shared" si="10"/>
        <v>5204.28</v>
      </c>
      <c r="M41" s="9">
        <v>17</v>
      </c>
      <c r="O41" s="9">
        <f t="shared" si="7"/>
        <v>300</v>
      </c>
      <c r="P41" s="9">
        <f t="shared" si="4"/>
        <v>3000</v>
      </c>
      <c r="Q41" s="9">
        <f t="shared" si="8"/>
        <v>933</v>
      </c>
      <c r="R41" s="97">
        <f t="shared" si="11"/>
        <v>13839.5</v>
      </c>
    </row>
    <row r="42" spans="1:19" x14ac:dyDescent="0.35">
      <c r="A42" s="9">
        <v>18</v>
      </c>
      <c r="B42" s="9">
        <v>2042</v>
      </c>
      <c r="D42" s="9">
        <f t="shared" si="5"/>
        <v>50</v>
      </c>
      <c r="E42" s="9">
        <f t="shared" si="0"/>
        <v>500</v>
      </c>
      <c r="F42" s="9">
        <f t="shared" si="1"/>
        <v>699.5</v>
      </c>
      <c r="G42" s="97">
        <f t="shared" si="9"/>
        <v>11052.1</v>
      </c>
      <c r="I42" s="9">
        <f t="shared" si="6"/>
        <v>25</v>
      </c>
      <c r="J42" s="9">
        <f t="shared" si="2"/>
        <v>250</v>
      </c>
      <c r="K42" s="9">
        <f t="shared" si="3"/>
        <v>349.75</v>
      </c>
      <c r="L42" s="97">
        <f t="shared" si="10"/>
        <v>5554.03</v>
      </c>
      <c r="M42" s="9">
        <v>18</v>
      </c>
      <c r="O42" s="9">
        <f t="shared" si="7"/>
        <v>300</v>
      </c>
      <c r="P42" s="9">
        <f t="shared" si="4"/>
        <v>3000</v>
      </c>
      <c r="Q42" s="9">
        <f t="shared" si="8"/>
        <v>933</v>
      </c>
      <c r="R42" s="97">
        <f t="shared" si="11"/>
        <v>14772.5</v>
      </c>
    </row>
    <row r="43" spans="1:19" x14ac:dyDescent="0.35">
      <c r="A43" s="9">
        <v>19</v>
      </c>
      <c r="B43" s="9">
        <v>2043</v>
      </c>
      <c r="D43" s="9">
        <f t="shared" si="5"/>
        <v>50</v>
      </c>
      <c r="E43" s="9">
        <f t="shared" si="0"/>
        <v>500</v>
      </c>
      <c r="F43" s="9">
        <f t="shared" si="1"/>
        <v>699.5</v>
      </c>
      <c r="G43" s="97">
        <f t="shared" si="9"/>
        <v>11751.6</v>
      </c>
      <c r="I43" s="9">
        <f t="shared" si="6"/>
        <v>25</v>
      </c>
      <c r="J43" s="9">
        <f t="shared" si="2"/>
        <v>250</v>
      </c>
      <c r="K43" s="9">
        <f t="shared" si="3"/>
        <v>349.75</v>
      </c>
      <c r="L43" s="97">
        <f t="shared" si="10"/>
        <v>5903.78</v>
      </c>
      <c r="M43" s="9">
        <v>19</v>
      </c>
      <c r="O43" s="9">
        <f t="shared" si="7"/>
        <v>300</v>
      </c>
      <c r="P43" s="9">
        <f t="shared" si="4"/>
        <v>3000</v>
      </c>
      <c r="Q43" s="9">
        <f t="shared" si="8"/>
        <v>933</v>
      </c>
      <c r="R43" s="97">
        <f t="shared" si="11"/>
        <v>15705.5</v>
      </c>
    </row>
    <row r="44" spans="1:19" x14ac:dyDescent="0.35">
      <c r="A44" s="9">
        <v>20</v>
      </c>
      <c r="B44" s="9">
        <v>2044</v>
      </c>
      <c r="D44" s="9">
        <f t="shared" si="5"/>
        <v>50</v>
      </c>
      <c r="E44" s="9">
        <f t="shared" si="0"/>
        <v>500</v>
      </c>
      <c r="F44" s="9">
        <f t="shared" si="1"/>
        <v>699.5</v>
      </c>
      <c r="G44" s="97">
        <f t="shared" si="9"/>
        <v>12451.1</v>
      </c>
      <c r="I44" s="9">
        <f t="shared" si="6"/>
        <v>25</v>
      </c>
      <c r="J44" s="9">
        <f t="shared" si="2"/>
        <v>250</v>
      </c>
      <c r="K44" s="9">
        <f t="shared" si="3"/>
        <v>349.75</v>
      </c>
      <c r="L44" s="97">
        <f t="shared" si="10"/>
        <v>6253.53</v>
      </c>
      <c r="M44" s="9">
        <v>20</v>
      </c>
      <c r="O44" s="9">
        <f t="shared" si="7"/>
        <v>300</v>
      </c>
      <c r="P44" s="9">
        <f t="shared" si="4"/>
        <v>3000</v>
      </c>
      <c r="Q44" s="9">
        <f t="shared" si="8"/>
        <v>933</v>
      </c>
      <c r="R44" s="97">
        <f t="shared" si="11"/>
        <v>16638.5</v>
      </c>
    </row>
    <row r="45" spans="1:19" x14ac:dyDescent="0.35">
      <c r="A45" s="9">
        <v>21</v>
      </c>
      <c r="B45" s="9">
        <v>2045</v>
      </c>
      <c r="D45" s="9">
        <f t="shared" si="5"/>
        <v>50</v>
      </c>
      <c r="E45" s="9">
        <f>(D45*10)-E26</f>
        <v>400</v>
      </c>
      <c r="F45" s="9">
        <f t="shared" si="1"/>
        <v>559.6</v>
      </c>
      <c r="G45" s="97">
        <f t="shared" si="9"/>
        <v>13010.7</v>
      </c>
      <c r="I45" s="9">
        <f t="shared" si="6"/>
        <v>25</v>
      </c>
      <c r="J45" s="9">
        <f>(I45*10)-J26</f>
        <v>190</v>
      </c>
      <c r="K45" s="9">
        <f t="shared" si="3"/>
        <v>265.81</v>
      </c>
      <c r="L45" s="97">
        <f t="shared" si="10"/>
        <v>6519.34</v>
      </c>
      <c r="M45" s="9">
        <v>21</v>
      </c>
      <c r="O45" s="9">
        <f t="shared" si="7"/>
        <v>300</v>
      </c>
      <c r="P45" s="9">
        <f>(O45*10)-P26</f>
        <v>2500</v>
      </c>
      <c r="Q45" s="9">
        <f t="shared" si="8"/>
        <v>777.5</v>
      </c>
      <c r="R45" s="97">
        <f t="shared" si="11"/>
        <v>17416</v>
      </c>
    </row>
    <row r="46" spans="1:19" x14ac:dyDescent="0.35">
      <c r="A46" s="100">
        <v>22</v>
      </c>
      <c r="B46" s="100">
        <v>2046</v>
      </c>
      <c r="C46" s="100"/>
      <c r="D46" s="100">
        <f t="shared" si="5"/>
        <v>50</v>
      </c>
      <c r="E46" s="100">
        <f t="shared" ref="E46:E50" si="12">(D46*10)-E27</f>
        <v>200</v>
      </c>
      <c r="F46" s="100">
        <f t="shared" si="1"/>
        <v>279.8</v>
      </c>
      <c r="G46" s="103">
        <f t="shared" si="9"/>
        <v>13290.5</v>
      </c>
      <c r="H46" s="100"/>
      <c r="I46" s="100">
        <f t="shared" si="6"/>
        <v>25</v>
      </c>
      <c r="J46" s="100">
        <f t="shared" ref="J46:J50" si="13">(I46*10)-J27</f>
        <v>90</v>
      </c>
      <c r="K46" s="100">
        <f t="shared" si="3"/>
        <v>125.91</v>
      </c>
      <c r="L46" s="103">
        <f t="shared" si="10"/>
        <v>6645.25</v>
      </c>
      <c r="M46" s="100">
        <v>22</v>
      </c>
      <c r="N46" s="352"/>
      <c r="O46" s="100">
        <f>N46+O45</f>
        <v>300</v>
      </c>
      <c r="P46" s="100">
        <f t="shared" ref="P46:P50" si="14">(O46*10)-P27</f>
        <v>1000</v>
      </c>
      <c r="Q46" s="100">
        <f t="shared" si="8"/>
        <v>311</v>
      </c>
      <c r="R46" s="103">
        <f t="shared" si="11"/>
        <v>17727</v>
      </c>
      <c r="S46" s="346" t="s">
        <v>665</v>
      </c>
    </row>
    <row r="47" spans="1:19" x14ac:dyDescent="0.35">
      <c r="A47" s="100">
        <v>23</v>
      </c>
      <c r="B47" s="100">
        <v>2047</v>
      </c>
      <c r="C47" s="100"/>
      <c r="D47" s="100">
        <f t="shared" si="5"/>
        <v>50</v>
      </c>
      <c r="E47" s="100">
        <f t="shared" si="12"/>
        <v>0</v>
      </c>
      <c r="F47" s="100">
        <f t="shared" si="1"/>
        <v>0</v>
      </c>
      <c r="G47" s="103">
        <f t="shared" si="9"/>
        <v>13290.5</v>
      </c>
      <c r="H47" s="100"/>
      <c r="I47" s="100">
        <f t="shared" si="6"/>
        <v>25</v>
      </c>
      <c r="J47" s="100">
        <f t="shared" si="13"/>
        <v>0</v>
      </c>
      <c r="K47" s="100">
        <f t="shared" si="3"/>
        <v>0</v>
      </c>
      <c r="L47" s="103">
        <f t="shared" si="10"/>
        <v>6645.25</v>
      </c>
      <c r="M47" s="100">
        <v>23</v>
      </c>
      <c r="N47" s="352"/>
      <c r="O47" s="100">
        <f t="shared" si="7"/>
        <v>300</v>
      </c>
      <c r="P47" s="100">
        <f t="shared" si="14"/>
        <v>0</v>
      </c>
      <c r="Q47" s="100">
        <f t="shared" si="8"/>
        <v>0</v>
      </c>
      <c r="R47" s="103">
        <f t="shared" si="11"/>
        <v>17727</v>
      </c>
      <c r="S47" s="346"/>
    </row>
    <row r="48" spans="1:19" x14ac:dyDescent="0.35">
      <c r="A48" s="100">
        <v>24</v>
      </c>
      <c r="B48" s="100">
        <v>2048</v>
      </c>
      <c r="C48" s="100"/>
      <c r="D48" s="100">
        <f t="shared" si="5"/>
        <v>50</v>
      </c>
      <c r="E48" s="100">
        <f t="shared" si="12"/>
        <v>0</v>
      </c>
      <c r="F48" s="100">
        <f t="shared" si="1"/>
        <v>0</v>
      </c>
      <c r="G48" s="103">
        <f t="shared" si="9"/>
        <v>13290.5</v>
      </c>
      <c r="H48" s="100"/>
      <c r="I48" s="100">
        <f t="shared" si="6"/>
        <v>25</v>
      </c>
      <c r="J48" s="100">
        <f t="shared" si="13"/>
        <v>0</v>
      </c>
      <c r="K48" s="100">
        <f t="shared" si="3"/>
        <v>0</v>
      </c>
      <c r="L48" s="103">
        <f t="shared" si="10"/>
        <v>6645.25</v>
      </c>
      <c r="M48" s="100">
        <v>24</v>
      </c>
      <c r="N48" s="352"/>
      <c r="O48" s="100">
        <f t="shared" si="7"/>
        <v>300</v>
      </c>
      <c r="P48" s="100">
        <f t="shared" si="14"/>
        <v>0</v>
      </c>
      <c r="Q48" s="100">
        <f t="shared" si="8"/>
        <v>0</v>
      </c>
      <c r="R48" s="103">
        <f t="shared" si="11"/>
        <v>17727</v>
      </c>
      <c r="S48" s="346"/>
    </row>
    <row r="49" spans="1:19" ht="15" thickBot="1" x14ac:dyDescent="0.4">
      <c r="A49" s="100">
        <v>25</v>
      </c>
      <c r="B49" s="100">
        <v>2049</v>
      </c>
      <c r="C49" s="100"/>
      <c r="D49" s="100">
        <f t="shared" si="5"/>
        <v>50</v>
      </c>
      <c r="E49" s="100">
        <f t="shared" si="12"/>
        <v>0</v>
      </c>
      <c r="F49" s="100">
        <f t="shared" si="1"/>
        <v>0</v>
      </c>
      <c r="G49" s="103">
        <f t="shared" si="9"/>
        <v>13290.5</v>
      </c>
      <c r="H49" s="100"/>
      <c r="I49" s="100">
        <f t="shared" si="6"/>
        <v>25</v>
      </c>
      <c r="J49" s="100">
        <f t="shared" si="13"/>
        <v>0</v>
      </c>
      <c r="K49" s="100">
        <f t="shared" si="3"/>
        <v>0</v>
      </c>
      <c r="L49" s="103">
        <f t="shared" si="10"/>
        <v>6645.25</v>
      </c>
      <c r="M49" s="100">
        <v>25</v>
      </c>
      <c r="N49" s="352"/>
      <c r="O49" s="100">
        <f t="shared" si="7"/>
        <v>300</v>
      </c>
      <c r="P49" s="100">
        <f t="shared" si="14"/>
        <v>0</v>
      </c>
      <c r="Q49" s="100">
        <f t="shared" si="8"/>
        <v>0</v>
      </c>
      <c r="R49" s="103">
        <f t="shared" si="11"/>
        <v>17727</v>
      </c>
      <c r="S49" s="346"/>
    </row>
    <row r="50" spans="1:19" ht="15" thickBot="1" x14ac:dyDescent="0.4">
      <c r="A50" s="100">
        <v>26</v>
      </c>
      <c r="B50" s="100">
        <v>2050</v>
      </c>
      <c r="C50" s="100"/>
      <c r="D50" s="100">
        <f t="shared" si="5"/>
        <v>50</v>
      </c>
      <c r="E50" s="100">
        <f t="shared" si="12"/>
        <v>0</v>
      </c>
      <c r="F50" s="100">
        <f t="shared" si="1"/>
        <v>0</v>
      </c>
      <c r="G50" s="104">
        <f t="shared" si="9"/>
        <v>13290.5</v>
      </c>
      <c r="H50" s="100"/>
      <c r="I50" s="100">
        <f t="shared" si="6"/>
        <v>25</v>
      </c>
      <c r="J50" s="100">
        <f t="shared" si="13"/>
        <v>0</v>
      </c>
      <c r="K50" s="100">
        <f t="shared" si="3"/>
        <v>0</v>
      </c>
      <c r="L50" s="104">
        <f t="shared" si="10"/>
        <v>6645.25</v>
      </c>
      <c r="M50" s="100">
        <v>26</v>
      </c>
      <c r="N50" s="352"/>
      <c r="O50" s="100">
        <f t="shared" si="7"/>
        <v>300</v>
      </c>
      <c r="P50" s="100">
        <f t="shared" si="14"/>
        <v>0</v>
      </c>
      <c r="Q50" s="100">
        <f t="shared" si="8"/>
        <v>0</v>
      </c>
      <c r="R50" s="104">
        <f t="shared" si="11"/>
        <v>17727</v>
      </c>
      <c r="S50" s="346"/>
    </row>
    <row r="51" spans="1:19" x14ac:dyDescent="0.35">
      <c r="B51" s="9"/>
    </row>
    <row r="52" spans="1:19" x14ac:dyDescent="0.35">
      <c r="B52" s="9"/>
    </row>
    <row r="53" spans="1:19" x14ac:dyDescent="0.35">
      <c r="B53" s="9"/>
    </row>
    <row r="54" spans="1:19" x14ac:dyDescent="0.35">
      <c r="B54" s="9"/>
    </row>
    <row r="55" spans="1:19" x14ac:dyDescent="0.35">
      <c r="B55" s="9"/>
    </row>
    <row r="56" spans="1:19" x14ac:dyDescent="0.35">
      <c r="B56" s="9"/>
    </row>
    <row r="57" spans="1:19" x14ac:dyDescent="0.35">
      <c r="B57" s="9"/>
    </row>
    <row r="58" spans="1:19" x14ac:dyDescent="0.35">
      <c r="B58" s="9"/>
    </row>
    <row r="59" spans="1:19" x14ac:dyDescent="0.35">
      <c r="B59" s="9"/>
    </row>
    <row r="60" spans="1:19" x14ac:dyDescent="0.35">
      <c r="B60" s="9"/>
    </row>
    <row r="61" spans="1:19" x14ac:dyDescent="0.35">
      <c r="B61" s="9"/>
    </row>
    <row r="62" spans="1:19" x14ac:dyDescent="0.35">
      <c r="B62" s="9"/>
    </row>
    <row r="63" spans="1:19" x14ac:dyDescent="0.35">
      <c r="B63" s="9"/>
    </row>
    <row r="64" spans="1:19" x14ac:dyDescent="0.35">
      <c r="B64" s="9" t="s">
        <v>646</v>
      </c>
    </row>
    <row r="65" spans="2:2" x14ac:dyDescent="0.35">
      <c r="B65" s="9"/>
    </row>
    <row r="66" spans="2:2" x14ac:dyDescent="0.35">
      <c r="B66" s="9"/>
    </row>
    <row r="67" spans="2:2" x14ac:dyDescent="0.35">
      <c r="B67" s="9"/>
    </row>
    <row r="68" spans="2:2" x14ac:dyDescent="0.35">
      <c r="B68" s="9"/>
    </row>
    <row r="69" spans="2:2" x14ac:dyDescent="0.35">
      <c r="B69" s="9"/>
    </row>
    <row r="70" spans="2:2" x14ac:dyDescent="0.35">
      <c r="B70" s="9"/>
    </row>
    <row r="71" spans="2:2" x14ac:dyDescent="0.35">
      <c r="B71" s="9"/>
    </row>
    <row r="72" spans="2:2" x14ac:dyDescent="0.35">
      <c r="B72" s="9"/>
    </row>
    <row r="73" spans="2:2" x14ac:dyDescent="0.35">
      <c r="B73" s="9"/>
    </row>
    <row r="74" spans="2:2" x14ac:dyDescent="0.35">
      <c r="B74" s="9"/>
    </row>
    <row r="75" spans="2:2" x14ac:dyDescent="0.35">
      <c r="B75" s="9"/>
    </row>
    <row r="76" spans="2:2" x14ac:dyDescent="0.35">
      <c r="B76" s="9"/>
    </row>
    <row r="77" spans="2:2" x14ac:dyDescent="0.35">
      <c r="B77" s="9"/>
    </row>
    <row r="78" spans="2:2" x14ac:dyDescent="0.35">
      <c r="B78" s="9"/>
    </row>
    <row r="79" spans="2:2" x14ac:dyDescent="0.35">
      <c r="B79" s="9"/>
    </row>
    <row r="80" spans="2:2" x14ac:dyDescent="0.35">
      <c r="B80" s="9"/>
    </row>
    <row r="81" spans="2:2" x14ac:dyDescent="0.35">
      <c r="B81" s="9"/>
    </row>
    <row r="82" spans="2:2" x14ac:dyDescent="0.35">
      <c r="B82" s="9"/>
    </row>
    <row r="83" spans="2:2" x14ac:dyDescent="0.35">
      <c r="B83" s="9"/>
    </row>
    <row r="84" spans="2:2" x14ac:dyDescent="0.35">
      <c r="B84" s="9"/>
    </row>
    <row r="85" spans="2:2" x14ac:dyDescent="0.35">
      <c r="B85" s="9"/>
    </row>
    <row r="86" spans="2:2" x14ac:dyDescent="0.35">
      <c r="B86" s="9"/>
    </row>
    <row r="87" spans="2:2" x14ac:dyDescent="0.35">
      <c r="B87" s="9"/>
    </row>
    <row r="88" spans="2:2" x14ac:dyDescent="0.35">
      <c r="B88" s="9"/>
    </row>
    <row r="89" spans="2:2" x14ac:dyDescent="0.35">
      <c r="B89" s="9"/>
    </row>
    <row r="90" spans="2:2" x14ac:dyDescent="0.35">
      <c r="B90" s="9"/>
    </row>
    <row r="91" spans="2:2" x14ac:dyDescent="0.35">
      <c r="B91" s="9"/>
    </row>
    <row r="92" spans="2:2" x14ac:dyDescent="0.35">
      <c r="B92" s="9"/>
    </row>
    <row r="93" spans="2:2" x14ac:dyDescent="0.35">
      <c r="B93" s="9"/>
    </row>
    <row r="94" spans="2:2" x14ac:dyDescent="0.35">
      <c r="B94" s="9"/>
    </row>
    <row r="95" spans="2:2" x14ac:dyDescent="0.35">
      <c r="B95" s="9"/>
    </row>
    <row r="96" spans="2:2" x14ac:dyDescent="0.35">
      <c r="B96" s="9"/>
    </row>
    <row r="97" spans="2:2" x14ac:dyDescent="0.35">
      <c r="B97" s="9"/>
    </row>
    <row r="98" spans="2:2" x14ac:dyDescent="0.35">
      <c r="B98" s="9"/>
    </row>
    <row r="99" spans="2:2" x14ac:dyDescent="0.35">
      <c r="B99" s="9"/>
    </row>
  </sheetData>
  <mergeCells count="5">
    <mergeCell ref="S46:S50"/>
    <mergeCell ref="D3:E3"/>
    <mergeCell ref="G3:I3"/>
    <mergeCell ref="H15:L21"/>
    <mergeCell ref="N46:N50"/>
  </mergeCells>
  <hyperlinks>
    <hyperlink ref="A6" r:id="rId1" display="https://public.tableau.com/app/profile/nrel.buildingstock/viz/StateLevelResidentialBuildingStockandEnergyEfficiencyElectrificationPackagesAnalysis/Introduction" xr:uid="{9A801F1E-9536-415B-88BC-D097C78030B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9EE7A-32D2-4B79-93DA-FEFF81181608}">
  <dimension ref="A1:BB75"/>
  <sheetViews>
    <sheetView topLeftCell="A15" workbookViewId="0">
      <selection activeCell="F37" sqref="F37:G38"/>
    </sheetView>
  </sheetViews>
  <sheetFormatPr defaultRowHeight="14.5" x14ac:dyDescent="0.35"/>
  <cols>
    <col min="1" max="1" width="8.7265625" style="9"/>
    <col min="2" max="2" width="26.36328125" customWidth="1"/>
    <col min="3" max="3" width="36.54296875" style="9" customWidth="1"/>
    <col min="4" max="4" width="12" style="9" customWidth="1"/>
    <col min="5" max="5" width="11.81640625" customWidth="1"/>
    <col min="6" max="6" width="19.81640625" customWidth="1"/>
    <col min="7" max="7" width="18.1796875" customWidth="1"/>
    <col min="8" max="8" width="19.54296875" customWidth="1"/>
    <col min="9" max="10" width="13.1796875" customWidth="1"/>
    <col min="11" max="11" width="31.7265625" customWidth="1"/>
    <col min="12" max="12" width="31.7265625" style="9" customWidth="1"/>
    <col min="13" max="13" width="18.36328125" style="9" bestFit="1" customWidth="1"/>
    <col min="14" max="14" width="11" style="9" bestFit="1" customWidth="1"/>
    <col min="15" max="17" width="13.90625" style="9" customWidth="1"/>
    <col min="18" max="20" width="12.1796875" customWidth="1"/>
    <col min="21" max="24" width="12.1796875" style="9" customWidth="1"/>
    <col min="25" max="34" width="10.6328125" style="9" customWidth="1"/>
    <col min="35" max="54" width="7.36328125" customWidth="1"/>
  </cols>
  <sheetData>
    <row r="1" spans="1:54" s="9" customFormat="1" x14ac:dyDescent="0.35">
      <c r="C1" s="348" t="s">
        <v>649</v>
      </c>
      <c r="D1" s="349"/>
      <c r="E1" s="350"/>
    </row>
    <row r="2" spans="1:54" s="9" customFormat="1" x14ac:dyDescent="0.35">
      <c r="B2" s="53" t="s">
        <v>701</v>
      </c>
      <c r="C2" s="53" t="s">
        <v>31</v>
      </c>
      <c r="D2" s="99" t="s">
        <v>650</v>
      </c>
      <c r="E2" s="99" t="s">
        <v>651</v>
      </c>
    </row>
    <row r="3" spans="1:54" s="9" customFormat="1" ht="43.5" x14ac:dyDescent="0.35">
      <c r="B3" s="53" t="s">
        <v>706</v>
      </c>
      <c r="C3" s="73" t="s">
        <v>702</v>
      </c>
      <c r="D3" s="126">
        <f>SUM(Z13:Z15,AB13:AB15,AD13:AD15,AF13:AF15,AH13:AH15)*Q15</f>
        <v>1021.9758110093295</v>
      </c>
      <c r="E3" s="126">
        <f>SUM(Z13:Z15,AB13:AB15,AD13:AD15,AF13:AF15,AH13:AH15,AI13:BB13,AI14:BB14,AI15:BB15)*Q15</f>
        <v>6284.0902981927902</v>
      </c>
    </row>
    <row r="4" spans="1:54" s="9" customFormat="1" ht="43.5" x14ac:dyDescent="0.35">
      <c r="B4" s="53" t="s">
        <v>707</v>
      </c>
      <c r="C4" s="73" t="s">
        <v>703</v>
      </c>
      <c r="D4" s="126">
        <f>SUM(Z16,AB16,AD16,AF16,AH16)*Q16</f>
        <v>3093.8196009843678</v>
      </c>
      <c r="E4" s="126">
        <f>SUM(Z16,AB16,AD16,AF16,AH16,AI16:BB16)*Q16</f>
        <v>22678.888277643924</v>
      </c>
    </row>
    <row r="5" spans="1:54" s="9" customFormat="1" x14ac:dyDescent="0.35">
      <c r="B5" s="53" t="s">
        <v>55</v>
      </c>
      <c r="C5" s="53" t="s">
        <v>704</v>
      </c>
      <c r="D5" s="126">
        <f>G41</f>
        <v>2840.814228232126</v>
      </c>
      <c r="E5" s="126">
        <f>G61</f>
        <v>14444.818109654878</v>
      </c>
    </row>
    <row r="6" spans="1:54" s="9" customFormat="1" x14ac:dyDescent="0.35">
      <c r="D6" s="126">
        <f>SUM(D3:D5)</f>
        <v>6956.6096402258236</v>
      </c>
      <c r="E6" s="126">
        <f>SUM(E3:E5)</f>
        <v>43407.796685491594</v>
      </c>
    </row>
    <row r="7" spans="1:54" s="9" customFormat="1" x14ac:dyDescent="0.35"/>
    <row r="8" spans="1:54" s="9" customFormat="1" x14ac:dyDescent="0.35"/>
    <row r="9" spans="1:54" s="9" customFormat="1" x14ac:dyDescent="0.35"/>
    <row r="10" spans="1:54" s="9" customFormat="1" ht="20.5" customHeight="1" x14ac:dyDescent="0.45">
      <c r="F10" s="355" t="s">
        <v>62</v>
      </c>
      <c r="G10" s="355"/>
      <c r="H10" s="355"/>
      <c r="I10" s="355"/>
      <c r="J10" s="355"/>
      <c r="K10" s="355"/>
      <c r="L10" s="355"/>
      <c r="M10" s="355"/>
      <c r="N10" s="355"/>
      <c r="O10" s="355"/>
      <c r="P10" s="355"/>
      <c r="Q10" s="355"/>
      <c r="R10" s="355"/>
      <c r="S10" s="355"/>
      <c r="T10" s="355"/>
      <c r="U10" s="355"/>
      <c r="V10" s="355"/>
      <c r="W10" s="355"/>
      <c r="X10" s="355"/>
      <c r="Y10" s="109" t="s">
        <v>63</v>
      </c>
      <c r="Z10" s="109"/>
      <c r="AA10" s="109"/>
      <c r="AB10" s="109"/>
      <c r="AC10" s="109"/>
      <c r="AD10" s="109"/>
      <c r="AE10" s="109"/>
      <c r="AF10" s="109"/>
      <c r="AG10" s="109"/>
      <c r="AH10" s="109"/>
      <c r="AX10" s="359" t="s">
        <v>665</v>
      </c>
      <c r="AY10" s="359"/>
      <c r="AZ10" s="359"/>
      <c r="BA10" s="359"/>
      <c r="BB10" s="359"/>
    </row>
    <row r="11" spans="1:54" x14ac:dyDescent="0.35">
      <c r="B11" s="360" t="s">
        <v>48</v>
      </c>
      <c r="C11" s="360"/>
      <c r="D11" s="360"/>
      <c r="E11" s="360"/>
      <c r="F11" s="356" t="s">
        <v>60</v>
      </c>
      <c r="G11" s="356"/>
      <c r="H11" s="356"/>
      <c r="I11" s="356"/>
      <c r="J11" s="356"/>
      <c r="K11" s="357" t="s">
        <v>6</v>
      </c>
      <c r="L11" s="357"/>
      <c r="M11" s="357"/>
      <c r="N11" s="357"/>
      <c r="O11" s="357"/>
      <c r="P11" s="357"/>
      <c r="Q11" s="357"/>
      <c r="R11" s="358" t="s">
        <v>708</v>
      </c>
      <c r="S11" s="358"/>
      <c r="T11" s="358"/>
      <c r="U11" s="358"/>
      <c r="V11" s="358"/>
      <c r="W11" s="358"/>
      <c r="X11" s="358"/>
      <c r="Y11" s="109"/>
      <c r="Z11" s="109"/>
      <c r="AA11" s="109"/>
      <c r="AB11" s="109"/>
      <c r="AC11" s="109"/>
      <c r="AD11" s="109"/>
      <c r="AE11" s="109"/>
      <c r="AF11" s="109"/>
      <c r="AG11" s="109"/>
      <c r="AH11" s="109"/>
      <c r="AX11" s="359"/>
      <c r="AY11" s="359"/>
      <c r="AZ11" s="359"/>
      <c r="BA11" s="359"/>
      <c r="BB11" s="359"/>
    </row>
    <row r="12" spans="1:54" ht="82" customHeight="1" x14ac:dyDescent="0.35">
      <c r="B12" s="11" t="s">
        <v>0</v>
      </c>
      <c r="C12" s="2" t="s">
        <v>57</v>
      </c>
      <c r="D12" s="2" t="s">
        <v>709</v>
      </c>
      <c r="E12" s="2" t="s">
        <v>37</v>
      </c>
      <c r="F12" s="4" t="s">
        <v>43</v>
      </c>
      <c r="G12" s="4" t="s">
        <v>44</v>
      </c>
      <c r="H12" s="4" t="s">
        <v>45</v>
      </c>
      <c r="I12" s="4" t="s">
        <v>46</v>
      </c>
      <c r="J12" s="4" t="s">
        <v>47</v>
      </c>
      <c r="K12" s="3" t="s">
        <v>10</v>
      </c>
      <c r="L12" s="3" t="s">
        <v>7</v>
      </c>
      <c r="M12" s="3" t="s">
        <v>697</v>
      </c>
      <c r="N12" s="3" t="s">
        <v>8</v>
      </c>
      <c r="O12" s="3" t="s">
        <v>12</v>
      </c>
      <c r="P12" s="3" t="s">
        <v>50</v>
      </c>
      <c r="Q12" s="3" t="s">
        <v>700</v>
      </c>
      <c r="R12" s="2" t="s">
        <v>51</v>
      </c>
      <c r="S12" s="2" t="s">
        <v>5</v>
      </c>
      <c r="T12" s="2" t="s">
        <v>65</v>
      </c>
      <c r="U12" s="2" t="s">
        <v>66</v>
      </c>
      <c r="V12" s="2" t="s">
        <v>67</v>
      </c>
      <c r="W12" s="2" t="s">
        <v>68</v>
      </c>
      <c r="X12" s="2" t="s">
        <v>69</v>
      </c>
      <c r="Y12" s="120" t="s">
        <v>64</v>
      </c>
      <c r="Z12" s="121" t="s">
        <v>699</v>
      </c>
      <c r="AA12" s="121" t="s">
        <v>73</v>
      </c>
      <c r="AB12" s="121" t="s">
        <v>698</v>
      </c>
      <c r="AC12" s="121" t="s">
        <v>74</v>
      </c>
      <c r="AD12" s="121" t="s">
        <v>70</v>
      </c>
      <c r="AE12" s="121" t="s">
        <v>75</v>
      </c>
      <c r="AF12" s="121" t="s">
        <v>71</v>
      </c>
      <c r="AG12" s="121" t="s">
        <v>76</v>
      </c>
      <c r="AH12" s="121" t="s">
        <v>72</v>
      </c>
      <c r="AI12" s="30">
        <v>2031</v>
      </c>
      <c r="AJ12" s="30">
        <v>2032</v>
      </c>
      <c r="AK12" s="30">
        <v>2033</v>
      </c>
      <c r="AL12" s="30">
        <v>2034</v>
      </c>
      <c r="AM12" s="30">
        <v>2035</v>
      </c>
      <c r="AN12" s="30">
        <v>2036</v>
      </c>
      <c r="AO12" s="30">
        <v>2037</v>
      </c>
      <c r="AP12" s="30">
        <v>2038</v>
      </c>
      <c r="AQ12" s="30">
        <v>2039</v>
      </c>
      <c r="AR12" s="30">
        <v>2040</v>
      </c>
      <c r="AS12" s="30">
        <v>2041</v>
      </c>
      <c r="AT12" s="30">
        <v>2042</v>
      </c>
      <c r="AU12" s="30">
        <v>2043</v>
      </c>
      <c r="AV12" s="30">
        <v>2044</v>
      </c>
      <c r="AW12" s="30">
        <v>2045</v>
      </c>
      <c r="AX12" s="116">
        <v>2046</v>
      </c>
      <c r="AY12" s="116">
        <v>2047</v>
      </c>
      <c r="AZ12" s="116">
        <v>2048</v>
      </c>
      <c r="BA12" s="116">
        <v>2049</v>
      </c>
      <c r="BB12" s="116">
        <v>2050</v>
      </c>
    </row>
    <row r="13" spans="1:54" ht="82" customHeight="1" x14ac:dyDescent="0.35">
      <c r="A13" s="353" t="s">
        <v>688</v>
      </c>
      <c r="B13" t="s">
        <v>1</v>
      </c>
      <c r="C13" s="16" t="s">
        <v>714</v>
      </c>
      <c r="D13" s="28">
        <v>6</v>
      </c>
      <c r="E13" s="90">
        <v>12500</v>
      </c>
      <c r="F13" s="1" t="s">
        <v>694</v>
      </c>
      <c r="G13" s="1" t="s">
        <v>693</v>
      </c>
      <c r="H13" s="5">
        <v>4214</v>
      </c>
      <c r="I13" s="5">
        <v>80288</v>
      </c>
      <c r="J13" s="17">
        <f>(H13*'Emissions Factors + Conversions'!$D$30*'Emissions Factors + Conversions'!$D$14*'Emissions Factors + Conversions'!$D$33)+(I13*'Emissions Factors + Conversions'!$D$29*'Emissions Factors + Conversions'!$D$2*'Emissions Factors + Conversions'!$D$33)</f>
        <v>41.466627095844075</v>
      </c>
      <c r="K13" s="1" t="s">
        <v>30</v>
      </c>
      <c r="L13" s="10" t="s">
        <v>11</v>
      </c>
      <c r="M13" s="10">
        <v>20</v>
      </c>
      <c r="N13" s="6">
        <v>860000</v>
      </c>
      <c r="O13" s="6">
        <f>E13*1.5</f>
        <v>18750</v>
      </c>
      <c r="P13" s="6">
        <f>O13+N13</f>
        <v>878750</v>
      </c>
      <c r="Q13" s="112">
        <f>AVERAGE(0.3,0.5)</f>
        <v>0.4</v>
      </c>
      <c r="R13" s="5">
        <v>0</v>
      </c>
      <c r="S13" s="5">
        <v>103749</v>
      </c>
      <c r="T13" s="13">
        <f>S13*'Emissions Factors + Conversions'!$D$29*'Emissions Factors + Conversions'!$D$8*'Emissions Factors + Conversions'!$D$33</f>
        <v>19.732168906962936</v>
      </c>
      <c r="U13" s="13">
        <f>S13*'Emissions Factors + Conversions'!$D$29*'Emissions Factors + Conversions'!$D$9*'Emissions Factors + Conversions'!$D$33</f>
        <v>14.799126680222203</v>
      </c>
      <c r="V13" s="13">
        <f>S13*'Emissions Factors + Conversions'!$D$29*'Emissions Factors + Conversions'!$D$10*'Emissions Factors + Conversions'!$D$33</f>
        <v>9.86608445348147</v>
      </c>
      <c r="W13" s="13">
        <f>S13*'Emissions Factors + Conversions'!$D$29*'Emissions Factors + Conversions'!$D$11*'Emissions Factors + Conversions'!$D$33</f>
        <v>4.9330422267407359</v>
      </c>
      <c r="X13" s="13">
        <f>S13*'Emissions Factors + Conversions'!$D$29*'Emissions Factors + Conversions'!$D$12*'Emissions Factors + Conversions'!$D$33</f>
        <v>0</v>
      </c>
      <c r="Y13" s="33">
        <v>1</v>
      </c>
      <c r="Z13" s="31">
        <f>Y13*(J13-T13)</f>
        <v>21.734458188881138</v>
      </c>
      <c r="AA13" s="35">
        <v>4</v>
      </c>
      <c r="AB13" s="31">
        <f>AA13*(J13-U13)</f>
        <v>106.67000166248749</v>
      </c>
      <c r="AC13" s="35">
        <v>6</v>
      </c>
      <c r="AD13" s="31">
        <f>AC13*(J13-V13)</f>
        <v>189.60325585417564</v>
      </c>
      <c r="AE13" s="35">
        <v>6</v>
      </c>
      <c r="AF13" s="31">
        <f>AE13*(J13-W13)</f>
        <v>219.20150921462002</v>
      </c>
      <c r="AG13" s="35">
        <v>6</v>
      </c>
      <c r="AH13" s="110">
        <f>AG13*(J13-X13)</f>
        <v>248.79976257506445</v>
      </c>
      <c r="AI13" s="111">
        <f>AH13</f>
        <v>248.79976257506445</v>
      </c>
      <c r="AJ13" s="111">
        <f t="shared" ref="AJ13:BB13" si="0">AI13</f>
        <v>248.79976257506445</v>
      </c>
      <c r="AK13" s="111">
        <f t="shared" si="0"/>
        <v>248.79976257506445</v>
      </c>
      <c r="AL13" s="111">
        <f t="shared" si="0"/>
        <v>248.79976257506445</v>
      </c>
      <c r="AM13" s="111">
        <f t="shared" si="0"/>
        <v>248.79976257506445</v>
      </c>
      <c r="AN13" s="111">
        <f t="shared" si="0"/>
        <v>248.79976257506445</v>
      </c>
      <c r="AO13" s="111">
        <f t="shared" si="0"/>
        <v>248.79976257506445</v>
      </c>
      <c r="AP13" s="111">
        <f t="shared" si="0"/>
        <v>248.79976257506445</v>
      </c>
      <c r="AQ13" s="111">
        <f t="shared" si="0"/>
        <v>248.79976257506445</v>
      </c>
      <c r="AR13" s="111">
        <f t="shared" si="0"/>
        <v>248.79976257506445</v>
      </c>
      <c r="AS13" s="111">
        <f t="shared" si="0"/>
        <v>248.79976257506445</v>
      </c>
      <c r="AT13" s="111">
        <f t="shared" si="0"/>
        <v>248.79976257506445</v>
      </c>
      <c r="AU13" s="111">
        <f t="shared" si="0"/>
        <v>248.79976257506445</v>
      </c>
      <c r="AV13" s="111">
        <f t="shared" si="0"/>
        <v>248.79976257506445</v>
      </c>
      <c r="AW13" s="111">
        <f t="shared" si="0"/>
        <v>248.79976257506445</v>
      </c>
      <c r="AX13" s="117">
        <f>(AG13-Y13)*(J13-X13)</f>
        <v>207.33313547922037</v>
      </c>
      <c r="AY13" s="117">
        <f>(AG13-AA13)*(J13-X13)</f>
        <v>82.93325419168815</v>
      </c>
      <c r="AZ13" s="117">
        <f>(AG13-AC13)*(J13-X13)</f>
        <v>0</v>
      </c>
      <c r="BA13" s="117">
        <f t="shared" si="0"/>
        <v>0</v>
      </c>
      <c r="BB13" s="117">
        <f t="shared" si="0"/>
        <v>0</v>
      </c>
    </row>
    <row r="14" spans="1:54" ht="82" customHeight="1" x14ac:dyDescent="0.35">
      <c r="A14" s="354"/>
      <c r="B14" t="s">
        <v>2</v>
      </c>
      <c r="C14" s="16" t="s">
        <v>58</v>
      </c>
      <c r="D14" s="28">
        <v>6</v>
      </c>
      <c r="E14" s="90">
        <v>18250</v>
      </c>
      <c r="F14" s="10" t="s">
        <v>695</v>
      </c>
      <c r="G14" s="10" t="s">
        <v>220</v>
      </c>
      <c r="H14" s="5">
        <v>9181.4</v>
      </c>
      <c r="I14" s="5">
        <v>117537.60000000001</v>
      </c>
      <c r="J14" s="17">
        <f>(H14*'Emissions Factors + Conversions'!$D$30*'Emissions Factors + Conversions'!$D$14*'Emissions Factors + Conversions'!$D$33)+(I14*'Emissions Factors + Conversions'!$D$29*'Emissions Factors + Conversions'!$D$2*'Emissions Factors + Conversions'!$D$33)</f>
        <v>76.702369142650767</v>
      </c>
      <c r="K14" s="108" t="s">
        <v>696</v>
      </c>
      <c r="L14" s="10" t="s">
        <v>420</v>
      </c>
      <c r="M14" s="10">
        <v>20</v>
      </c>
      <c r="N14" s="6">
        <v>1415500</v>
      </c>
      <c r="O14" s="6">
        <f>E14*1.5</f>
        <v>27375</v>
      </c>
      <c r="P14" s="6">
        <f t="shared" ref="P14:P16" si="1">O14+N14</f>
        <v>1442875</v>
      </c>
      <c r="Q14" s="112">
        <f t="shared" ref="Q14:Q15" si="2">AVERAGE(0.3,0.5)</f>
        <v>0.4</v>
      </c>
      <c r="R14" s="5">
        <v>0</v>
      </c>
      <c r="S14" s="5">
        <v>202656.75910902696</v>
      </c>
      <c r="T14" s="13">
        <f>S14*'Emissions Factors + Conversions'!$D$29*'Emissions Factors + Conversions'!$D$8*'Emissions Factors + Conversions'!$D$33</f>
        <v>38.543575368215791</v>
      </c>
      <c r="U14" s="13">
        <f>S14*'Emissions Factors + Conversions'!$D$29*'Emissions Factors + Conversions'!$D$9*'Emissions Factors + Conversions'!$D$33</f>
        <v>28.907681526161841</v>
      </c>
      <c r="V14" s="13">
        <f>S14*'Emissions Factors + Conversions'!$D$29*'Emissions Factors + Conversions'!$D$10*'Emissions Factors + Conversions'!$D$33</f>
        <v>19.271787684107895</v>
      </c>
      <c r="W14" s="13">
        <f>S14*'Emissions Factors + Conversions'!$D$29*'Emissions Factors + Conversions'!$D$11*'Emissions Factors + Conversions'!$D$33</f>
        <v>9.6358938420539495</v>
      </c>
      <c r="X14" s="13">
        <f>S14*'Emissions Factors + Conversions'!$D$29*'Emissions Factors + Conversions'!$D$12*'Emissions Factors + Conversions'!$D$33</f>
        <v>0</v>
      </c>
      <c r="Y14" s="33">
        <v>1</v>
      </c>
      <c r="Z14" s="31">
        <f>Y14*(J14-T14)</f>
        <v>38.158793774434976</v>
      </c>
      <c r="AA14" s="35">
        <v>4</v>
      </c>
      <c r="AB14" s="31">
        <f>AA14*(J14-U14)</f>
        <v>191.17875046595572</v>
      </c>
      <c r="AC14" s="35">
        <v>6</v>
      </c>
      <c r="AD14" s="31">
        <f>AC14*(J14-V14)</f>
        <v>344.58348875125728</v>
      </c>
      <c r="AE14" s="35">
        <v>6</v>
      </c>
      <c r="AF14" s="31">
        <f>AE14*(J14-W14)</f>
        <v>402.3988518035809</v>
      </c>
      <c r="AG14" s="35">
        <v>6</v>
      </c>
      <c r="AH14" s="110">
        <f>AG14*(J14-X14)</f>
        <v>460.21421485590463</v>
      </c>
      <c r="AI14" s="111">
        <f>AH14</f>
        <v>460.21421485590463</v>
      </c>
      <c r="AJ14" s="111">
        <f t="shared" ref="AJ14:BB14" si="3">AI14</f>
        <v>460.21421485590463</v>
      </c>
      <c r="AK14" s="111">
        <f t="shared" si="3"/>
        <v>460.21421485590463</v>
      </c>
      <c r="AL14" s="111">
        <f t="shared" si="3"/>
        <v>460.21421485590463</v>
      </c>
      <c r="AM14" s="111">
        <f t="shared" si="3"/>
        <v>460.21421485590463</v>
      </c>
      <c r="AN14" s="111">
        <f t="shared" si="3"/>
        <v>460.21421485590463</v>
      </c>
      <c r="AO14" s="111">
        <f t="shared" si="3"/>
        <v>460.21421485590463</v>
      </c>
      <c r="AP14" s="111">
        <f t="shared" si="3"/>
        <v>460.21421485590463</v>
      </c>
      <c r="AQ14" s="111">
        <f t="shared" si="3"/>
        <v>460.21421485590463</v>
      </c>
      <c r="AR14" s="111">
        <f t="shared" si="3"/>
        <v>460.21421485590463</v>
      </c>
      <c r="AS14" s="111">
        <f t="shared" si="3"/>
        <v>460.21421485590463</v>
      </c>
      <c r="AT14" s="111">
        <f t="shared" si="3"/>
        <v>460.21421485590463</v>
      </c>
      <c r="AU14" s="111">
        <f t="shared" si="3"/>
        <v>460.21421485590463</v>
      </c>
      <c r="AV14" s="111">
        <f t="shared" si="3"/>
        <v>460.21421485590463</v>
      </c>
      <c r="AW14" s="111">
        <f t="shared" si="3"/>
        <v>460.21421485590463</v>
      </c>
      <c r="AX14" s="117">
        <f>(AG14-Y14)*(J14-X14)</f>
        <v>383.51184571325382</v>
      </c>
      <c r="AY14" s="117">
        <f>(AG14-AA14)*(J14-X14)</f>
        <v>153.40473828530153</v>
      </c>
      <c r="AZ14" s="117">
        <f>(AG14-AC14)*(J14-X14)</f>
        <v>0</v>
      </c>
      <c r="BA14" s="117">
        <f t="shared" si="3"/>
        <v>0</v>
      </c>
      <c r="BB14" s="117">
        <f t="shared" si="3"/>
        <v>0</v>
      </c>
    </row>
    <row r="15" spans="1:54" ht="82" customHeight="1" thickBot="1" x14ac:dyDescent="0.4">
      <c r="A15" s="354"/>
      <c r="B15" t="s">
        <v>3</v>
      </c>
      <c r="C15" s="16" t="s">
        <v>59</v>
      </c>
      <c r="D15" s="28">
        <v>3</v>
      </c>
      <c r="E15" s="90">
        <v>8750</v>
      </c>
      <c r="F15" s="1" t="s">
        <v>9</v>
      </c>
      <c r="G15" s="10" t="s">
        <v>693</v>
      </c>
      <c r="H15" s="5">
        <v>4505</v>
      </c>
      <c r="I15" s="5">
        <v>47717</v>
      </c>
      <c r="J15" s="17">
        <f>(H15*'Emissions Factors + Conversions'!$D$30*'Emissions Factors + Conversions'!$D$14*'Emissions Factors + Conversions'!$D$33)+(I15*'Emissions Factors + Conversions'!$D$29*'Emissions Factors + Conversions'!$D$2*'Emissions Factors + Conversions'!$D$33)</f>
        <v>35.268616308846788</v>
      </c>
      <c r="K15" s="108" t="s">
        <v>696</v>
      </c>
      <c r="L15" s="108" t="s">
        <v>11</v>
      </c>
      <c r="M15" s="108">
        <v>20</v>
      </c>
      <c r="N15" s="6">
        <v>205800</v>
      </c>
      <c r="O15" s="6">
        <f>E15*1.5</f>
        <v>13125</v>
      </c>
      <c r="P15" s="6">
        <f t="shared" si="1"/>
        <v>218925</v>
      </c>
      <c r="Q15" s="112">
        <f t="shared" si="2"/>
        <v>0.4</v>
      </c>
      <c r="R15" s="5">
        <v>0</v>
      </c>
      <c r="S15" s="5">
        <v>100538</v>
      </c>
      <c r="T15" s="13">
        <f>S15*'Emissions Factors + Conversions'!$D$29*'Emissions Factors + Conversions'!$D$8*'Emissions Factors + Conversions'!$D$33</f>
        <v>19.121464279831518</v>
      </c>
      <c r="U15" s="13">
        <f>S15*'Emissions Factors + Conversions'!$D$29*'Emissions Factors + Conversions'!$D$9*'Emissions Factors + Conversions'!$D$33</f>
        <v>14.341098209873637</v>
      </c>
      <c r="V15" s="13">
        <f>S15*'Emissions Factors + Conversions'!$D$29*'Emissions Factors + Conversions'!$D$10*'Emissions Factors + Conversions'!$D$33</f>
        <v>9.5607321399157588</v>
      </c>
      <c r="W15" s="13">
        <f>S15*'Emissions Factors + Conversions'!$D$29*'Emissions Factors + Conversions'!$D$11*'Emissions Factors + Conversions'!$D$33</f>
        <v>4.7803660699578794</v>
      </c>
      <c r="X15" s="13">
        <f>S15*'Emissions Factors + Conversions'!$D$29*'Emissions Factors + Conversions'!$D$12*'Emissions Factors + Conversions'!$D$33</f>
        <v>0</v>
      </c>
      <c r="Y15" s="33">
        <v>1</v>
      </c>
      <c r="Z15" s="35">
        <f>Y15*(J15-T15)</f>
        <v>16.14715202901527</v>
      </c>
      <c r="AA15" s="35">
        <v>2</v>
      </c>
      <c r="AB15" s="35">
        <f>AA15*(J15-U15)</f>
        <v>41.855036197946305</v>
      </c>
      <c r="AC15" s="35">
        <v>3</v>
      </c>
      <c r="AD15" s="35">
        <f>AC15*(J15-V15)</f>
        <v>77.123652506793093</v>
      </c>
      <c r="AE15" s="35">
        <v>3</v>
      </c>
      <c r="AF15" s="35">
        <f>AE15*(J15-W15)</f>
        <v>91.464750716666728</v>
      </c>
      <c r="AG15" s="35">
        <v>3</v>
      </c>
      <c r="AH15" s="35">
        <f>AG15*(J15-X15)</f>
        <v>105.80584892654036</v>
      </c>
      <c r="AI15" s="110">
        <f>AH15</f>
        <v>105.80584892654036</v>
      </c>
      <c r="AJ15" s="110">
        <f>AI15</f>
        <v>105.80584892654036</v>
      </c>
      <c r="AK15" s="110">
        <f t="shared" ref="AK15:BB15" si="4">AJ15</f>
        <v>105.80584892654036</v>
      </c>
      <c r="AL15" s="110">
        <f t="shared" si="4"/>
        <v>105.80584892654036</v>
      </c>
      <c r="AM15" s="110">
        <f t="shared" si="4"/>
        <v>105.80584892654036</v>
      </c>
      <c r="AN15" s="110">
        <f t="shared" si="4"/>
        <v>105.80584892654036</v>
      </c>
      <c r="AO15" s="110">
        <f t="shared" si="4"/>
        <v>105.80584892654036</v>
      </c>
      <c r="AP15" s="110">
        <f t="shared" si="4"/>
        <v>105.80584892654036</v>
      </c>
      <c r="AQ15" s="110">
        <f t="shared" si="4"/>
        <v>105.80584892654036</v>
      </c>
      <c r="AR15" s="110">
        <f t="shared" si="4"/>
        <v>105.80584892654036</v>
      </c>
      <c r="AS15" s="110">
        <f t="shared" si="4"/>
        <v>105.80584892654036</v>
      </c>
      <c r="AT15" s="110">
        <f t="shared" si="4"/>
        <v>105.80584892654036</v>
      </c>
      <c r="AU15" s="110">
        <f t="shared" si="4"/>
        <v>105.80584892654036</v>
      </c>
      <c r="AV15" s="110">
        <f t="shared" si="4"/>
        <v>105.80584892654036</v>
      </c>
      <c r="AW15" s="110">
        <f t="shared" si="4"/>
        <v>105.80584892654036</v>
      </c>
      <c r="AX15" s="117">
        <f>(AG15-Y15)*(J15-X15)</f>
        <v>70.537232617693576</v>
      </c>
      <c r="AY15" s="117">
        <f>(AG15-AA15)*(J15-X15)</f>
        <v>35.268616308846788</v>
      </c>
      <c r="AZ15" s="117">
        <f>(AG15-AC15)*(J15-X15)</f>
        <v>0</v>
      </c>
      <c r="BA15" s="118">
        <f t="shared" si="4"/>
        <v>0</v>
      </c>
      <c r="BB15" s="118">
        <f t="shared" si="4"/>
        <v>0</v>
      </c>
    </row>
    <row r="16" spans="1:54" s="9" customFormat="1" ht="82" customHeight="1" thickTop="1" x14ac:dyDescent="0.35">
      <c r="A16" s="27" t="s">
        <v>689</v>
      </c>
      <c r="B16" s="24" t="s">
        <v>690</v>
      </c>
      <c r="C16" s="24" t="s">
        <v>691</v>
      </c>
      <c r="D16" s="29">
        <v>40</v>
      </c>
      <c r="E16" s="91">
        <f>AVERAGEIF('Seattle Municipal Elec Data'!B8:B95,"Yes",'Seattle Municipal Elec Data'!D8:D95)</f>
        <v>6278.217391304348</v>
      </c>
      <c r="F16" s="107" t="s">
        <v>695</v>
      </c>
      <c r="G16" s="107" t="s">
        <v>692</v>
      </c>
      <c r="H16" s="23">
        <f>AVERAGEIF('Seattle Municipal Elec Data'!B8:B95,"Yes",'Seattle Municipal Elec Data'!E8:E95)</f>
        <v>2767.2321188906326</v>
      </c>
      <c r="I16" s="23">
        <f>AVERAGEIF('Seattle Municipal Elec Data'!B8:B95,"Yes",'Seattle Municipal Elec Data'!G8:G95)</f>
        <v>78706.418629899592</v>
      </c>
      <c r="J16" s="25">
        <f>(H16*'Emissions Factors + Conversions'!$D$30*'Emissions Factors + Conversions'!$D$14*'Emissions Factors + Conversions'!$D$33)+(I16*'Emissions Factors + Conversions'!$D$29*'Emissions Factors + Conversions'!$D$2*'Emissions Factors + Conversions'!$D$33)</f>
        <v>33.407366612638896</v>
      </c>
      <c r="K16" s="25" t="s">
        <v>696</v>
      </c>
      <c r="L16" s="107" t="s">
        <v>11</v>
      </c>
      <c r="M16" s="107">
        <v>20</v>
      </c>
      <c r="N16" s="26">
        <v>500000</v>
      </c>
      <c r="O16" s="26">
        <v>15000</v>
      </c>
      <c r="P16" s="6">
        <f t="shared" si="1"/>
        <v>515000</v>
      </c>
      <c r="Q16" s="112">
        <f>AVERAGE(0.75,1)</f>
        <v>0.875</v>
      </c>
      <c r="R16" s="23">
        <f>AVERAGEIF('Seattle Municipal Elec Data'!B8:B95,"Yes",'Seattle Municipal Elec Data'!H8:H95)</f>
        <v>0</v>
      </c>
      <c r="S16" s="23">
        <f>AVERAGEIF('Seattle Municipal Elec Data'!B8:B95,"Yes",'Seattle Municipal Elec Data'!I8:I95)</f>
        <v>102883.76162953935</v>
      </c>
      <c r="T16" s="34">
        <f>S16*'Emissions Factors + Conversions'!$D$29*'Emissions Factors + Conversions'!$D$8*'Emissions Factors + Conversions'!$D$33</f>
        <v>19.567607998706329</v>
      </c>
      <c r="U16" s="34">
        <f>S16*'Emissions Factors + Conversions'!$D$29*'Emissions Factors + Conversions'!$D$9*'Emissions Factors + Conversions'!$D$33</f>
        <v>14.675705999029748</v>
      </c>
      <c r="V16" s="34">
        <f>S16*'Emissions Factors + Conversions'!$D$29*'Emissions Factors + Conversions'!$D$10*'Emissions Factors + Conversions'!$D$33</f>
        <v>9.7838039993531645</v>
      </c>
      <c r="W16" s="34">
        <f>S16*'Emissions Factors + Conversions'!$D$29*'Emissions Factors + Conversions'!$D$11*'Emissions Factors + Conversions'!$D$33</f>
        <v>4.8919019996765831</v>
      </c>
      <c r="X16" s="23">
        <f>S16*'Emissions Factors + Conversions'!$D$29*'Emissions Factors + Conversions'!$D$12*'Emissions Factors + Conversions'!$D$33</f>
        <v>0</v>
      </c>
      <c r="Y16" s="33">
        <v>5</v>
      </c>
      <c r="Z16" s="36">
        <f>Y16*(J16-T16)</f>
        <v>69.198793069662827</v>
      </c>
      <c r="AA16" s="36">
        <v>15</v>
      </c>
      <c r="AB16" s="36">
        <f>AA16*(J16-U16)</f>
        <v>280.97490920413719</v>
      </c>
      <c r="AC16" s="36">
        <v>30</v>
      </c>
      <c r="AD16" s="36">
        <f>AC16*(J16-V16)</f>
        <v>708.70687839857192</v>
      </c>
      <c r="AE16" s="36">
        <v>40</v>
      </c>
      <c r="AF16" s="36">
        <f>AE16*(J16-W16)</f>
        <v>1140.6185845184925</v>
      </c>
      <c r="AG16" s="36">
        <v>40</v>
      </c>
      <c r="AH16" s="36">
        <f>AG16*(J16-X16)</f>
        <v>1336.2946645055558</v>
      </c>
      <c r="AI16" s="36">
        <f>AH16</f>
        <v>1336.2946645055558</v>
      </c>
      <c r="AJ16" s="36">
        <f>AI16</f>
        <v>1336.2946645055558</v>
      </c>
      <c r="AK16" s="36">
        <f t="shared" ref="AK16:BB16" si="5">AJ16</f>
        <v>1336.2946645055558</v>
      </c>
      <c r="AL16" s="36">
        <f t="shared" si="5"/>
        <v>1336.2946645055558</v>
      </c>
      <c r="AM16" s="36">
        <f t="shared" si="5"/>
        <v>1336.2946645055558</v>
      </c>
      <c r="AN16" s="36">
        <f t="shared" si="5"/>
        <v>1336.2946645055558</v>
      </c>
      <c r="AO16" s="36">
        <f t="shared" si="5"/>
        <v>1336.2946645055558</v>
      </c>
      <c r="AP16" s="36">
        <f t="shared" si="5"/>
        <v>1336.2946645055558</v>
      </c>
      <c r="AQ16" s="36">
        <f t="shared" si="5"/>
        <v>1336.2946645055558</v>
      </c>
      <c r="AR16" s="36">
        <f t="shared" si="5"/>
        <v>1336.2946645055558</v>
      </c>
      <c r="AS16" s="36">
        <f t="shared" si="5"/>
        <v>1336.2946645055558</v>
      </c>
      <c r="AT16" s="36">
        <f t="shared" si="5"/>
        <v>1336.2946645055558</v>
      </c>
      <c r="AU16" s="36">
        <f t="shared" si="5"/>
        <v>1336.2946645055558</v>
      </c>
      <c r="AV16" s="36">
        <f t="shared" si="5"/>
        <v>1336.2946645055558</v>
      </c>
      <c r="AW16" s="36">
        <f t="shared" si="5"/>
        <v>1336.2946645055558</v>
      </c>
      <c r="AX16" s="119">
        <f>(AG16-Y16)*(J16-X16)</f>
        <v>1169.2578314423613</v>
      </c>
      <c r="AY16" s="119">
        <f>(AG16-AA16)*(J16-X16)</f>
        <v>835.18416531597245</v>
      </c>
      <c r="AZ16" s="119">
        <f>(AG16-AC16)*(J16-X16)</f>
        <v>334.07366612638896</v>
      </c>
      <c r="BA16" s="119">
        <f>(AG16-AE16)*(J16-X16)</f>
        <v>0</v>
      </c>
      <c r="BB16" s="119">
        <f t="shared" si="5"/>
        <v>0</v>
      </c>
    </row>
    <row r="20" spans="1:51" x14ac:dyDescent="0.35">
      <c r="A20" s="92" t="s">
        <v>61</v>
      </c>
      <c r="B20" s="93"/>
      <c r="C20" s="93"/>
      <c r="D20" s="93"/>
      <c r="E20" s="93"/>
      <c r="F20" s="93"/>
      <c r="G20" s="93"/>
      <c r="H20" s="93"/>
      <c r="I20" s="93"/>
      <c r="J20" s="93"/>
    </row>
    <row r="21" spans="1:51" x14ac:dyDescent="0.35">
      <c r="B21" t="s">
        <v>673</v>
      </c>
      <c r="E21" s="9"/>
      <c r="AY21" s="346"/>
    </row>
    <row r="22" spans="1:51" x14ac:dyDescent="0.35">
      <c r="E22" s="62" t="s">
        <v>668</v>
      </c>
      <c r="F22" s="9" t="s">
        <v>669</v>
      </c>
      <c r="H22" s="52" t="s">
        <v>635</v>
      </c>
      <c r="I22" s="9"/>
      <c r="AY22" s="346"/>
    </row>
    <row r="23" spans="1:51" x14ac:dyDescent="0.35">
      <c r="B23" t="s">
        <v>675</v>
      </c>
      <c r="E23" s="62" t="s">
        <v>670</v>
      </c>
      <c r="F23" s="105">
        <v>466.84931990948854</v>
      </c>
      <c r="H23" s="9" t="s">
        <v>638</v>
      </c>
      <c r="I23" s="9">
        <v>150</v>
      </c>
      <c r="AY23" s="346"/>
    </row>
    <row r="24" spans="1:51" x14ac:dyDescent="0.35">
      <c r="E24" s="62" t="s">
        <v>671</v>
      </c>
      <c r="F24" s="9">
        <v>4814.9393698849581</v>
      </c>
      <c r="H24" t="s">
        <v>683</v>
      </c>
      <c r="I24">
        <v>20</v>
      </c>
      <c r="J24" t="s">
        <v>684</v>
      </c>
      <c r="AY24" s="346"/>
    </row>
    <row r="25" spans="1:51" x14ac:dyDescent="0.35">
      <c r="B25" t="s">
        <v>619</v>
      </c>
      <c r="C25" s="9" t="s">
        <v>620</v>
      </c>
      <c r="E25" s="62" t="s">
        <v>682</v>
      </c>
      <c r="F25">
        <f>F24/1000</f>
        <v>4.8149393698849581</v>
      </c>
      <c r="AY25" s="346"/>
    </row>
    <row r="26" spans="1:51" x14ac:dyDescent="0.35">
      <c r="B26" t="s">
        <v>676</v>
      </c>
      <c r="C26" s="9" t="s">
        <v>622</v>
      </c>
      <c r="E26" s="62" t="s">
        <v>672</v>
      </c>
      <c r="F26" s="9">
        <v>68.361045827633376</v>
      </c>
      <c r="H26" t="s">
        <v>685</v>
      </c>
    </row>
    <row r="27" spans="1:51" x14ac:dyDescent="0.35">
      <c r="B27" t="s">
        <v>0</v>
      </c>
      <c r="C27" s="9" t="s">
        <v>677</v>
      </c>
      <c r="H27" t="s">
        <v>686</v>
      </c>
      <c r="I27" s="9" t="s">
        <v>680</v>
      </c>
    </row>
    <row r="28" spans="1:51" x14ac:dyDescent="0.35">
      <c r="B28" t="s">
        <v>678</v>
      </c>
      <c r="C28" s="9" t="s">
        <v>679</v>
      </c>
      <c r="H28" t="s">
        <v>687</v>
      </c>
      <c r="I28" t="s">
        <v>681</v>
      </c>
    </row>
    <row r="29" spans="1:51" x14ac:dyDescent="0.35">
      <c r="B29" t="s">
        <v>666</v>
      </c>
      <c r="C29" s="9" t="s">
        <v>667</v>
      </c>
    </row>
    <row r="31" spans="1:51" x14ac:dyDescent="0.35">
      <c r="B31" t="s">
        <v>674</v>
      </c>
    </row>
    <row r="33" spans="2:20" x14ac:dyDescent="0.35">
      <c r="K33" s="9"/>
      <c r="O33"/>
      <c r="T33" s="9"/>
    </row>
    <row r="34" spans="2:20" x14ac:dyDescent="0.35">
      <c r="B34" s="9" t="s">
        <v>641</v>
      </c>
      <c r="D34" s="92" t="s">
        <v>61</v>
      </c>
      <c r="E34" s="93"/>
      <c r="F34" s="93"/>
      <c r="G34" s="93"/>
      <c r="K34" s="9"/>
      <c r="O34"/>
      <c r="T34" s="9"/>
    </row>
    <row r="35" spans="2:20" ht="43.5" x14ac:dyDescent="0.35">
      <c r="B35" s="94" t="s">
        <v>643</v>
      </c>
      <c r="C35" s="94" t="s">
        <v>642</v>
      </c>
      <c r="D35" s="94" t="s">
        <v>638</v>
      </c>
      <c r="E35" s="94" t="s">
        <v>644</v>
      </c>
      <c r="F35" s="94" t="s">
        <v>647</v>
      </c>
      <c r="G35" s="94" t="s">
        <v>648</v>
      </c>
      <c r="K35" s="9"/>
      <c r="O35"/>
      <c r="T35" s="9"/>
    </row>
    <row r="36" spans="2:20" x14ac:dyDescent="0.35">
      <c r="B36" s="9">
        <v>1</v>
      </c>
      <c r="C36" s="9">
        <v>2025</v>
      </c>
      <c r="D36" s="9">
        <v>0</v>
      </c>
      <c r="E36" s="9">
        <v>0</v>
      </c>
      <c r="F36" s="106">
        <f>E36*$F$25</f>
        <v>0</v>
      </c>
      <c r="G36" s="97">
        <v>0</v>
      </c>
      <c r="K36" s="9"/>
      <c r="O36"/>
      <c r="T36" s="9"/>
    </row>
    <row r="37" spans="2:20" x14ac:dyDescent="0.35">
      <c r="B37" s="9">
        <v>2</v>
      </c>
      <c r="C37" s="9">
        <v>2026</v>
      </c>
      <c r="D37" s="9">
        <v>20</v>
      </c>
      <c r="E37" s="9">
        <f>D37+E36</f>
        <v>20</v>
      </c>
      <c r="F37" s="106">
        <f t="shared" ref="F37:F61" si="6">E37*$F$25</f>
        <v>96.298787397699158</v>
      </c>
      <c r="G37" s="97">
        <f>F37</f>
        <v>96.298787397699158</v>
      </c>
      <c r="K37" s="9"/>
      <c r="O37"/>
      <c r="T37" s="9"/>
    </row>
    <row r="38" spans="2:20" x14ac:dyDescent="0.35">
      <c r="B38" s="9">
        <v>3</v>
      </c>
      <c r="C38" s="9">
        <v>2027</v>
      </c>
      <c r="D38" s="9">
        <v>100</v>
      </c>
      <c r="E38" s="9">
        <f t="shared" ref="E38:E56" si="7">D38+E37</f>
        <v>120</v>
      </c>
      <c r="F38" s="106">
        <f t="shared" si="6"/>
        <v>577.792724386195</v>
      </c>
      <c r="G38" s="97">
        <f>G37+F38</f>
        <v>674.09151178389413</v>
      </c>
      <c r="K38" s="9"/>
      <c r="O38"/>
      <c r="T38" s="9"/>
    </row>
    <row r="39" spans="2:20" x14ac:dyDescent="0.35">
      <c r="B39" s="9">
        <v>4</v>
      </c>
      <c r="C39" s="9">
        <v>2028</v>
      </c>
      <c r="D39" s="9">
        <v>30</v>
      </c>
      <c r="E39" s="9">
        <f t="shared" si="7"/>
        <v>150</v>
      </c>
      <c r="F39" s="106">
        <f t="shared" si="6"/>
        <v>722.24090548274376</v>
      </c>
      <c r="G39" s="97">
        <f t="shared" ref="G39:G61" si="8">G38+F39</f>
        <v>1396.332417266638</v>
      </c>
      <c r="K39" s="9"/>
      <c r="O39"/>
      <c r="T39" s="9"/>
    </row>
    <row r="40" spans="2:20" ht="15" thickBot="1" x14ac:dyDescent="0.4">
      <c r="B40" s="9">
        <v>5</v>
      </c>
      <c r="C40" s="9">
        <v>2029</v>
      </c>
      <c r="D40" s="9">
        <v>0</v>
      </c>
      <c r="E40" s="9">
        <f t="shared" si="7"/>
        <v>150</v>
      </c>
      <c r="F40" s="106">
        <f t="shared" si="6"/>
        <v>722.24090548274376</v>
      </c>
      <c r="G40" s="97">
        <f t="shared" si="8"/>
        <v>2118.573322749382</v>
      </c>
      <c r="K40" s="9"/>
      <c r="O40"/>
      <c r="T40" s="9"/>
    </row>
    <row r="41" spans="2:20" ht="15" thickBot="1" x14ac:dyDescent="0.4">
      <c r="B41" s="9">
        <v>6</v>
      </c>
      <c r="C41" s="9">
        <v>2030</v>
      </c>
      <c r="E41" s="9">
        <f t="shared" si="7"/>
        <v>150</v>
      </c>
      <c r="F41" s="106">
        <f t="shared" si="6"/>
        <v>722.24090548274376</v>
      </c>
      <c r="G41" s="98">
        <f t="shared" si="8"/>
        <v>2840.814228232126</v>
      </c>
      <c r="K41" s="9"/>
      <c r="O41"/>
      <c r="T41" s="9"/>
    </row>
    <row r="42" spans="2:20" x14ac:dyDescent="0.35">
      <c r="B42" s="9">
        <v>7</v>
      </c>
      <c r="C42" s="9">
        <v>2031</v>
      </c>
      <c r="E42" s="9">
        <f t="shared" si="7"/>
        <v>150</v>
      </c>
      <c r="F42" s="106">
        <f t="shared" si="6"/>
        <v>722.24090548274376</v>
      </c>
      <c r="G42" s="97">
        <f t="shared" si="8"/>
        <v>3563.05513371487</v>
      </c>
      <c r="K42" s="9"/>
      <c r="O42"/>
      <c r="T42" s="9"/>
    </row>
    <row r="43" spans="2:20" x14ac:dyDescent="0.35">
      <c r="B43" s="9">
        <v>8</v>
      </c>
      <c r="C43" s="9">
        <v>2032</v>
      </c>
      <c r="E43" s="9">
        <f t="shared" si="7"/>
        <v>150</v>
      </c>
      <c r="F43" s="106">
        <f t="shared" si="6"/>
        <v>722.24090548274376</v>
      </c>
      <c r="G43" s="97">
        <f t="shared" si="8"/>
        <v>4285.2960391976139</v>
      </c>
      <c r="K43" s="9"/>
      <c r="O43"/>
      <c r="T43" s="9"/>
    </row>
    <row r="44" spans="2:20" x14ac:dyDescent="0.35">
      <c r="B44" s="9">
        <v>9</v>
      </c>
      <c r="C44" s="9">
        <v>2033</v>
      </c>
      <c r="E44" s="9">
        <f t="shared" si="7"/>
        <v>150</v>
      </c>
      <c r="F44" s="106">
        <f t="shared" si="6"/>
        <v>722.24090548274376</v>
      </c>
      <c r="G44" s="97">
        <f t="shared" si="8"/>
        <v>5007.5369446803579</v>
      </c>
      <c r="K44" s="9"/>
      <c r="O44"/>
      <c r="T44" s="9"/>
    </row>
    <row r="45" spans="2:20" x14ac:dyDescent="0.35">
      <c r="B45" s="9">
        <v>10</v>
      </c>
      <c r="C45" s="9">
        <v>2034</v>
      </c>
      <c r="E45" s="9">
        <f t="shared" si="7"/>
        <v>150</v>
      </c>
      <c r="F45" s="106">
        <f t="shared" si="6"/>
        <v>722.24090548274376</v>
      </c>
      <c r="G45" s="97">
        <f t="shared" si="8"/>
        <v>5729.7778501631019</v>
      </c>
      <c r="K45" s="9"/>
      <c r="O45"/>
      <c r="T45" s="9"/>
    </row>
    <row r="46" spans="2:20" x14ac:dyDescent="0.35">
      <c r="B46" s="9">
        <v>11</v>
      </c>
      <c r="C46" s="9">
        <v>2035</v>
      </c>
      <c r="E46" s="9">
        <f t="shared" si="7"/>
        <v>150</v>
      </c>
      <c r="F46" s="106">
        <f t="shared" si="6"/>
        <v>722.24090548274376</v>
      </c>
      <c r="G46" s="97">
        <f t="shared" si="8"/>
        <v>6452.0187556458459</v>
      </c>
      <c r="K46" s="9"/>
      <c r="O46"/>
      <c r="T46" s="9"/>
    </row>
    <row r="47" spans="2:20" x14ac:dyDescent="0.35">
      <c r="B47" s="9">
        <v>12</v>
      </c>
      <c r="C47" s="9">
        <v>2036</v>
      </c>
      <c r="E47" s="9">
        <f t="shared" si="7"/>
        <v>150</v>
      </c>
      <c r="F47" s="106">
        <f t="shared" si="6"/>
        <v>722.24090548274376</v>
      </c>
      <c r="G47" s="97">
        <f t="shared" si="8"/>
        <v>7174.2596611285899</v>
      </c>
      <c r="K47" s="9"/>
      <c r="O47"/>
      <c r="T47" s="9"/>
    </row>
    <row r="48" spans="2:20" x14ac:dyDescent="0.35">
      <c r="B48" s="9">
        <v>13</v>
      </c>
      <c r="C48" s="9">
        <v>2037</v>
      </c>
      <c r="E48" s="9">
        <f t="shared" si="7"/>
        <v>150</v>
      </c>
      <c r="F48" s="106">
        <f t="shared" si="6"/>
        <v>722.24090548274376</v>
      </c>
      <c r="G48" s="97">
        <f t="shared" si="8"/>
        <v>7896.5005666113339</v>
      </c>
      <c r="K48" s="9"/>
      <c r="O48"/>
      <c r="T48" s="9"/>
    </row>
    <row r="49" spans="2:20" x14ac:dyDescent="0.35">
      <c r="B49" s="9">
        <v>14</v>
      </c>
      <c r="C49" s="9">
        <v>2038</v>
      </c>
      <c r="E49" s="9">
        <f t="shared" si="7"/>
        <v>150</v>
      </c>
      <c r="F49" s="106">
        <f t="shared" si="6"/>
        <v>722.24090548274376</v>
      </c>
      <c r="G49" s="97">
        <f t="shared" si="8"/>
        <v>8618.7414720940778</v>
      </c>
      <c r="K49" s="9"/>
      <c r="O49"/>
      <c r="T49" s="9"/>
    </row>
    <row r="50" spans="2:20" x14ac:dyDescent="0.35">
      <c r="B50" s="9">
        <v>15</v>
      </c>
      <c r="C50" s="9">
        <v>2039</v>
      </c>
      <c r="E50" s="9">
        <f t="shared" si="7"/>
        <v>150</v>
      </c>
      <c r="F50" s="106">
        <f t="shared" si="6"/>
        <v>722.24090548274376</v>
      </c>
      <c r="G50" s="97">
        <f t="shared" si="8"/>
        <v>9340.9823775768218</v>
      </c>
      <c r="K50" s="9"/>
      <c r="O50"/>
      <c r="T50" s="9"/>
    </row>
    <row r="51" spans="2:20" x14ac:dyDescent="0.35">
      <c r="B51" s="9">
        <v>16</v>
      </c>
      <c r="C51" s="9">
        <v>2040</v>
      </c>
      <c r="E51" s="9">
        <f t="shared" si="7"/>
        <v>150</v>
      </c>
      <c r="F51" s="106">
        <f t="shared" si="6"/>
        <v>722.24090548274376</v>
      </c>
      <c r="G51" s="97">
        <f t="shared" si="8"/>
        <v>10063.223283059566</v>
      </c>
      <c r="K51" s="9"/>
      <c r="O51"/>
      <c r="T51" s="9"/>
    </row>
    <row r="52" spans="2:20" x14ac:dyDescent="0.35">
      <c r="B52" s="9">
        <v>17</v>
      </c>
      <c r="C52" s="9">
        <v>2041</v>
      </c>
      <c r="E52" s="9">
        <f t="shared" si="7"/>
        <v>150</v>
      </c>
      <c r="F52" s="106">
        <f t="shared" si="6"/>
        <v>722.24090548274376</v>
      </c>
      <c r="G52" s="97">
        <f t="shared" si="8"/>
        <v>10785.46418854231</v>
      </c>
      <c r="K52" s="9"/>
      <c r="O52"/>
      <c r="T52" s="9"/>
    </row>
    <row r="53" spans="2:20" x14ac:dyDescent="0.35">
      <c r="B53" s="9">
        <v>18</v>
      </c>
      <c r="C53" s="9">
        <v>2042</v>
      </c>
      <c r="E53" s="9">
        <f t="shared" si="7"/>
        <v>150</v>
      </c>
      <c r="F53" s="106">
        <f t="shared" si="6"/>
        <v>722.24090548274376</v>
      </c>
      <c r="G53" s="97">
        <f t="shared" si="8"/>
        <v>11507.705094025054</v>
      </c>
      <c r="K53" s="9"/>
      <c r="O53"/>
      <c r="T53" s="9"/>
    </row>
    <row r="54" spans="2:20" x14ac:dyDescent="0.35">
      <c r="B54" s="9">
        <v>19</v>
      </c>
      <c r="C54" s="9">
        <v>2043</v>
      </c>
      <c r="E54" s="9">
        <f t="shared" si="7"/>
        <v>150</v>
      </c>
      <c r="F54" s="106">
        <f t="shared" si="6"/>
        <v>722.24090548274376</v>
      </c>
      <c r="G54" s="97">
        <f t="shared" si="8"/>
        <v>12229.945999507798</v>
      </c>
      <c r="K54" s="9"/>
      <c r="O54"/>
      <c r="T54" s="9"/>
    </row>
    <row r="55" spans="2:20" x14ac:dyDescent="0.35">
      <c r="B55" s="9">
        <v>20</v>
      </c>
      <c r="C55" s="9">
        <v>2044</v>
      </c>
      <c r="E55" s="9">
        <f t="shared" si="7"/>
        <v>150</v>
      </c>
      <c r="F55" s="106">
        <f t="shared" si="6"/>
        <v>722.24090548274376</v>
      </c>
      <c r="G55" s="97">
        <f t="shared" si="8"/>
        <v>12952.186904990542</v>
      </c>
      <c r="K55" s="9"/>
      <c r="O55"/>
      <c r="T55" s="9"/>
    </row>
    <row r="56" spans="2:20" x14ac:dyDescent="0.35">
      <c r="B56" s="9">
        <v>21</v>
      </c>
      <c r="C56" s="9">
        <v>2045</v>
      </c>
      <c r="E56" s="9">
        <f t="shared" si="7"/>
        <v>150</v>
      </c>
      <c r="F56" s="106">
        <f t="shared" si="6"/>
        <v>722.24090548274376</v>
      </c>
      <c r="G56" s="97">
        <f t="shared" si="8"/>
        <v>13674.427810473286</v>
      </c>
      <c r="K56" s="9"/>
      <c r="O56"/>
      <c r="T56" s="9"/>
    </row>
    <row r="57" spans="2:20" x14ac:dyDescent="0.35">
      <c r="B57" s="100">
        <v>22</v>
      </c>
      <c r="C57" s="100">
        <v>2046</v>
      </c>
      <c r="D57" s="100"/>
      <c r="E57" s="100">
        <f>E56-D37</f>
        <v>130</v>
      </c>
      <c r="F57" s="106">
        <f t="shared" si="6"/>
        <v>625.94211808504451</v>
      </c>
      <c r="G57" s="103">
        <f t="shared" si="8"/>
        <v>14300.36992855833</v>
      </c>
      <c r="H57" s="346" t="s">
        <v>665</v>
      </c>
      <c r="K57" s="9"/>
      <c r="O57"/>
      <c r="T57" s="9"/>
    </row>
    <row r="58" spans="2:20" x14ac:dyDescent="0.35">
      <c r="B58" s="100">
        <v>23</v>
      </c>
      <c r="C58" s="100">
        <v>2047</v>
      </c>
      <c r="D58" s="100"/>
      <c r="E58" s="100">
        <f t="shared" ref="E58:E61" si="9">E57-D38</f>
        <v>30</v>
      </c>
      <c r="F58" s="106">
        <f t="shared" si="6"/>
        <v>144.44818109654875</v>
      </c>
      <c r="G58" s="103">
        <f t="shared" si="8"/>
        <v>14444.818109654878</v>
      </c>
      <c r="H58" s="346"/>
      <c r="K58" s="9"/>
      <c r="O58"/>
      <c r="T58" s="9"/>
    </row>
    <row r="59" spans="2:20" x14ac:dyDescent="0.35">
      <c r="B59" s="100">
        <v>24</v>
      </c>
      <c r="C59" s="100">
        <v>2048</v>
      </c>
      <c r="D59" s="100"/>
      <c r="E59" s="100">
        <f t="shared" si="9"/>
        <v>0</v>
      </c>
      <c r="F59" s="106">
        <f t="shared" si="6"/>
        <v>0</v>
      </c>
      <c r="G59" s="103">
        <f t="shared" si="8"/>
        <v>14444.818109654878</v>
      </c>
      <c r="H59" s="346"/>
      <c r="K59" s="9"/>
      <c r="O59"/>
      <c r="T59" s="9"/>
    </row>
    <row r="60" spans="2:20" ht="15" thickBot="1" x14ac:dyDescent="0.4">
      <c r="B60" s="100">
        <v>25</v>
      </c>
      <c r="C60" s="100">
        <v>2049</v>
      </c>
      <c r="D60" s="100"/>
      <c r="E60" s="100">
        <f t="shared" si="9"/>
        <v>0</v>
      </c>
      <c r="F60" s="106">
        <f t="shared" si="6"/>
        <v>0</v>
      </c>
      <c r="G60" s="103">
        <f t="shared" si="8"/>
        <v>14444.818109654878</v>
      </c>
      <c r="H60" s="346"/>
      <c r="K60" s="9"/>
      <c r="O60"/>
      <c r="T60" s="9"/>
    </row>
    <row r="61" spans="2:20" ht="15" thickBot="1" x14ac:dyDescent="0.4">
      <c r="B61" s="100">
        <v>26</v>
      </c>
      <c r="C61" s="100">
        <v>2050</v>
      </c>
      <c r="D61" s="100"/>
      <c r="E61" s="100">
        <f t="shared" si="9"/>
        <v>0</v>
      </c>
      <c r="F61" s="106">
        <f t="shared" si="6"/>
        <v>0</v>
      </c>
      <c r="G61" s="104">
        <f t="shared" si="8"/>
        <v>14444.818109654878</v>
      </c>
      <c r="H61" s="346"/>
      <c r="K61" s="9"/>
      <c r="O61"/>
      <c r="T61" s="9"/>
    </row>
    <row r="62" spans="2:20" x14ac:dyDescent="0.35">
      <c r="K62" s="9"/>
      <c r="O62"/>
      <c r="T62" s="9"/>
    </row>
    <row r="63" spans="2:20" x14ac:dyDescent="0.35">
      <c r="K63" s="9"/>
      <c r="O63"/>
      <c r="T63" s="9"/>
    </row>
    <row r="64" spans="2:20" x14ac:dyDescent="0.35">
      <c r="K64" s="9"/>
      <c r="O64"/>
      <c r="T64" s="9"/>
    </row>
    <row r="65" spans="11:20" x14ac:dyDescent="0.35">
      <c r="K65" s="9"/>
      <c r="O65"/>
      <c r="T65" s="9"/>
    </row>
    <row r="66" spans="11:20" x14ac:dyDescent="0.35">
      <c r="K66" s="9"/>
      <c r="O66"/>
      <c r="T66" s="9"/>
    </row>
    <row r="67" spans="11:20" x14ac:dyDescent="0.35">
      <c r="K67" s="9"/>
      <c r="O67"/>
      <c r="T67" s="9"/>
    </row>
    <row r="68" spans="11:20" x14ac:dyDescent="0.35">
      <c r="K68" s="9"/>
      <c r="O68"/>
      <c r="T68" s="9"/>
    </row>
    <row r="69" spans="11:20" x14ac:dyDescent="0.35">
      <c r="K69" s="9"/>
      <c r="O69"/>
      <c r="T69" s="9"/>
    </row>
    <row r="70" spans="11:20" x14ac:dyDescent="0.35">
      <c r="K70" s="9"/>
      <c r="O70"/>
      <c r="T70" s="9"/>
    </row>
    <row r="71" spans="11:20" x14ac:dyDescent="0.35">
      <c r="K71" s="9"/>
      <c r="O71"/>
      <c r="T71" s="9"/>
    </row>
    <row r="72" spans="11:20" x14ac:dyDescent="0.35">
      <c r="K72" s="9"/>
      <c r="O72"/>
      <c r="T72" s="9"/>
    </row>
    <row r="73" spans="11:20" x14ac:dyDescent="0.35">
      <c r="K73" s="9"/>
      <c r="O73"/>
      <c r="T73" s="9"/>
    </row>
    <row r="74" spans="11:20" x14ac:dyDescent="0.35">
      <c r="K74" s="9"/>
      <c r="O74"/>
      <c r="T74" s="9"/>
    </row>
    <row r="75" spans="11:20" x14ac:dyDescent="0.35">
      <c r="K75" s="9"/>
      <c r="O75"/>
      <c r="T75" s="9"/>
    </row>
  </sheetData>
  <mergeCells count="10">
    <mergeCell ref="C1:E1"/>
    <mergeCell ref="H57:H61"/>
    <mergeCell ref="AY21:AY25"/>
    <mergeCell ref="AX10:BB11"/>
    <mergeCell ref="B11:E11"/>
    <mergeCell ref="A13:A15"/>
    <mergeCell ref="F10:X10"/>
    <mergeCell ref="F11:J11"/>
    <mergeCell ref="K11:Q11"/>
    <mergeCell ref="R11:X11"/>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DCBEF-47C6-47FF-BAB3-17FE8E4AF7F5}">
  <dimension ref="A1:Q84"/>
  <sheetViews>
    <sheetView topLeftCell="A74" workbookViewId="0">
      <selection activeCell="M21" sqref="M21"/>
    </sheetView>
  </sheetViews>
  <sheetFormatPr defaultRowHeight="14.5" x14ac:dyDescent="0.35"/>
  <cols>
    <col min="1" max="1" width="41.7265625" style="9" customWidth="1"/>
    <col min="2" max="2" width="17.54296875" style="9" customWidth="1"/>
    <col min="3" max="3" width="15" style="9" customWidth="1"/>
    <col min="4" max="4" width="14.1796875" style="9" customWidth="1"/>
    <col min="5" max="5" width="13.1796875" style="9" customWidth="1"/>
    <col min="6" max="6" width="15.54296875" style="9" customWidth="1"/>
    <col min="7" max="7" width="15.453125" style="9" customWidth="1"/>
    <col min="8" max="8" width="9.453125" style="9" customWidth="1"/>
    <col min="9" max="9" width="8.7265625" style="9"/>
    <col min="10" max="10" width="14.1796875" style="9" customWidth="1"/>
    <col min="11" max="12" width="8.7265625" style="9"/>
    <col min="13" max="13" width="34.1796875" style="9" bestFit="1" customWidth="1"/>
    <col min="14" max="14" width="8.81640625" style="9" bestFit="1" customWidth="1"/>
    <col min="15" max="15" width="12.26953125" style="9" bestFit="1" customWidth="1"/>
    <col min="16" max="16" width="13.7265625" style="9" customWidth="1"/>
    <col min="17" max="17" width="12.453125" style="9" bestFit="1" customWidth="1"/>
    <col min="18" max="16384" width="8.7265625" style="9"/>
  </cols>
  <sheetData>
    <row r="1" spans="1:10" x14ac:dyDescent="0.35">
      <c r="A1" s="52" t="s">
        <v>79</v>
      </c>
    </row>
    <row r="2" spans="1:10" x14ac:dyDescent="0.35">
      <c r="A2" s="9" t="s">
        <v>932</v>
      </c>
    </row>
    <row r="4" spans="1:10" x14ac:dyDescent="0.35">
      <c r="A4" s="53"/>
      <c r="B4" s="53"/>
      <c r="C4" s="131" t="s">
        <v>80</v>
      </c>
      <c r="D4" s="131" t="s">
        <v>81</v>
      </c>
    </row>
    <row r="5" spans="1:10" x14ac:dyDescent="0.35">
      <c r="A5" s="53" t="s">
        <v>82</v>
      </c>
      <c r="B5" s="53"/>
      <c r="C5" s="54">
        <f>SUM(C15:C20)</f>
        <v>11220</v>
      </c>
      <c r="D5" s="54">
        <f>SUM(C15:D40)</f>
        <v>72419.838605640034</v>
      </c>
    </row>
    <row r="6" spans="1:10" x14ac:dyDescent="0.35">
      <c r="A6" s="53" t="s">
        <v>83</v>
      </c>
      <c r="B6" s="53"/>
      <c r="C6" s="415">
        <f>C7*1000000</f>
        <v>-25004.76</v>
      </c>
      <c r="D6" s="415">
        <f>D7*1000000</f>
        <v>-161394.35999999996</v>
      </c>
    </row>
    <row r="7" spans="1:10" x14ac:dyDescent="0.35">
      <c r="A7" s="53" t="s">
        <v>84</v>
      </c>
      <c r="B7" s="53"/>
      <c r="C7" s="416">
        <f>SUM(D15:D20)</f>
        <v>-2.5004759999999997E-2</v>
      </c>
      <c r="D7" s="55">
        <f>SUM(D15:D40)</f>
        <v>-0.16139435999999996</v>
      </c>
    </row>
    <row r="8" spans="1:10" x14ac:dyDescent="0.35">
      <c r="A8" s="53" t="s">
        <v>85</v>
      </c>
      <c r="B8" s="53"/>
      <c r="C8" s="56">
        <f>SUM(E15:E20)</f>
        <v>-22.349764799999999</v>
      </c>
      <c r="D8" s="56">
        <f>SUM(E15:E40)</f>
        <v>-144.25757279999999</v>
      </c>
    </row>
    <row r="9" spans="1:10" x14ac:dyDescent="0.35">
      <c r="A9" s="53" t="s">
        <v>86</v>
      </c>
      <c r="B9" s="53"/>
      <c r="C9" s="56">
        <f>SUM(F15:F20)</f>
        <v>-4236.2693805881872</v>
      </c>
      <c r="D9" s="56">
        <f>SUM(F15:F40)</f>
        <v>-27343.193274705558</v>
      </c>
    </row>
    <row r="10" spans="1:10" x14ac:dyDescent="0.35">
      <c r="A10" s="38" t="s">
        <v>87</v>
      </c>
      <c r="B10" s="38"/>
      <c r="C10" s="57">
        <f>SUM(G15:G20)</f>
        <v>9491.24</v>
      </c>
      <c r="D10" s="54">
        <f>SUM(G15:G40)</f>
        <v>61261.639999999963</v>
      </c>
    </row>
    <row r="11" spans="1:10" x14ac:dyDescent="0.35">
      <c r="A11" s="38" t="s">
        <v>88</v>
      </c>
      <c r="B11" s="38"/>
      <c r="C11" s="58">
        <f>SUM(H15:H20)</f>
        <v>212179.44</v>
      </c>
      <c r="D11" s="59">
        <f>SUM(H15:H40)</f>
        <v>1369521.8400000003</v>
      </c>
    </row>
    <row r="12" spans="1:10" x14ac:dyDescent="0.35">
      <c r="D12" s="60"/>
    </row>
    <row r="13" spans="1:10" x14ac:dyDescent="0.35">
      <c r="C13" s="417" t="s">
        <v>933</v>
      </c>
      <c r="D13" s="418"/>
      <c r="E13" s="418"/>
      <c r="F13" s="418"/>
      <c r="G13" s="418"/>
      <c r="H13" s="418"/>
      <c r="I13" s="418"/>
      <c r="J13" s="419"/>
    </row>
    <row r="14" spans="1:10" ht="43.5" x14ac:dyDescent="0.35">
      <c r="A14" s="420"/>
      <c r="B14" s="421" t="s">
        <v>934</v>
      </c>
      <c r="C14" s="420" t="s">
        <v>89</v>
      </c>
      <c r="D14" s="420" t="s">
        <v>90</v>
      </c>
      <c r="E14" s="420" t="s">
        <v>91</v>
      </c>
      <c r="F14" s="420" t="s">
        <v>92</v>
      </c>
      <c r="G14" s="420" t="s">
        <v>93</v>
      </c>
      <c r="H14" s="420" t="s">
        <v>94</v>
      </c>
      <c r="I14" s="420"/>
      <c r="J14" s="420" t="s">
        <v>95</v>
      </c>
    </row>
    <row r="15" spans="1:10" x14ac:dyDescent="0.35">
      <c r="A15" s="9">
        <v>2025</v>
      </c>
      <c r="B15" s="61">
        <v>0</v>
      </c>
      <c r="C15" s="60">
        <f>C46*J15</f>
        <v>0</v>
      </c>
      <c r="D15" s="422">
        <f>B68*J15</f>
        <v>0</v>
      </c>
      <c r="E15" s="60">
        <f>K63*J15</f>
        <v>0</v>
      </c>
      <c r="F15" s="60">
        <f>Q63*J15</f>
        <v>0</v>
      </c>
      <c r="G15" s="60">
        <f>C67*J15</f>
        <v>0</v>
      </c>
      <c r="H15" s="60">
        <f>D67*J15</f>
        <v>0</v>
      </c>
      <c r="J15" s="9">
        <v>0</v>
      </c>
    </row>
    <row r="16" spans="1:10" x14ac:dyDescent="0.35">
      <c r="A16" s="9">
        <v>2026</v>
      </c>
      <c r="B16" s="61">
        <v>0.01</v>
      </c>
      <c r="C16" s="60">
        <f>C46*J16</f>
        <v>1020</v>
      </c>
      <c r="D16" s="423">
        <f>B68*J16</f>
        <v>-2.2731599999999998E-3</v>
      </c>
      <c r="E16" s="60">
        <f>K63*J16</f>
        <v>-2.0317968</v>
      </c>
      <c r="F16" s="60">
        <f>Q63*J16</f>
        <v>-385.11539823528977</v>
      </c>
      <c r="G16" s="60">
        <f>C67*J16</f>
        <v>862.84</v>
      </c>
      <c r="H16" s="60">
        <f>D67*J16</f>
        <v>19289.04</v>
      </c>
      <c r="J16" s="9">
        <v>0.02</v>
      </c>
    </row>
    <row r="17" spans="1:10" x14ac:dyDescent="0.35">
      <c r="A17" s="9">
        <v>2027</v>
      </c>
      <c r="B17" s="61">
        <v>0.02</v>
      </c>
      <c r="C17" s="60">
        <f>C46*J17</f>
        <v>2040</v>
      </c>
      <c r="D17" s="423">
        <f>B68*J17</f>
        <v>-4.5463199999999995E-3</v>
      </c>
      <c r="E17" s="60">
        <f>K63*J17</f>
        <v>-4.0635935999999999</v>
      </c>
      <c r="F17" s="60">
        <f>Q63*J17</f>
        <v>-770.23079647057955</v>
      </c>
      <c r="G17" s="60">
        <f>C67*J17</f>
        <v>1725.68</v>
      </c>
      <c r="H17" s="60">
        <f>D67*J17</f>
        <v>38578.080000000002</v>
      </c>
      <c r="J17" s="62">
        <v>0.04</v>
      </c>
    </row>
    <row r="18" spans="1:10" x14ac:dyDescent="0.35">
      <c r="A18" s="9">
        <v>2028</v>
      </c>
      <c r="B18" s="61">
        <v>0.02</v>
      </c>
      <c r="C18" s="60">
        <f>C46*J18</f>
        <v>2040</v>
      </c>
      <c r="D18" s="423">
        <f>B68*J18</f>
        <v>-4.5463199999999995E-3</v>
      </c>
      <c r="E18" s="60">
        <f>K63*J18</f>
        <v>-4.0635935999999999</v>
      </c>
      <c r="F18" s="60">
        <f>Q63*J18</f>
        <v>-770.23079647057955</v>
      </c>
      <c r="G18" s="60">
        <f>C67*J18</f>
        <v>1725.68</v>
      </c>
      <c r="H18" s="60">
        <f>D67*J18</f>
        <v>38578.080000000002</v>
      </c>
      <c r="J18" s="62">
        <v>0.04</v>
      </c>
    </row>
    <row r="19" spans="1:10" x14ac:dyDescent="0.35">
      <c r="A19" s="9">
        <v>2029</v>
      </c>
      <c r="B19" s="61">
        <v>0.03</v>
      </c>
      <c r="C19" s="60">
        <f>C46*J19</f>
        <v>3060</v>
      </c>
      <c r="D19" s="423">
        <f>B68*J19</f>
        <v>-6.8194799999999993E-3</v>
      </c>
      <c r="E19" s="60">
        <f>K63*J19</f>
        <v>-6.0953903999999994</v>
      </c>
      <c r="F19" s="60">
        <f>Q63*J19</f>
        <v>-1155.3461947058693</v>
      </c>
      <c r="G19" s="60">
        <f>C67*J19</f>
        <v>2588.52</v>
      </c>
      <c r="H19" s="60">
        <f>D67*J19</f>
        <v>57867.119999999995</v>
      </c>
      <c r="J19" s="62">
        <v>0.06</v>
      </c>
    </row>
    <row r="20" spans="1:10" x14ac:dyDescent="0.35">
      <c r="A20" s="9">
        <v>2030</v>
      </c>
      <c r="B20" s="61">
        <v>0.03</v>
      </c>
      <c r="C20" s="60">
        <f>C46*J20</f>
        <v>3060</v>
      </c>
      <c r="D20" s="423">
        <f>B68*J20</f>
        <v>-6.8194799999999993E-3</v>
      </c>
      <c r="E20" s="60">
        <f>K63*J20</f>
        <v>-6.0953903999999994</v>
      </c>
      <c r="F20" s="60">
        <f>Q63*J20</f>
        <v>-1155.3461947058693</v>
      </c>
      <c r="G20" s="60">
        <f>C67*J20</f>
        <v>2588.52</v>
      </c>
      <c r="H20" s="60">
        <f>D67*J20</f>
        <v>57867.119999999995</v>
      </c>
      <c r="J20" s="62">
        <v>0.06</v>
      </c>
    </row>
    <row r="21" spans="1:10" x14ac:dyDescent="0.35">
      <c r="A21" s="9">
        <v>2031</v>
      </c>
      <c r="B21" s="61">
        <v>0.03</v>
      </c>
      <c r="C21" s="60">
        <f>C46*J21</f>
        <v>3060</v>
      </c>
      <c r="D21" s="422">
        <f>B68*J21</f>
        <v>-6.8194799999999993E-3</v>
      </c>
      <c r="E21" s="60">
        <f>K63*J21</f>
        <v>-6.0953903999999994</v>
      </c>
      <c r="F21" s="60">
        <f>Q63*J21</f>
        <v>-1155.3461947058693</v>
      </c>
      <c r="G21" s="60">
        <f>C67*J21</f>
        <v>2588.52</v>
      </c>
      <c r="H21" s="60">
        <f>D67*J21</f>
        <v>57867.119999999995</v>
      </c>
      <c r="J21" s="62">
        <v>0.06</v>
      </c>
    </row>
    <row r="22" spans="1:10" x14ac:dyDescent="0.35">
      <c r="A22" s="9">
        <v>2032</v>
      </c>
      <c r="B22" s="61">
        <v>0.03</v>
      </c>
      <c r="C22" s="60">
        <f>C46*J22</f>
        <v>3060</v>
      </c>
      <c r="D22" s="422">
        <f>B68*J22</f>
        <v>-6.8194799999999993E-3</v>
      </c>
      <c r="E22" s="60">
        <f>K63*J22</f>
        <v>-6.0953903999999994</v>
      </c>
      <c r="F22" s="60">
        <f>Q63*J22</f>
        <v>-1155.3461947058693</v>
      </c>
      <c r="G22" s="60">
        <f>C67*J22</f>
        <v>2588.52</v>
      </c>
      <c r="H22" s="60">
        <f>D67*J22</f>
        <v>57867.119999999995</v>
      </c>
      <c r="J22" s="62">
        <v>0.06</v>
      </c>
    </row>
    <row r="23" spans="1:10" x14ac:dyDescent="0.35">
      <c r="A23" s="9">
        <v>2033</v>
      </c>
      <c r="B23" s="61">
        <v>0.03</v>
      </c>
      <c r="C23" s="60">
        <f>C46*J23</f>
        <v>3060</v>
      </c>
      <c r="D23" s="422">
        <f>B68*J23</f>
        <v>-6.8194799999999993E-3</v>
      </c>
      <c r="E23" s="60">
        <f>K63*J23</f>
        <v>-6.0953903999999994</v>
      </c>
      <c r="F23" s="60">
        <f>Q63*J23</f>
        <v>-1155.3461947058693</v>
      </c>
      <c r="G23" s="60">
        <f>C67*J23</f>
        <v>2588.52</v>
      </c>
      <c r="H23" s="60">
        <f>D67*J23</f>
        <v>57867.119999999995</v>
      </c>
      <c r="J23" s="62">
        <v>0.06</v>
      </c>
    </row>
    <row r="24" spans="1:10" x14ac:dyDescent="0.35">
      <c r="A24" s="9">
        <v>2034</v>
      </c>
      <c r="B24" s="61">
        <v>0.03</v>
      </c>
      <c r="C24" s="60">
        <f>C46*J24</f>
        <v>3060</v>
      </c>
      <c r="D24" s="422">
        <f>B68*J24</f>
        <v>-6.8194799999999993E-3</v>
      </c>
      <c r="E24" s="60">
        <f>K63*J24</f>
        <v>-6.0953903999999994</v>
      </c>
      <c r="F24" s="60">
        <f>Q63*J24</f>
        <v>-1155.3461947058693</v>
      </c>
      <c r="G24" s="60">
        <f>C67*J24</f>
        <v>2588.52</v>
      </c>
      <c r="H24" s="60">
        <f>D67*J24</f>
        <v>57867.119999999995</v>
      </c>
      <c r="J24" s="62">
        <v>0.06</v>
      </c>
    </row>
    <row r="25" spans="1:10" x14ac:dyDescent="0.35">
      <c r="A25" s="9">
        <v>2035</v>
      </c>
      <c r="B25" s="61">
        <v>0.03</v>
      </c>
      <c r="C25" s="63">
        <f>C46*J25</f>
        <v>3060</v>
      </c>
      <c r="D25" s="422">
        <f>B68*J25</f>
        <v>-6.8194799999999993E-3</v>
      </c>
      <c r="E25" s="60">
        <f>K63*J25</f>
        <v>-6.0953903999999994</v>
      </c>
      <c r="F25" s="60">
        <f>Q63*J25</f>
        <v>-1155.3461947058693</v>
      </c>
      <c r="G25" s="60">
        <f>C67*J25</f>
        <v>2588.52</v>
      </c>
      <c r="H25" s="60">
        <f>D67*J25</f>
        <v>57867.119999999995</v>
      </c>
      <c r="J25" s="62">
        <v>0.06</v>
      </c>
    </row>
    <row r="26" spans="1:10" x14ac:dyDescent="0.35">
      <c r="A26" s="9">
        <v>2036</v>
      </c>
      <c r="B26" s="61">
        <v>0.03</v>
      </c>
      <c r="C26" s="63">
        <f>C46*J26</f>
        <v>3060</v>
      </c>
      <c r="D26" s="422">
        <f>B68*J26</f>
        <v>-6.8194799999999993E-3</v>
      </c>
      <c r="E26" s="60">
        <f>K63*J26</f>
        <v>-6.0953903999999994</v>
      </c>
      <c r="F26" s="60">
        <f>Q63*J26</f>
        <v>-1155.3461947058693</v>
      </c>
      <c r="G26" s="60">
        <f>C67*J26</f>
        <v>2588.52</v>
      </c>
      <c r="H26" s="60">
        <f>D67*J26</f>
        <v>57867.119999999995</v>
      </c>
      <c r="J26" s="62">
        <v>0.06</v>
      </c>
    </row>
    <row r="27" spans="1:10" x14ac:dyDescent="0.35">
      <c r="A27" s="9">
        <v>2037</v>
      </c>
      <c r="B27" s="61">
        <v>0.03</v>
      </c>
      <c r="C27" s="63">
        <f>C46*J27</f>
        <v>3060</v>
      </c>
      <c r="D27" s="422">
        <f>B68*J27</f>
        <v>-6.8194799999999993E-3</v>
      </c>
      <c r="E27" s="60">
        <f>K63*J27</f>
        <v>-6.0953903999999994</v>
      </c>
      <c r="F27" s="60">
        <f>Q63*J27</f>
        <v>-1155.3461947058693</v>
      </c>
      <c r="G27" s="60">
        <f>C67*J27</f>
        <v>2588.52</v>
      </c>
      <c r="H27" s="60">
        <f>D67*J27</f>
        <v>57867.119999999995</v>
      </c>
      <c r="J27" s="62">
        <v>0.06</v>
      </c>
    </row>
    <row r="28" spans="1:10" x14ac:dyDescent="0.35">
      <c r="A28" s="9">
        <v>2038</v>
      </c>
      <c r="B28" s="61">
        <v>0.03</v>
      </c>
      <c r="C28" s="63">
        <f>C46*J28</f>
        <v>3060</v>
      </c>
      <c r="D28" s="422">
        <f>B68*J28</f>
        <v>-6.8194799999999993E-3</v>
      </c>
      <c r="E28" s="60">
        <f>K63*J28</f>
        <v>-6.0953903999999994</v>
      </c>
      <c r="F28" s="60">
        <f>Q63*J28</f>
        <v>-1155.3461947058693</v>
      </c>
      <c r="G28" s="60">
        <f>C67*J28</f>
        <v>2588.52</v>
      </c>
      <c r="H28" s="60">
        <f>D67*J28</f>
        <v>57867.119999999995</v>
      </c>
      <c r="J28" s="62">
        <v>0.06</v>
      </c>
    </row>
    <row r="29" spans="1:10" x14ac:dyDescent="0.35">
      <c r="A29" s="9">
        <v>2039</v>
      </c>
      <c r="B29" s="61">
        <v>0.03</v>
      </c>
      <c r="C29" s="63">
        <f>C46*J29</f>
        <v>3060</v>
      </c>
      <c r="D29" s="422">
        <f>B68*J29</f>
        <v>-6.8194799999999993E-3</v>
      </c>
      <c r="E29" s="60">
        <f>K63*J29</f>
        <v>-6.0953903999999994</v>
      </c>
      <c r="F29" s="60">
        <f>Q63*J29</f>
        <v>-1155.3461947058693</v>
      </c>
      <c r="G29" s="60">
        <f>C67*J29</f>
        <v>2588.52</v>
      </c>
      <c r="H29" s="60">
        <f>D67*J29</f>
        <v>57867.119999999995</v>
      </c>
      <c r="J29" s="62">
        <v>0.06</v>
      </c>
    </row>
    <row r="30" spans="1:10" x14ac:dyDescent="0.35">
      <c r="A30" s="9">
        <v>2040</v>
      </c>
      <c r="B30" s="61">
        <v>0.03</v>
      </c>
      <c r="C30" s="63">
        <f>C46*J30</f>
        <v>3060</v>
      </c>
      <c r="D30" s="422">
        <f>B68*J30</f>
        <v>-6.8194799999999993E-3</v>
      </c>
      <c r="E30" s="60">
        <f>K63*J30</f>
        <v>-6.0953903999999994</v>
      </c>
      <c r="F30" s="60">
        <f>Q63*J30</f>
        <v>-1155.3461947058693</v>
      </c>
      <c r="G30" s="60">
        <f>C67*J30</f>
        <v>2588.52</v>
      </c>
      <c r="H30" s="60">
        <f>D67*J30</f>
        <v>57867.119999999995</v>
      </c>
      <c r="J30" s="62">
        <v>0.06</v>
      </c>
    </row>
    <row r="31" spans="1:10" x14ac:dyDescent="0.35">
      <c r="A31" s="9">
        <v>2041</v>
      </c>
      <c r="B31" s="61">
        <v>0.03</v>
      </c>
      <c r="C31" s="63">
        <f>C46*J31</f>
        <v>3060</v>
      </c>
      <c r="D31" s="422">
        <f>B68*J31</f>
        <v>-6.8194799999999993E-3</v>
      </c>
      <c r="E31" s="60">
        <f>K63*J31</f>
        <v>-6.0953903999999994</v>
      </c>
      <c r="F31" s="60">
        <f>Q63*J31</f>
        <v>-1155.3461947058693</v>
      </c>
      <c r="G31" s="60">
        <f>C67*J31</f>
        <v>2588.52</v>
      </c>
      <c r="H31" s="60">
        <f>D67*J31</f>
        <v>57867.119999999995</v>
      </c>
      <c r="J31" s="62">
        <v>0.06</v>
      </c>
    </row>
    <row r="32" spans="1:10" x14ac:dyDescent="0.35">
      <c r="A32" s="9">
        <v>2042</v>
      </c>
      <c r="B32" s="61">
        <v>0.03</v>
      </c>
      <c r="C32" s="63">
        <f>C46*J32</f>
        <v>3060</v>
      </c>
      <c r="D32" s="422">
        <f>B68*J32</f>
        <v>-6.8194799999999993E-3</v>
      </c>
      <c r="E32" s="60">
        <f>K63*J32</f>
        <v>-6.0953903999999994</v>
      </c>
      <c r="F32" s="60">
        <f>Q63*J32</f>
        <v>-1155.3461947058693</v>
      </c>
      <c r="G32" s="60">
        <f>C67*J32</f>
        <v>2588.52</v>
      </c>
      <c r="H32" s="60">
        <f>D67*J32</f>
        <v>57867.119999999995</v>
      </c>
      <c r="J32" s="62">
        <v>0.06</v>
      </c>
    </row>
    <row r="33" spans="1:17" x14ac:dyDescent="0.35">
      <c r="A33" s="9">
        <v>2043</v>
      </c>
      <c r="B33" s="61">
        <v>0.03</v>
      </c>
      <c r="C33" s="63">
        <f>C46*J33</f>
        <v>3060</v>
      </c>
      <c r="D33" s="422">
        <f>B68*J33</f>
        <v>-6.8194799999999993E-3</v>
      </c>
      <c r="E33" s="60">
        <f>K63*J33</f>
        <v>-6.0953903999999994</v>
      </c>
      <c r="F33" s="60">
        <f>Q63*J33</f>
        <v>-1155.3461947058693</v>
      </c>
      <c r="G33" s="60">
        <f>C67*J33</f>
        <v>2588.52</v>
      </c>
      <c r="H33" s="60">
        <f>D67*J33</f>
        <v>57867.119999999995</v>
      </c>
      <c r="J33" s="62">
        <v>0.06</v>
      </c>
    </row>
    <row r="34" spans="1:17" x14ac:dyDescent="0.35">
      <c r="A34" s="9">
        <v>2044</v>
      </c>
      <c r="B34" s="61">
        <v>0.03</v>
      </c>
      <c r="C34" s="63">
        <f>C46*J34</f>
        <v>3060</v>
      </c>
      <c r="D34" s="422">
        <f>B68*J34</f>
        <v>-6.8194799999999993E-3</v>
      </c>
      <c r="E34" s="60">
        <f>K63*J34</f>
        <v>-6.0953903999999994</v>
      </c>
      <c r="F34" s="60">
        <f>Q63*J34</f>
        <v>-1155.3461947058693</v>
      </c>
      <c r="G34" s="60">
        <f>C67*J34</f>
        <v>2588.52</v>
      </c>
      <c r="H34" s="60">
        <f>D67*J34</f>
        <v>57867.119999999995</v>
      </c>
      <c r="J34" s="62">
        <v>0.06</v>
      </c>
    </row>
    <row r="35" spans="1:17" x14ac:dyDescent="0.35">
      <c r="A35" s="9">
        <v>2045</v>
      </c>
      <c r="B35" s="61">
        <v>0.03</v>
      </c>
      <c r="C35" s="63">
        <f>C46*J35</f>
        <v>3060</v>
      </c>
      <c r="D35" s="422">
        <f>B68*J35</f>
        <v>-6.8194799999999993E-3</v>
      </c>
      <c r="E35" s="60">
        <f>K63*J35</f>
        <v>-6.0953903999999994</v>
      </c>
      <c r="F35" s="60">
        <f>Q63*J35</f>
        <v>-1155.3461947058693</v>
      </c>
      <c r="G35" s="60">
        <f>C67*J35</f>
        <v>2588.52</v>
      </c>
      <c r="H35" s="60">
        <f>D67*J35</f>
        <v>57867.119999999995</v>
      </c>
      <c r="J35" s="62">
        <v>0.06</v>
      </c>
    </row>
    <row r="36" spans="1:17" x14ac:dyDescent="0.35">
      <c r="A36" s="9">
        <v>2046</v>
      </c>
      <c r="B36" s="61">
        <v>0.03</v>
      </c>
      <c r="C36" s="63">
        <f>C46*J36</f>
        <v>3060</v>
      </c>
      <c r="D36" s="422">
        <f>B68*J36</f>
        <v>-6.8194799999999993E-3</v>
      </c>
      <c r="E36" s="60">
        <f>K63*J36</f>
        <v>-6.0953903999999994</v>
      </c>
      <c r="F36" s="60">
        <f>Q63*J36</f>
        <v>-1155.3461947058693</v>
      </c>
      <c r="G36" s="60">
        <f>C67*J36</f>
        <v>2588.52</v>
      </c>
      <c r="H36" s="60">
        <f>D67*J36</f>
        <v>57867.119999999995</v>
      </c>
      <c r="J36" s="62">
        <v>0.06</v>
      </c>
    </row>
    <row r="37" spans="1:17" x14ac:dyDescent="0.35">
      <c r="A37" s="9">
        <v>2047</v>
      </c>
      <c r="B37" s="61">
        <v>0.03</v>
      </c>
      <c r="C37" s="63">
        <f>C46*J37</f>
        <v>3060</v>
      </c>
      <c r="D37" s="422">
        <f>B68*J37</f>
        <v>-6.8194799999999993E-3</v>
      </c>
      <c r="E37" s="60">
        <f>K63*J37</f>
        <v>-6.0953903999999994</v>
      </c>
      <c r="F37" s="60">
        <f>Q63*J37</f>
        <v>-1155.3461947058693</v>
      </c>
      <c r="G37" s="60">
        <f>C67*J37</f>
        <v>2588.52</v>
      </c>
      <c r="H37" s="60">
        <f>D67*J37</f>
        <v>57867.119999999995</v>
      </c>
      <c r="J37" s="62">
        <v>0.06</v>
      </c>
    </row>
    <row r="38" spans="1:17" x14ac:dyDescent="0.35">
      <c r="A38" s="9">
        <v>2048</v>
      </c>
      <c r="B38" s="61">
        <v>0.03</v>
      </c>
      <c r="C38" s="63">
        <f>C46*J38</f>
        <v>3060</v>
      </c>
      <c r="D38" s="422">
        <f>B68*J38</f>
        <v>-6.8194799999999993E-3</v>
      </c>
      <c r="E38" s="60">
        <f>K63*J38</f>
        <v>-6.0953903999999994</v>
      </c>
      <c r="F38" s="60">
        <f>Q63*J38</f>
        <v>-1155.3461947058693</v>
      </c>
      <c r="G38" s="60">
        <f>C67*J38</f>
        <v>2588.52</v>
      </c>
      <c r="H38" s="60">
        <f>D67*J38</f>
        <v>57867.119999999995</v>
      </c>
      <c r="J38" s="62">
        <v>0.06</v>
      </c>
    </row>
    <row r="39" spans="1:17" x14ac:dyDescent="0.35">
      <c r="A39" s="9">
        <v>2049</v>
      </c>
      <c r="B39" s="61">
        <v>0.03</v>
      </c>
      <c r="C39" s="63">
        <f>C46*J39</f>
        <v>3060</v>
      </c>
      <c r="D39" s="422">
        <f>B68*J39</f>
        <v>-6.8194799999999993E-3</v>
      </c>
      <c r="E39" s="60">
        <f>K63*J39</f>
        <v>-6.0953903999999994</v>
      </c>
      <c r="F39" s="60">
        <f>Q63*J39</f>
        <v>-1155.3461947058693</v>
      </c>
      <c r="G39" s="60">
        <f>C67*J39</f>
        <v>2588.52</v>
      </c>
      <c r="H39" s="60">
        <f>D67*J39</f>
        <v>57867.119999999995</v>
      </c>
      <c r="J39" s="62">
        <v>0.06</v>
      </c>
    </row>
    <row r="40" spans="1:17" x14ac:dyDescent="0.35">
      <c r="A40" s="9">
        <v>2050</v>
      </c>
      <c r="B40" s="61">
        <v>0.03</v>
      </c>
      <c r="C40" s="63">
        <f>C46*J40</f>
        <v>3060</v>
      </c>
      <c r="D40" s="422">
        <f>B68*J40</f>
        <v>-6.8194799999999993E-3</v>
      </c>
      <c r="E40" s="60">
        <f>K63*J40</f>
        <v>-6.0953903999999994</v>
      </c>
      <c r="F40" s="60">
        <f>Q63*J40</f>
        <v>-1155.3461947058693</v>
      </c>
      <c r="G40" s="60">
        <f>C67*J40</f>
        <v>2588.52</v>
      </c>
      <c r="H40" s="60">
        <f>D67*J40</f>
        <v>57867.119999999995</v>
      </c>
      <c r="J40" s="62">
        <v>0.06</v>
      </c>
    </row>
    <row r="41" spans="1:17" x14ac:dyDescent="0.35">
      <c r="B41" s="61"/>
      <c r="E41" s="60"/>
      <c r="F41" s="60"/>
      <c r="H41" s="64"/>
    </row>
    <row r="42" spans="1:17" x14ac:dyDescent="0.35">
      <c r="A42" s="65" t="s">
        <v>96</v>
      </c>
      <c r="B42" s="66"/>
      <c r="D42" s="67">
        <f>SUM(D15:D20)</f>
        <v>-2.5004759999999997E-2</v>
      </c>
      <c r="E42" s="68">
        <f>SUM(E15:E20)</f>
        <v>-22.349764799999999</v>
      </c>
      <c r="F42" s="68">
        <f>SUM(F15:F20)</f>
        <v>-4236.2693805881872</v>
      </c>
      <c r="H42" s="64"/>
    </row>
    <row r="43" spans="1:17" x14ac:dyDescent="0.35">
      <c r="A43" s="69" t="s">
        <v>97</v>
      </c>
      <c r="B43" s="66"/>
      <c r="D43" s="67">
        <f>SUM(D15:D20)</f>
        <v>-2.5004759999999997E-2</v>
      </c>
      <c r="E43" s="68">
        <f>SUM(E15:E20)</f>
        <v>-22.349764799999999</v>
      </c>
      <c r="F43" s="68">
        <f>SUM(F15:F20)</f>
        <v>-4236.2693805881872</v>
      </c>
      <c r="H43" s="64"/>
    </row>
    <row r="44" spans="1:17" x14ac:dyDescent="0.35">
      <c r="A44" s="65" t="s">
        <v>98</v>
      </c>
      <c r="B44" s="66"/>
      <c r="D44" s="67">
        <f>SUM(D15:D40)</f>
        <v>-0.16139435999999996</v>
      </c>
      <c r="E44" s="67">
        <f>SUM(E15:E40)</f>
        <v>-144.25757279999999</v>
      </c>
      <c r="F44" s="67">
        <f>SUM(F15:F40)</f>
        <v>-27343.193274705558</v>
      </c>
      <c r="H44" s="64"/>
    </row>
    <row r="45" spans="1:17" x14ac:dyDescent="0.35">
      <c r="A45" s="69" t="s">
        <v>99</v>
      </c>
      <c r="B45" s="66"/>
      <c r="D45" s="67">
        <f>SUM(D15:D40)</f>
        <v>-0.16139435999999996</v>
      </c>
      <c r="E45" s="67">
        <f>SUM(E15:E40)</f>
        <v>-144.25757279999999</v>
      </c>
      <c r="F45" s="67">
        <f>SUM(F15:F40)</f>
        <v>-27343.193274705558</v>
      </c>
      <c r="H45" s="64"/>
    </row>
    <row r="46" spans="1:17" x14ac:dyDescent="0.35">
      <c r="B46" s="95" t="s">
        <v>100</v>
      </c>
      <c r="C46" s="424">
        <f>D56+D57</f>
        <v>51000</v>
      </c>
    </row>
    <row r="48" spans="1:17" s="10" customFormat="1" ht="29" x14ac:dyDescent="0.35">
      <c r="A48" s="70" t="s">
        <v>4</v>
      </c>
      <c r="B48" s="71" t="s">
        <v>101</v>
      </c>
      <c r="C48" s="71" t="s">
        <v>102</v>
      </c>
      <c r="D48" s="71" t="s">
        <v>103</v>
      </c>
      <c r="E48" s="71" t="s">
        <v>104</v>
      </c>
      <c r="G48" s="72" t="s">
        <v>105</v>
      </c>
      <c r="H48" s="73" t="s">
        <v>106</v>
      </c>
      <c r="I48" s="73" t="s">
        <v>107</v>
      </c>
      <c r="J48" s="73" t="s">
        <v>108</v>
      </c>
      <c r="K48" s="73" t="s">
        <v>109</v>
      </c>
      <c r="M48" s="72" t="s">
        <v>110</v>
      </c>
      <c r="N48" s="73" t="s">
        <v>106</v>
      </c>
      <c r="O48" s="73" t="s">
        <v>107</v>
      </c>
      <c r="P48" s="73" t="s">
        <v>108</v>
      </c>
      <c r="Q48" s="73" t="s">
        <v>111</v>
      </c>
    </row>
    <row r="49" spans="1:17" x14ac:dyDescent="0.35">
      <c r="A49" s="74" t="s">
        <v>112</v>
      </c>
      <c r="B49" s="75">
        <v>61000</v>
      </c>
      <c r="C49" s="75"/>
      <c r="D49" s="75"/>
      <c r="E49" s="75"/>
      <c r="G49" s="53" t="s">
        <v>112</v>
      </c>
      <c r="H49" s="54">
        <f>B49*'[1]PM2.5 and VOCs'!C36</f>
        <v>1298.08</v>
      </c>
      <c r="I49" s="53"/>
      <c r="J49" s="54"/>
      <c r="K49" s="53"/>
      <c r="M49" s="53" t="s">
        <v>112</v>
      </c>
      <c r="N49" s="54">
        <f>H49*('[1]PM2.5 and VOCs'!D36+'[1]PM2.5 and VOCs'!E36)</f>
        <v>-10094.63335104</v>
      </c>
      <c r="O49" s="54"/>
      <c r="P49" s="54"/>
      <c r="Q49" s="54"/>
    </row>
    <row r="50" spans="1:17" x14ac:dyDescent="0.35">
      <c r="A50" s="74" t="s">
        <v>113</v>
      </c>
      <c r="B50" s="75"/>
      <c r="C50" s="75">
        <v>40000</v>
      </c>
      <c r="D50" s="75"/>
      <c r="E50" s="75"/>
      <c r="G50" s="53" t="s">
        <v>113</v>
      </c>
      <c r="H50" s="53"/>
      <c r="I50" s="54">
        <f>C50*'[1]PM2.5 and VOCs'!C43</f>
        <v>101488.00000000001</v>
      </c>
      <c r="J50" s="53"/>
      <c r="K50" s="53"/>
      <c r="M50" s="53" t="s">
        <v>113</v>
      </c>
      <c r="N50" s="54"/>
      <c r="O50" s="54">
        <f>I50*('[1]PM2.5 and VOCs'!D43+'[1]PM2.5 and VOCs'!E43)</f>
        <v>180348028.28150401</v>
      </c>
      <c r="P50" s="54"/>
      <c r="Q50" s="54"/>
    </row>
    <row r="51" spans="1:17" x14ac:dyDescent="0.35">
      <c r="A51" s="74" t="s">
        <v>114</v>
      </c>
      <c r="B51" s="75"/>
      <c r="C51" s="75"/>
      <c r="D51" s="75"/>
      <c r="E51" s="75"/>
      <c r="G51" s="53" t="s">
        <v>114</v>
      </c>
      <c r="H51" s="53"/>
      <c r="I51" s="54">
        <f>C51*'[1]PM2.5 and VOCs'!C43</f>
        <v>0</v>
      </c>
      <c r="J51" s="53"/>
      <c r="K51" s="53"/>
      <c r="M51" s="53" t="s">
        <v>114</v>
      </c>
      <c r="N51" s="54"/>
      <c r="O51" s="54">
        <f>I51*('[1]PM2.5 and VOCs'!D43+'[1]PM2.5 and VOCs'!E43)</f>
        <v>0</v>
      </c>
      <c r="P51" s="54"/>
      <c r="Q51" s="54"/>
    </row>
    <row r="52" spans="1:17" x14ac:dyDescent="0.35">
      <c r="A52" s="74" t="s">
        <v>115</v>
      </c>
      <c r="B52" s="75"/>
      <c r="C52" s="75"/>
      <c r="D52" s="75"/>
      <c r="E52" s="75"/>
      <c r="G52" s="53" t="s">
        <v>115</v>
      </c>
      <c r="H52" s="53"/>
      <c r="I52" s="53"/>
      <c r="J52" s="53">
        <f>D52*'[1]PM2.5 and VOCs'!C11</f>
        <v>0</v>
      </c>
      <c r="K52" s="53"/>
      <c r="M52" s="53" t="s">
        <v>115</v>
      </c>
      <c r="N52" s="54"/>
      <c r="O52" s="54"/>
      <c r="P52" s="54">
        <f>J52*('[1]PM2.5 and VOCs'!D11+'[1]PM2.5 and VOCs'!E11)</f>
        <v>0</v>
      </c>
      <c r="Q52" s="54"/>
    </row>
    <row r="53" spans="1:17" x14ac:dyDescent="0.35">
      <c r="A53" s="74"/>
      <c r="B53" s="75">
        <f>SUM(B49:B52)</f>
        <v>61000</v>
      </c>
      <c r="C53" s="75">
        <f>SUM(C49:C52)</f>
        <v>40000</v>
      </c>
      <c r="D53" s="75">
        <f>SUM(D49:D52)</f>
        <v>0</v>
      </c>
      <c r="E53" s="76">
        <f>SUM(B53:D53)</f>
        <v>101000</v>
      </c>
      <c r="G53" s="53"/>
      <c r="H53" s="54">
        <f>SUM(H49:H52)</f>
        <v>1298.08</v>
      </c>
      <c r="I53" s="54">
        <f>SUM(I49:I52)</f>
        <v>101488.00000000001</v>
      </c>
      <c r="J53" s="53">
        <f>SUM(J49:J52)</f>
        <v>0</v>
      </c>
      <c r="K53" s="77">
        <f>SUM(H53:J53)</f>
        <v>102786.08000000002</v>
      </c>
      <c r="M53" s="53"/>
      <c r="N53" s="54">
        <f>SUM(N49:N52)</f>
        <v>-10094.63335104</v>
      </c>
      <c r="O53" s="54">
        <f>SUM(O49:O52)</f>
        <v>180348028.28150401</v>
      </c>
      <c r="P53" s="54">
        <f>SUM(P49:P52)</f>
        <v>0</v>
      </c>
      <c r="Q53" s="77">
        <f>SUM(N53:P53)</f>
        <v>180337933.64815298</v>
      </c>
    </row>
    <row r="54" spans="1:17" x14ac:dyDescent="0.35">
      <c r="B54" s="60"/>
      <c r="E54" s="68"/>
      <c r="H54" s="60"/>
      <c r="K54" s="68"/>
      <c r="N54" s="60"/>
      <c r="Q54" s="68"/>
    </row>
    <row r="55" spans="1:17" ht="29" x14ac:dyDescent="0.35">
      <c r="A55" s="78" t="s">
        <v>116</v>
      </c>
      <c r="B55" s="79" t="s">
        <v>101</v>
      </c>
      <c r="C55" s="79" t="s">
        <v>102</v>
      </c>
      <c r="D55" s="79" t="s">
        <v>103</v>
      </c>
      <c r="E55" s="79" t="s">
        <v>104</v>
      </c>
      <c r="G55" s="72" t="s">
        <v>117</v>
      </c>
      <c r="H55" s="73" t="s">
        <v>106</v>
      </c>
      <c r="I55" s="73" t="s">
        <v>107</v>
      </c>
      <c r="J55" s="73" t="s">
        <v>108</v>
      </c>
      <c r="K55" s="73" t="s">
        <v>109</v>
      </c>
      <c r="M55" s="72" t="s">
        <v>118</v>
      </c>
      <c r="N55" s="73" t="s">
        <v>106</v>
      </c>
      <c r="O55" s="73" t="s">
        <v>107</v>
      </c>
      <c r="P55" s="73" t="s">
        <v>108</v>
      </c>
      <c r="Q55" s="73" t="s">
        <v>111</v>
      </c>
    </row>
    <row r="56" spans="1:17" x14ac:dyDescent="0.35">
      <c r="A56" s="80" t="s">
        <v>112</v>
      </c>
      <c r="B56" s="81">
        <v>30000</v>
      </c>
      <c r="C56" s="81"/>
      <c r="D56" s="425">
        <v>31000</v>
      </c>
      <c r="E56" s="81"/>
      <c r="G56" s="53" t="s">
        <v>112</v>
      </c>
      <c r="H56" s="54">
        <f>B56*'[1]PM2.5 and VOCs'!C36</f>
        <v>638.4</v>
      </c>
      <c r="I56" s="53"/>
      <c r="J56" s="54">
        <f>D56*'[1]PM2.5 and VOCs'!C11</f>
        <v>-92256</v>
      </c>
      <c r="K56" s="53"/>
      <c r="M56" s="53" t="s">
        <v>112</v>
      </c>
      <c r="N56" s="54">
        <f>H56*('[1]PM2.5 and VOCs'!D36+'[1]PM2.5 and VOCs'!E36)</f>
        <v>-4964.5737792</v>
      </c>
      <c r="O56" s="53"/>
      <c r="P56" s="54">
        <f>J56*('[1]PM2.5 and VOCs'!D11+'[1]PM2.5 and VOCs'!E11)</f>
        <v>31399562.195827201</v>
      </c>
      <c r="Q56" s="53"/>
    </row>
    <row r="57" spans="1:17" x14ac:dyDescent="0.35">
      <c r="A57" s="80" t="s">
        <v>113</v>
      </c>
      <c r="B57" s="81"/>
      <c r="C57" s="81">
        <v>20000</v>
      </c>
      <c r="D57" s="425">
        <v>20000</v>
      </c>
      <c r="E57" s="81"/>
      <c r="G57" s="53" t="s">
        <v>113</v>
      </c>
      <c r="H57" s="53"/>
      <c r="I57" s="54">
        <f>C57*'[1]PM2.5 and VOCs'!C43</f>
        <v>50744.000000000007</v>
      </c>
      <c r="J57" s="54">
        <f>D57*'[1]PM2.5 and VOCs'!C11</f>
        <v>-59520</v>
      </c>
      <c r="K57" s="53"/>
      <c r="M57" s="53" t="s">
        <v>113</v>
      </c>
      <c r="N57" s="53"/>
      <c r="O57" s="54">
        <f>I57*('[1]PM2.5 and VOCs'!D43+'[1]PM2.5 and VOCs'!E43)</f>
        <v>90174014.140752003</v>
      </c>
      <c r="P57" s="54">
        <f>J57*('[1]PM2.5 and VOCs'!D11+'[1]PM2.5 and VOCs'!E11)</f>
        <v>20257782.061824001</v>
      </c>
      <c r="Q57" s="53"/>
    </row>
    <row r="58" spans="1:17" x14ac:dyDescent="0.35">
      <c r="A58" s="80" t="s">
        <v>114</v>
      </c>
      <c r="B58" s="81"/>
      <c r="C58" s="81"/>
      <c r="D58" s="81"/>
      <c r="E58" s="81"/>
      <c r="G58" s="53" t="s">
        <v>114</v>
      </c>
      <c r="H58" s="53"/>
      <c r="I58" s="54">
        <f>C58*'[1]PM2.5 and VOCs'!C43</f>
        <v>0</v>
      </c>
      <c r="J58" s="54">
        <f>D58*'[1]PM2.5 and VOCs'!C11</f>
        <v>0</v>
      </c>
      <c r="K58" s="53"/>
      <c r="M58" s="53" t="s">
        <v>114</v>
      </c>
      <c r="N58" s="53"/>
      <c r="O58" s="54">
        <f>I58*('[1]PM2.5 and VOCs'!D43+'[1]PM2.5 and VOCs'!E43)</f>
        <v>0</v>
      </c>
      <c r="P58" s="54">
        <f>J58*('[1]PM2.5 and VOCs'!D11+'[1]PM2.5 and VOCs'!E11)</f>
        <v>0</v>
      </c>
      <c r="Q58" s="53"/>
    </row>
    <row r="59" spans="1:17" x14ac:dyDescent="0.35">
      <c r="A59" s="80" t="s">
        <v>115</v>
      </c>
      <c r="B59" s="81"/>
      <c r="C59" s="81"/>
      <c r="D59" s="81"/>
      <c r="E59" s="81"/>
      <c r="G59" s="53" t="s">
        <v>115</v>
      </c>
      <c r="H59" s="53"/>
      <c r="I59" s="53"/>
      <c r="J59" s="54">
        <f>D59*'[1]PM2.5 and VOCs'!C11</f>
        <v>0</v>
      </c>
      <c r="K59" s="53"/>
      <c r="M59" s="53" t="s">
        <v>115</v>
      </c>
      <c r="N59" s="53"/>
      <c r="O59" s="53"/>
      <c r="P59" s="54">
        <f>J59*('[1]PM2.5 and VOCs'!D11+'[1]PM2.5 and VOCs'!E11)</f>
        <v>0</v>
      </c>
      <c r="Q59" s="53"/>
    </row>
    <row r="60" spans="1:17" x14ac:dyDescent="0.35">
      <c r="A60" s="80"/>
      <c r="B60" s="81">
        <f>SUM(B56:B59)</f>
        <v>30000</v>
      </c>
      <c r="C60" s="81">
        <f>SUM(C56:C59)</f>
        <v>20000</v>
      </c>
      <c r="D60" s="81">
        <f>SUM(D56:D59)</f>
        <v>51000</v>
      </c>
      <c r="E60" s="82">
        <f>SUM(B60:D60)</f>
        <v>101000</v>
      </c>
      <c r="G60" s="53"/>
      <c r="H60" s="54">
        <f>SUM(H56:H59)</f>
        <v>638.4</v>
      </c>
      <c r="I60" s="54">
        <f>SUM(I56:I59)</f>
        <v>50744.000000000007</v>
      </c>
      <c r="J60" s="54">
        <f>SUM(J56:J59)</f>
        <v>-151776</v>
      </c>
      <c r="K60" s="77">
        <f>SUM(H60:J60)</f>
        <v>-100393.59999999999</v>
      </c>
      <c r="M60" s="53"/>
      <c r="N60" s="54">
        <f>SUM(N56:N59)</f>
        <v>-4964.5737792</v>
      </c>
      <c r="O60" s="54">
        <f>SUM(O56:O59)</f>
        <v>90174014.140752003</v>
      </c>
      <c r="P60" s="54">
        <f>SUM(P56:P59)</f>
        <v>51657344.257651202</v>
      </c>
      <c r="Q60" s="77">
        <f>SUM(N60:P60)</f>
        <v>141826393.824624</v>
      </c>
    </row>
    <row r="61" spans="1:17" x14ac:dyDescent="0.35">
      <c r="B61" s="60"/>
      <c r="E61" s="68"/>
      <c r="H61" s="60"/>
      <c r="I61" s="60"/>
      <c r="K61" s="68"/>
      <c r="N61" s="60"/>
      <c r="O61" s="60"/>
      <c r="Q61" s="68"/>
    </row>
    <row r="62" spans="1:17" x14ac:dyDescent="0.35">
      <c r="B62" s="60"/>
      <c r="E62" s="68"/>
      <c r="H62" s="60"/>
      <c r="I62" s="60"/>
      <c r="J62" s="9" t="s">
        <v>119</v>
      </c>
      <c r="K62" s="68">
        <f>K60-K53</f>
        <v>-203179.68</v>
      </c>
      <c r="N62" s="60"/>
      <c r="O62" s="60"/>
      <c r="P62" s="9" t="s">
        <v>120</v>
      </c>
      <c r="Q62" s="68">
        <f>Q60-Q53</f>
        <v>-38511539.823528975</v>
      </c>
    </row>
    <row r="63" spans="1:17" x14ac:dyDescent="0.35">
      <c r="J63" s="9" t="s">
        <v>121</v>
      </c>
      <c r="K63" s="60">
        <f>K62/2000</f>
        <v>-101.58984</v>
      </c>
      <c r="P63" s="9" t="s">
        <v>121</v>
      </c>
      <c r="Q63" s="60">
        <f>Q62/2000</f>
        <v>-19255.769911764488</v>
      </c>
    </row>
    <row r="64" spans="1:17" s="10" customFormat="1" ht="43.5" x14ac:dyDescent="0.35">
      <c r="A64" s="426" t="s">
        <v>935</v>
      </c>
      <c r="B64" s="427" t="s">
        <v>122</v>
      </c>
      <c r="C64" s="427" t="s">
        <v>123</v>
      </c>
      <c r="D64" s="427" t="s">
        <v>124</v>
      </c>
    </row>
    <row r="65" spans="1:6" x14ac:dyDescent="0.35">
      <c r="A65" s="9" t="s">
        <v>936</v>
      </c>
      <c r="B65" s="60">
        <v>-45268</v>
      </c>
      <c r="C65" s="60">
        <v>43142</v>
      </c>
      <c r="D65" s="83">
        <v>964452</v>
      </c>
      <c r="E65" s="60"/>
      <c r="F65" s="60"/>
    </row>
    <row r="66" spans="1:6" x14ac:dyDescent="0.35">
      <c r="A66" s="9" t="s">
        <v>937</v>
      </c>
      <c r="B66" s="60">
        <v>-68390</v>
      </c>
      <c r="C66" s="60">
        <v>0</v>
      </c>
      <c r="D66" s="83">
        <v>0</v>
      </c>
      <c r="E66" s="60"/>
      <c r="F66" s="60"/>
    </row>
    <row r="67" spans="1:6" ht="29" x14ac:dyDescent="0.35">
      <c r="A67" s="10" t="s">
        <v>125</v>
      </c>
      <c r="B67" s="68">
        <f>SUM(B65:B66)</f>
        <v>-113658</v>
      </c>
      <c r="C67" s="68">
        <f t="shared" ref="C67:D67" si="0">SUM(C65:C66)</f>
        <v>43142</v>
      </c>
      <c r="D67" s="84">
        <f t="shared" si="0"/>
        <v>964452</v>
      </c>
      <c r="E67" s="60"/>
      <c r="F67" s="60"/>
    </row>
    <row r="68" spans="1:6" x14ac:dyDescent="0.35">
      <c r="A68" s="85" t="s">
        <v>90</v>
      </c>
      <c r="B68" s="67">
        <f>B67/1000000</f>
        <v>-0.113658</v>
      </c>
      <c r="C68" s="68"/>
      <c r="D68" s="68"/>
      <c r="E68" s="60"/>
      <c r="F68" s="60"/>
    </row>
    <row r="69" spans="1:6" x14ac:dyDescent="0.35">
      <c r="A69" s="64" t="s">
        <v>938</v>
      </c>
      <c r="B69" s="67"/>
      <c r="C69" s="68"/>
      <c r="D69" s="68"/>
      <c r="E69" s="60"/>
      <c r="F69" s="60"/>
    </row>
    <row r="70" spans="1:6" x14ac:dyDescent="0.35">
      <c r="B70" s="60"/>
      <c r="C70" s="60"/>
      <c r="D70" s="83"/>
    </row>
    <row r="71" spans="1:6" x14ac:dyDescent="0.35">
      <c r="A71" s="9" t="s">
        <v>126</v>
      </c>
    </row>
    <row r="84" spans="2:2" x14ac:dyDescent="0.35">
      <c r="B84" s="61"/>
    </row>
  </sheetData>
  <mergeCells count="1">
    <mergeCell ref="C13:J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4B1B0-46C7-4215-820F-8052EB42B6F1}">
  <dimension ref="A1:P179"/>
  <sheetViews>
    <sheetView topLeftCell="A16" workbookViewId="0">
      <selection activeCell="B9" sqref="B9"/>
    </sheetView>
  </sheetViews>
  <sheetFormatPr defaultRowHeight="14.5" x14ac:dyDescent="0.35"/>
  <cols>
    <col min="1" max="1" width="50.1796875" style="9" customWidth="1"/>
    <col min="2" max="2" width="12.81640625" style="9" customWidth="1"/>
    <col min="3" max="3" width="11.453125" style="9" customWidth="1"/>
    <col min="4" max="5" width="11.81640625" style="9" customWidth="1"/>
    <col min="6" max="6" width="13.54296875" style="9" customWidth="1"/>
    <col min="7" max="7" width="11.453125" style="9" bestFit="1" customWidth="1"/>
    <col min="8" max="8" width="11.54296875" style="9" customWidth="1"/>
    <col min="9" max="9" width="11.81640625" style="9" customWidth="1"/>
    <col min="10" max="10" width="11.54296875" style="9" customWidth="1"/>
    <col min="11" max="11" width="10.1796875" style="9" customWidth="1"/>
    <col min="12" max="14" width="8.7265625" style="9"/>
    <col min="15" max="15" width="21.453125" style="9" bestFit="1" customWidth="1"/>
    <col min="16" max="16384" width="8.7265625" style="9"/>
  </cols>
  <sheetData>
    <row r="1" spans="1:16" ht="15" thickBot="1" x14ac:dyDescent="0.4"/>
    <row r="2" spans="1:16" ht="31.4" customHeight="1" thickBot="1" x14ac:dyDescent="0.4">
      <c r="A2" s="428" t="s">
        <v>939</v>
      </c>
      <c r="B2" s="429" t="s">
        <v>940</v>
      </c>
      <c r="C2" s="429"/>
      <c r="D2" s="429"/>
      <c r="E2" s="429"/>
      <c r="F2" s="429"/>
      <c r="G2" s="429"/>
      <c r="H2" s="429"/>
      <c r="I2" s="429"/>
      <c r="J2" s="429"/>
      <c r="K2" s="430" t="s">
        <v>941</v>
      </c>
    </row>
    <row r="3" spans="1:16" ht="15" thickBot="1" x14ac:dyDescent="0.4">
      <c r="A3" s="428"/>
      <c r="B3" s="431" t="s">
        <v>942</v>
      </c>
      <c r="C3" s="431" t="s">
        <v>943</v>
      </c>
      <c r="D3" s="431"/>
      <c r="E3" s="431"/>
      <c r="F3" s="432" t="s">
        <v>944</v>
      </c>
      <c r="G3" s="431" t="s">
        <v>945</v>
      </c>
      <c r="H3" s="432" t="s">
        <v>946</v>
      </c>
      <c r="I3" s="432" t="s">
        <v>947</v>
      </c>
      <c r="J3" s="432" t="s">
        <v>948</v>
      </c>
      <c r="K3" s="433"/>
    </row>
    <row r="4" spans="1:16" ht="15" thickBot="1" x14ac:dyDescent="0.4">
      <c r="A4" s="434"/>
      <c r="B4" s="435"/>
      <c r="C4" s="436" t="s">
        <v>949</v>
      </c>
      <c r="D4" s="436" t="s">
        <v>950</v>
      </c>
      <c r="E4" s="436" t="s">
        <v>951</v>
      </c>
      <c r="F4" s="437"/>
      <c r="G4" s="435"/>
      <c r="H4" s="437"/>
      <c r="I4" s="437"/>
      <c r="J4" s="437"/>
      <c r="K4" s="433"/>
    </row>
    <row r="5" spans="1:16" ht="31.5" thickBot="1" x14ac:dyDescent="0.4">
      <c r="A5" s="438" t="s">
        <v>952</v>
      </c>
      <c r="B5" s="439" t="s">
        <v>953</v>
      </c>
      <c r="C5" s="439" t="s">
        <v>954</v>
      </c>
      <c r="D5" s="439" t="s">
        <v>955</v>
      </c>
      <c r="E5" s="439" t="s">
        <v>956</v>
      </c>
      <c r="F5" s="439" t="s">
        <v>957</v>
      </c>
      <c r="G5" s="439" t="s">
        <v>958</v>
      </c>
      <c r="H5" s="439" t="s">
        <v>959</v>
      </c>
      <c r="I5" s="439" t="s">
        <v>960</v>
      </c>
      <c r="J5" s="439" t="s">
        <v>961</v>
      </c>
      <c r="K5" s="433"/>
    </row>
    <row r="6" spans="1:16" ht="15" thickBot="1" x14ac:dyDescent="0.4">
      <c r="A6" s="439" t="s">
        <v>962</v>
      </c>
      <c r="B6" s="440">
        <v>6.2100000000000002E-2</v>
      </c>
      <c r="C6" s="440">
        <v>296.52960000000002</v>
      </c>
      <c r="D6" s="440">
        <v>7.5800000000000006E-2</v>
      </c>
      <c r="E6" s="440">
        <v>2.1503000000000001</v>
      </c>
      <c r="F6" s="440">
        <v>8.3965999999999994</v>
      </c>
      <c r="G6" s="440">
        <v>0.11070000000000001</v>
      </c>
      <c r="H6" s="440">
        <v>2.1086</v>
      </c>
      <c r="I6" s="440">
        <v>63.4405</v>
      </c>
      <c r="J6" s="440">
        <v>1.2345999999999999</v>
      </c>
      <c r="K6" s="441"/>
    </row>
    <row r="7" spans="1:16" x14ac:dyDescent="0.35">
      <c r="A7" s="442" t="s">
        <v>963</v>
      </c>
      <c r="B7" s="443"/>
      <c r="C7" s="443"/>
      <c r="D7" s="443"/>
      <c r="E7" s="443"/>
      <c r="F7" s="443"/>
      <c r="G7" s="443"/>
      <c r="H7" s="443"/>
      <c r="I7" s="443"/>
      <c r="J7" s="443"/>
      <c r="K7" s="52"/>
    </row>
    <row r="8" spans="1:16" x14ac:dyDescent="0.35">
      <c r="A8" s="52" t="s">
        <v>964</v>
      </c>
      <c r="B8" s="444"/>
      <c r="C8" s="444"/>
      <c r="D8" s="444"/>
      <c r="E8" s="444"/>
      <c r="F8" s="444"/>
      <c r="G8" s="444"/>
      <c r="H8" s="444"/>
      <c r="I8" s="444"/>
      <c r="J8" s="444"/>
      <c r="O8" s="52" t="str">
        <f>A8</f>
        <v>Reuse</v>
      </c>
      <c r="P8" s="445">
        <f>K11</f>
        <v>-1180.4147412006</v>
      </c>
    </row>
    <row r="9" spans="1:16" x14ac:dyDescent="0.35">
      <c r="A9" s="52" t="s">
        <v>965</v>
      </c>
      <c r="B9" s="444">
        <v>69.400000000000006</v>
      </c>
      <c r="C9" s="444">
        <v>2.4E-2</v>
      </c>
      <c r="D9" s="444">
        <v>0.1474</v>
      </c>
      <c r="E9" s="444">
        <v>7.8800000000000004E-5</v>
      </c>
      <c r="F9" s="444">
        <v>6.4000000000000003E-3</v>
      </c>
      <c r="G9" s="444">
        <v>0.33600000000000002</v>
      </c>
      <c r="H9" s="444">
        <v>1.2659999999999999E-4</v>
      </c>
      <c r="I9" s="444">
        <v>0</v>
      </c>
      <c r="J9" s="444">
        <v>3.36</v>
      </c>
      <c r="K9" s="446">
        <f>SUMPRODUCT($B$6:$J$6*B9:J9)</f>
        <v>15.6772491524</v>
      </c>
      <c r="O9" s="52" t="s">
        <v>966</v>
      </c>
      <c r="P9" s="445">
        <f>K16</f>
        <v>-139.58615503600001</v>
      </c>
    </row>
    <row r="10" spans="1:16" x14ac:dyDescent="0.35">
      <c r="A10" s="52" t="s">
        <v>967</v>
      </c>
      <c r="B10" s="447">
        <v>-880</v>
      </c>
      <c r="C10" s="447">
        <v>-3</v>
      </c>
      <c r="D10" s="447">
        <v>-340</v>
      </c>
      <c r="E10" s="447">
        <v>-0.5</v>
      </c>
      <c r="F10" s="447">
        <v>-0.26</v>
      </c>
      <c r="G10" s="447">
        <v>-9</v>
      </c>
      <c r="H10" s="447">
        <v>-3.7999999999999999E-2</v>
      </c>
      <c r="I10" s="447">
        <v>-2.2599999999999999E-4</v>
      </c>
      <c r="J10" s="447">
        <v>-179.6</v>
      </c>
      <c r="K10" s="448">
        <f t="shared" ref="K10:K11" si="0">SUMPRODUCT($B$6:$J$6*B10:J10)</f>
        <v>-1196.0919903530003</v>
      </c>
      <c r="O10" s="52" t="s">
        <v>968</v>
      </c>
      <c r="P10" s="445">
        <f>K21</f>
        <v>-104.99234703199997</v>
      </c>
    </row>
    <row r="11" spans="1:16" x14ac:dyDescent="0.35">
      <c r="A11" s="52" t="s">
        <v>969</v>
      </c>
      <c r="B11" s="444">
        <f>SUM(B9:B10)</f>
        <v>-810.6</v>
      </c>
      <c r="C11" s="444">
        <f>SUM(C9:C10)</f>
        <v>-2.976</v>
      </c>
      <c r="D11" s="444">
        <f t="shared" ref="D11:J11" si="1">SUM(D9:D10)</f>
        <v>-339.8526</v>
      </c>
      <c r="E11" s="444">
        <f t="shared" si="1"/>
        <v>-0.49992120000000001</v>
      </c>
      <c r="F11" s="444">
        <f t="shared" si="1"/>
        <v>-0.25359999999999999</v>
      </c>
      <c r="G11" s="444">
        <f t="shared" si="1"/>
        <v>-8.6639999999999997</v>
      </c>
      <c r="H11" s="444">
        <f t="shared" si="1"/>
        <v>-3.7873400000000002E-2</v>
      </c>
      <c r="I11" s="444">
        <f t="shared" si="1"/>
        <v>-2.2599999999999999E-4</v>
      </c>
      <c r="J11" s="444">
        <f t="shared" si="1"/>
        <v>-176.23999999999998</v>
      </c>
      <c r="K11" s="446">
        <f t="shared" si="0"/>
        <v>-1180.4147412006</v>
      </c>
      <c r="O11" s="52" t="s">
        <v>970</v>
      </c>
      <c r="P11" s="445">
        <f>K36</f>
        <v>86.522317284624989</v>
      </c>
    </row>
    <row r="12" spans="1:16" x14ac:dyDescent="0.35">
      <c r="A12" s="52"/>
      <c r="B12" s="444"/>
      <c r="C12" s="444"/>
      <c r="D12" s="444"/>
      <c r="E12" s="444"/>
      <c r="F12" s="444"/>
      <c r="G12" s="444"/>
      <c r="H12" s="444"/>
      <c r="I12" s="444"/>
      <c r="J12" s="444"/>
      <c r="O12" s="52" t="s">
        <v>971</v>
      </c>
      <c r="P12" s="445">
        <f>K49</f>
        <v>120.21200001344502</v>
      </c>
    </row>
    <row r="13" spans="1:16" x14ac:dyDescent="0.35">
      <c r="A13" s="52" t="s">
        <v>972</v>
      </c>
      <c r="B13" s="444"/>
      <c r="C13" s="444"/>
      <c r="D13" s="444"/>
      <c r="E13" s="444"/>
      <c r="F13" s="444"/>
      <c r="G13" s="444"/>
      <c r="H13" s="444"/>
      <c r="I13" s="444"/>
      <c r="J13" s="444"/>
      <c r="O13" s="52" t="s">
        <v>973</v>
      </c>
      <c r="P13" s="445">
        <f>K29</f>
        <v>130.14399637351801</v>
      </c>
    </row>
    <row r="14" spans="1:16" x14ac:dyDescent="0.35">
      <c r="A14" s="52" t="s">
        <v>965</v>
      </c>
      <c r="B14" s="444">
        <v>184</v>
      </c>
      <c r="C14" s="444">
        <v>6.2E-2</v>
      </c>
      <c r="D14" s="444">
        <v>0.4</v>
      </c>
      <c r="E14" s="444">
        <v>2.2000000000000001E-4</v>
      </c>
      <c r="F14" s="444">
        <v>1.7000000000000001E-2</v>
      </c>
      <c r="G14" s="444">
        <v>0.94</v>
      </c>
      <c r="H14" s="444">
        <v>3.4000000000000002E-4</v>
      </c>
      <c r="I14" s="444">
        <v>0</v>
      </c>
      <c r="J14" s="444">
        <v>6.72</v>
      </c>
      <c r="K14" s="446">
        <f t="shared" ref="K14:K54" si="2">SUMPRODUCT($B$6:$J$6*B14:J14)</f>
        <v>38.386057390000005</v>
      </c>
      <c r="O14" s="52" t="s">
        <v>974</v>
      </c>
      <c r="P14" s="445">
        <f>K54</f>
        <v>170.90623181912403</v>
      </c>
    </row>
    <row r="15" spans="1:16" x14ac:dyDescent="0.35">
      <c r="A15" s="52" t="s">
        <v>975</v>
      </c>
      <c r="B15" s="447">
        <v>-112</v>
      </c>
      <c r="C15" s="447">
        <v>-0.45</v>
      </c>
      <c r="D15" s="447">
        <v>-39.799999999999997</v>
      </c>
      <c r="E15" s="447">
        <v>-2.1999999999999999E-2</v>
      </c>
      <c r="F15" s="447">
        <v>-6.8000000000000005E-2</v>
      </c>
      <c r="G15" s="447">
        <v>-1.38</v>
      </c>
      <c r="H15" s="447">
        <v>-4.1999999999999997E-3</v>
      </c>
      <c r="I15" s="447">
        <v>-5.1999999999999997E-5</v>
      </c>
      <c r="J15" s="447">
        <v>-27.36</v>
      </c>
      <c r="K15" s="448">
        <f t="shared" si="2"/>
        <v>-177.972212426</v>
      </c>
      <c r="O15" s="52" t="s">
        <v>976</v>
      </c>
      <c r="P15" s="445">
        <f>K43</f>
        <v>1119.4471542094902</v>
      </c>
    </row>
    <row r="16" spans="1:16" x14ac:dyDescent="0.35">
      <c r="A16" s="52" t="s">
        <v>969</v>
      </c>
      <c r="B16" s="444">
        <f>SUM(B14:B15)</f>
        <v>72</v>
      </c>
      <c r="C16" s="444">
        <f t="shared" ref="C16:J16" si="3">SUM(C14:C15)</f>
        <v>-0.38800000000000001</v>
      </c>
      <c r="D16" s="444">
        <f t="shared" si="3"/>
        <v>-39.4</v>
      </c>
      <c r="E16" s="444">
        <f t="shared" si="3"/>
        <v>-2.1779999999999997E-2</v>
      </c>
      <c r="F16" s="444">
        <f t="shared" si="3"/>
        <v>-5.1000000000000004E-2</v>
      </c>
      <c r="G16" s="444">
        <f t="shared" si="3"/>
        <v>-0.43999999999999995</v>
      </c>
      <c r="H16" s="444">
        <f t="shared" si="3"/>
        <v>-3.8599999999999997E-3</v>
      </c>
      <c r="I16" s="444">
        <f t="shared" si="3"/>
        <v>-5.1999999999999997E-5</v>
      </c>
      <c r="J16" s="444">
        <f t="shared" si="3"/>
        <v>-20.64</v>
      </c>
      <c r="K16" s="446">
        <f t="shared" si="2"/>
        <v>-139.58615503600001</v>
      </c>
    </row>
    <row r="17" spans="1:11" x14ac:dyDescent="0.35">
      <c r="A17" s="52"/>
      <c r="B17" s="444"/>
      <c r="C17" s="444"/>
      <c r="D17" s="444"/>
      <c r="E17" s="444"/>
      <c r="F17" s="444"/>
      <c r="G17" s="444"/>
      <c r="H17" s="444"/>
      <c r="I17" s="444"/>
      <c r="J17" s="444"/>
      <c r="K17" s="446"/>
    </row>
    <row r="18" spans="1:11" x14ac:dyDescent="0.35">
      <c r="A18" s="52" t="s">
        <v>977</v>
      </c>
      <c r="B18" s="444"/>
      <c r="C18" s="444"/>
      <c r="D18" s="444"/>
      <c r="E18" s="444"/>
      <c r="F18" s="444"/>
      <c r="G18" s="444"/>
      <c r="H18" s="444"/>
      <c r="I18" s="444"/>
      <c r="J18" s="444"/>
      <c r="K18" s="446"/>
    </row>
    <row r="19" spans="1:11" x14ac:dyDescent="0.35">
      <c r="A19" s="52" t="s">
        <v>965</v>
      </c>
      <c r="B19" s="444">
        <v>184</v>
      </c>
      <c r="C19" s="444">
        <v>6.2E-2</v>
      </c>
      <c r="D19" s="444">
        <v>0.4</v>
      </c>
      <c r="E19" s="444">
        <v>2.2000000000000001E-4</v>
      </c>
      <c r="F19" s="444">
        <v>1.7000000000000001E-2</v>
      </c>
      <c r="G19" s="444">
        <v>0.94</v>
      </c>
      <c r="H19" s="444">
        <v>3.4000000000000002E-4</v>
      </c>
      <c r="I19" s="444">
        <v>0</v>
      </c>
      <c r="J19" s="444">
        <v>6.72</v>
      </c>
      <c r="K19" s="446">
        <f t="shared" si="2"/>
        <v>38.386057390000005</v>
      </c>
    </row>
    <row r="20" spans="1:11" x14ac:dyDescent="0.35">
      <c r="A20" s="52" t="s">
        <v>978</v>
      </c>
      <c r="B20" s="447">
        <v>-94</v>
      </c>
      <c r="C20" s="447">
        <v>-0.36</v>
      </c>
      <c r="D20" s="447">
        <v>-33.4</v>
      </c>
      <c r="E20" s="447">
        <v>-1.7999999999999999E-2</v>
      </c>
      <c r="F20" s="447">
        <v>-5.3999999999999999E-2</v>
      </c>
      <c r="G20" s="447">
        <v>-1.1399999999999999</v>
      </c>
      <c r="H20" s="447">
        <v>-3.3999999999999998E-3</v>
      </c>
      <c r="I20" s="447">
        <v>-4.3999999999999999E-5</v>
      </c>
      <c r="J20" s="447">
        <v>-22.38</v>
      </c>
      <c r="K20" s="448">
        <f t="shared" si="2"/>
        <v>-143.37840442199999</v>
      </c>
    </row>
    <row r="21" spans="1:11" x14ac:dyDescent="0.35">
      <c r="A21" s="52" t="s">
        <v>969</v>
      </c>
      <c r="B21" s="444">
        <f>SUM(B19:B20)</f>
        <v>90</v>
      </c>
      <c r="C21" s="444">
        <f t="shared" ref="C21:J21" si="4">SUM(C19:C20)</f>
        <v>-0.29799999999999999</v>
      </c>
      <c r="D21" s="444">
        <f t="shared" si="4"/>
        <v>-33</v>
      </c>
      <c r="E21" s="444">
        <f t="shared" si="4"/>
        <v>-1.7779999999999997E-2</v>
      </c>
      <c r="F21" s="444">
        <f t="shared" si="4"/>
        <v>-3.6999999999999998E-2</v>
      </c>
      <c r="G21" s="444">
        <f t="shared" si="4"/>
        <v>-0.19999999999999996</v>
      </c>
      <c r="H21" s="444">
        <f t="shared" si="4"/>
        <v>-3.0599999999999998E-3</v>
      </c>
      <c r="I21" s="444">
        <f t="shared" si="4"/>
        <v>-4.3999999999999999E-5</v>
      </c>
      <c r="J21" s="444">
        <f t="shared" si="4"/>
        <v>-15.66</v>
      </c>
      <c r="K21" s="446">
        <f t="shared" si="2"/>
        <v>-104.99234703199997</v>
      </c>
    </row>
    <row r="22" spans="1:11" x14ac:dyDescent="0.35">
      <c r="A22" s="52"/>
      <c r="B22" s="444"/>
      <c r="C22" s="444"/>
      <c r="D22" s="444"/>
      <c r="E22" s="444"/>
      <c r="F22" s="444"/>
      <c r="G22" s="444"/>
      <c r="H22" s="444"/>
      <c r="I22" s="444"/>
      <c r="J22" s="444"/>
      <c r="K22" s="446"/>
    </row>
    <row r="23" spans="1:11" x14ac:dyDescent="0.35">
      <c r="A23" s="52" t="s">
        <v>979</v>
      </c>
      <c r="B23" s="444"/>
      <c r="C23" s="444"/>
      <c r="D23" s="444"/>
      <c r="E23" s="444"/>
      <c r="F23" s="444"/>
      <c r="G23" s="444"/>
      <c r="H23" s="444"/>
      <c r="I23" s="444"/>
      <c r="J23" s="444"/>
      <c r="K23" s="446"/>
    </row>
    <row r="24" spans="1:11" x14ac:dyDescent="0.35">
      <c r="A24" s="52" t="s">
        <v>965</v>
      </c>
      <c r="B24" s="444">
        <v>69.400000000000006</v>
      </c>
      <c r="C24" s="444">
        <v>2.4E-2</v>
      </c>
      <c r="D24" s="444">
        <v>0.1474</v>
      </c>
      <c r="E24" s="444">
        <v>7.8800000000000004E-5</v>
      </c>
      <c r="F24" s="444">
        <v>6.4000000000000003E-3</v>
      </c>
      <c r="G24" s="444">
        <v>0.33600000000000002</v>
      </c>
      <c r="H24" s="444">
        <v>1.2659999999999999E-4</v>
      </c>
      <c r="I24" s="444">
        <v>0</v>
      </c>
      <c r="J24" s="444">
        <v>3.36</v>
      </c>
      <c r="K24" s="446">
        <f t="shared" si="2"/>
        <v>15.6772491524</v>
      </c>
    </row>
    <row r="25" spans="1:11" x14ac:dyDescent="0.35">
      <c r="A25" s="52" t="s">
        <v>980</v>
      </c>
      <c r="B25" s="444">
        <v>82</v>
      </c>
      <c r="C25" s="444">
        <v>1.41E-2</v>
      </c>
      <c r="D25" s="444">
        <v>1.3180000000000001</v>
      </c>
      <c r="E25" s="444">
        <v>1.006E-5</v>
      </c>
      <c r="F25" s="444">
        <v>0.21199999999999999</v>
      </c>
      <c r="G25" s="444">
        <v>0.39600000000000002</v>
      </c>
      <c r="H25" s="444">
        <v>5.0600000000000003E-3</v>
      </c>
      <c r="I25" s="444">
        <v>0</v>
      </c>
      <c r="J25" s="444">
        <v>11.44</v>
      </c>
      <c r="K25" s="446">
        <f t="shared" si="2"/>
        <v>25.331603308018</v>
      </c>
    </row>
    <row r="26" spans="1:11" x14ac:dyDescent="0.35">
      <c r="A26" s="52" t="s">
        <v>981</v>
      </c>
      <c r="B26" s="444">
        <v>2378</v>
      </c>
      <c r="C26" s="449" t="s">
        <v>982</v>
      </c>
      <c r="D26" s="449"/>
      <c r="E26" s="449"/>
      <c r="F26" s="449"/>
      <c r="G26" s="449"/>
      <c r="H26" s="449"/>
      <c r="I26" s="449"/>
      <c r="J26" s="449"/>
      <c r="K26" s="446">
        <f>B26*$B$6</f>
        <v>147.6738</v>
      </c>
    </row>
    <row r="27" spans="1:11" x14ac:dyDescent="0.35">
      <c r="A27" s="52" t="s">
        <v>983</v>
      </c>
      <c r="B27" s="444">
        <v>-674</v>
      </c>
      <c r="C27" s="449" t="s">
        <v>982</v>
      </c>
      <c r="D27" s="449"/>
      <c r="E27" s="449"/>
      <c r="F27" s="449"/>
      <c r="G27" s="449"/>
      <c r="H27" s="449"/>
      <c r="I27" s="449"/>
      <c r="J27" s="449"/>
      <c r="K27" s="446">
        <f>B27*$B$6</f>
        <v>-41.855400000000003</v>
      </c>
    </row>
    <row r="28" spans="1:11" x14ac:dyDescent="0.35">
      <c r="A28" s="52" t="s">
        <v>984</v>
      </c>
      <c r="B28" s="447">
        <v>-132.19999999999999</v>
      </c>
      <c r="C28" s="447">
        <v>-1.3520000000000001E-2</v>
      </c>
      <c r="D28" s="447">
        <v>-17.72</v>
      </c>
      <c r="E28" s="447">
        <v>-2.0799999999999999E-2</v>
      </c>
      <c r="F28" s="447">
        <v>-7.0000000000000001E-3</v>
      </c>
      <c r="G28" s="447">
        <v>-0.20799999999999999</v>
      </c>
      <c r="H28" s="447">
        <v>-2.48E-3</v>
      </c>
      <c r="I28" s="447">
        <v>-2.9799999999999999E-5</v>
      </c>
      <c r="J28" s="447">
        <v>-2.42</v>
      </c>
      <c r="K28" s="448">
        <f t="shared" si="2"/>
        <v>-16.683256086900002</v>
      </c>
    </row>
    <row r="29" spans="1:11" x14ac:dyDescent="0.35">
      <c r="A29" s="52" t="s">
        <v>969</v>
      </c>
      <c r="B29" s="444">
        <f>SUM(B24:B28)</f>
        <v>1723.2</v>
      </c>
      <c r="C29" s="444">
        <f t="shared" ref="C29:J29" si="5">SUM(C24:C28)</f>
        <v>2.4580000000000001E-2</v>
      </c>
      <c r="D29" s="444">
        <f t="shared" si="5"/>
        <v>-16.2546</v>
      </c>
      <c r="E29" s="444">
        <f t="shared" si="5"/>
        <v>-2.0711139999999999E-2</v>
      </c>
      <c r="F29" s="444">
        <f t="shared" si="5"/>
        <v>0.21139999999999998</v>
      </c>
      <c r="G29" s="444">
        <f t="shared" si="5"/>
        <v>0.52400000000000002</v>
      </c>
      <c r="H29" s="444">
        <f t="shared" si="5"/>
        <v>2.7066000000000004E-3</v>
      </c>
      <c r="I29" s="444">
        <f t="shared" si="5"/>
        <v>-2.9799999999999999E-5</v>
      </c>
      <c r="J29" s="444">
        <f t="shared" si="5"/>
        <v>12.379999999999999</v>
      </c>
      <c r="K29" s="446">
        <f t="shared" si="2"/>
        <v>130.14399637351801</v>
      </c>
    </row>
    <row r="30" spans="1:11" x14ac:dyDescent="0.35">
      <c r="A30" s="52"/>
      <c r="B30" s="444"/>
      <c r="C30" s="444"/>
      <c r="D30" s="444"/>
      <c r="E30" s="444"/>
      <c r="F30" s="444"/>
      <c r="G30" s="444"/>
      <c r="H30" s="444"/>
      <c r="I30" s="444"/>
      <c r="J30" s="444"/>
      <c r="K30" s="446"/>
    </row>
    <row r="31" spans="1:11" x14ac:dyDescent="0.35">
      <c r="A31" s="52" t="s">
        <v>985</v>
      </c>
      <c r="B31" s="444"/>
      <c r="C31" s="444"/>
      <c r="D31" s="444"/>
      <c r="E31" s="444"/>
      <c r="F31" s="444"/>
      <c r="G31" s="444"/>
      <c r="H31" s="444"/>
      <c r="I31" s="444"/>
      <c r="J31" s="444"/>
      <c r="K31" s="446"/>
    </row>
    <row r="32" spans="1:11" x14ac:dyDescent="0.35">
      <c r="A32" s="52" t="s">
        <v>986</v>
      </c>
      <c r="B32" s="444">
        <v>38</v>
      </c>
      <c r="C32" s="444">
        <v>1.2800000000000001E-3</v>
      </c>
      <c r="D32" s="444">
        <v>1.2E-2</v>
      </c>
      <c r="E32" s="444">
        <v>1.2E-5</v>
      </c>
      <c r="F32" s="444">
        <v>0.02</v>
      </c>
      <c r="G32" s="444">
        <v>8.5999999999999993E-2</v>
      </c>
      <c r="H32" s="444">
        <v>1.3400000000000001E-6</v>
      </c>
      <c r="I32" s="444">
        <v>0</v>
      </c>
      <c r="J32" s="444">
        <v>3.44</v>
      </c>
      <c r="K32" s="446">
        <f t="shared" si="2"/>
        <v>7.1647723171239992</v>
      </c>
    </row>
    <row r="33" spans="1:11" x14ac:dyDescent="0.35">
      <c r="A33" s="52" t="s">
        <v>987</v>
      </c>
      <c r="B33" s="444">
        <v>576</v>
      </c>
      <c r="C33" s="444">
        <v>0</v>
      </c>
      <c r="D33" s="444">
        <v>3.2</v>
      </c>
      <c r="E33" s="444">
        <v>2.5999999999999999E-2</v>
      </c>
      <c r="F33" s="444">
        <v>0</v>
      </c>
      <c r="G33" s="444">
        <v>5.7999999999999996E-3</v>
      </c>
      <c r="H33" s="444">
        <v>1.7799999999999999E-6</v>
      </c>
      <c r="I33" s="444">
        <v>5.2599999999999999E-3</v>
      </c>
      <c r="J33" s="444">
        <v>0.65179999999999993</v>
      </c>
      <c r="K33" s="446">
        <f t="shared" si="2"/>
        <v>37.207122923307999</v>
      </c>
    </row>
    <row r="34" spans="1:11" x14ac:dyDescent="0.35">
      <c r="A34" s="52" t="s">
        <v>988</v>
      </c>
      <c r="B34" s="444">
        <v>310</v>
      </c>
      <c r="C34" s="444">
        <v>5.3999999999999999E-2</v>
      </c>
      <c r="D34" s="444">
        <v>5</v>
      </c>
      <c r="E34" s="444">
        <v>2</v>
      </c>
      <c r="F34" s="444">
        <v>3.7999999999999999E-2</v>
      </c>
      <c r="G34" s="444">
        <v>2.6</v>
      </c>
      <c r="H34" s="444">
        <v>2.2000000000000001E-3</v>
      </c>
      <c r="I34" s="444">
        <v>1.2999999999999999E-2</v>
      </c>
      <c r="J34" s="444">
        <v>23.4</v>
      </c>
      <c r="K34" s="446">
        <f t="shared" si="2"/>
        <v>70.269094620000004</v>
      </c>
    </row>
    <row r="35" spans="1:11" x14ac:dyDescent="0.35">
      <c r="A35" s="52" t="s">
        <v>989</v>
      </c>
      <c r="B35" s="447">
        <v>-176</v>
      </c>
      <c r="C35" s="447">
        <v>-3.4000000000000002E-2</v>
      </c>
      <c r="D35" s="447">
        <v>-18</v>
      </c>
      <c r="E35" s="447">
        <v>-1.46E-2</v>
      </c>
      <c r="F35" s="447">
        <v>-1.6E-2</v>
      </c>
      <c r="G35" s="447">
        <v>-0.38</v>
      </c>
      <c r="H35" s="447">
        <v>-1.8E-3</v>
      </c>
      <c r="I35" s="447">
        <v>-8.9400000000000004E-7</v>
      </c>
      <c r="J35" s="447">
        <v>-4.4800000000000004</v>
      </c>
      <c r="K35" s="448">
        <f t="shared" si="2"/>
        <v>-28.118672575806997</v>
      </c>
    </row>
    <row r="36" spans="1:11" x14ac:dyDescent="0.35">
      <c r="A36" s="52" t="s">
        <v>969</v>
      </c>
      <c r="B36" s="444">
        <f>SUM(B32:B35)</f>
        <v>748</v>
      </c>
      <c r="C36" s="444">
        <f>SUM($C$32:$C$34)+C35</f>
        <v>2.128E-2</v>
      </c>
      <c r="D36" s="444">
        <f t="shared" ref="D36:J36" si="6">SUM(D32:D35)</f>
        <v>-9.7880000000000003</v>
      </c>
      <c r="E36" s="444">
        <f t="shared" si="6"/>
        <v>2.011412</v>
      </c>
      <c r="F36" s="444">
        <f t="shared" si="6"/>
        <v>4.1999999999999996E-2</v>
      </c>
      <c r="G36" s="444">
        <f t="shared" si="6"/>
        <v>2.3118000000000003</v>
      </c>
      <c r="H36" s="444">
        <f t="shared" si="6"/>
        <v>4.031200000000003E-4</v>
      </c>
      <c r="I36" s="444">
        <f t="shared" si="6"/>
        <v>1.8259105999999997E-2</v>
      </c>
      <c r="J36" s="444">
        <f t="shared" si="6"/>
        <v>23.011799999999997</v>
      </c>
      <c r="K36" s="446">
        <f t="shared" si="2"/>
        <v>86.522317284624989</v>
      </c>
    </row>
    <row r="37" spans="1:11" x14ac:dyDescent="0.35">
      <c r="A37" s="52"/>
      <c r="B37" s="444"/>
      <c r="C37" s="444"/>
      <c r="D37" s="444"/>
      <c r="E37" s="444"/>
      <c r="F37" s="444"/>
      <c r="G37" s="444"/>
      <c r="H37" s="444"/>
      <c r="I37" s="444"/>
      <c r="J37" s="444"/>
      <c r="K37" s="446"/>
    </row>
    <row r="38" spans="1:11" x14ac:dyDescent="0.35">
      <c r="A38" s="52" t="s">
        <v>990</v>
      </c>
      <c r="B38" s="444"/>
      <c r="C38" s="444"/>
      <c r="D38" s="444"/>
      <c r="E38" s="444"/>
      <c r="F38" s="444"/>
      <c r="G38" s="444"/>
      <c r="H38" s="444"/>
      <c r="I38" s="444"/>
      <c r="J38" s="444"/>
      <c r="K38" s="446"/>
    </row>
    <row r="39" spans="1:11" x14ac:dyDescent="0.35">
      <c r="A39" s="52" t="s">
        <v>965</v>
      </c>
      <c r="B39" s="444">
        <v>138</v>
      </c>
      <c r="C39" s="444">
        <v>4.5999999999999999E-2</v>
      </c>
      <c r="D39" s="444">
        <v>0.3</v>
      </c>
      <c r="E39" s="444">
        <v>1.5799999999999999E-4</v>
      </c>
      <c r="F39" s="444">
        <v>1.2800000000000001E-2</v>
      </c>
      <c r="G39" s="444">
        <v>0.7</v>
      </c>
      <c r="H39" s="444">
        <v>2.5999999999999998E-4</v>
      </c>
      <c r="I39" s="444">
        <v>0</v>
      </c>
      <c r="J39" s="444">
        <v>6.72</v>
      </c>
      <c r="K39" s="446">
        <f t="shared" si="2"/>
        <v>30.7152680634</v>
      </c>
    </row>
    <row r="40" spans="1:11" x14ac:dyDescent="0.35">
      <c r="A40" s="52" t="s">
        <v>986</v>
      </c>
      <c r="B40" s="444">
        <v>2</v>
      </c>
      <c r="C40" s="444">
        <v>1.4E-3</v>
      </c>
      <c r="D40" s="444">
        <v>0.78</v>
      </c>
      <c r="E40" s="444">
        <v>2.2000000000000001E-3</v>
      </c>
      <c r="F40" s="444">
        <v>1.42E-3</v>
      </c>
      <c r="G40" s="444">
        <v>1.8800000000000001E-2</v>
      </c>
      <c r="H40" s="444">
        <v>5.8E-5</v>
      </c>
      <c r="I40" s="444">
        <v>0</v>
      </c>
      <c r="J40" s="444">
        <v>0.50600000000000001</v>
      </c>
      <c r="K40" s="446">
        <f t="shared" si="2"/>
        <v>1.2420303308</v>
      </c>
    </row>
    <row r="41" spans="1:11" x14ac:dyDescent="0.35">
      <c r="A41" s="52" t="s">
        <v>991</v>
      </c>
      <c r="B41" s="444">
        <v>3118</v>
      </c>
      <c r="C41" s="444">
        <v>2.64</v>
      </c>
      <c r="D41" s="444">
        <v>1906</v>
      </c>
      <c r="E41" s="444">
        <v>2.86</v>
      </c>
      <c r="F41" s="444">
        <v>0.3</v>
      </c>
      <c r="G41" s="444">
        <v>5.24</v>
      </c>
      <c r="H41" s="444">
        <v>0.1482</v>
      </c>
      <c r="I41" s="444">
        <v>1.1659999999999999E-3</v>
      </c>
      <c r="J41" s="444">
        <v>167</v>
      </c>
      <c r="K41" s="446">
        <f t="shared" si="2"/>
        <v>1336.7543161430001</v>
      </c>
    </row>
    <row r="42" spans="1:11" x14ac:dyDescent="0.35">
      <c r="A42" s="52" t="s">
        <v>992</v>
      </c>
      <c r="B42" s="447">
        <v>-1736</v>
      </c>
      <c r="C42" s="447">
        <v>-0.1502</v>
      </c>
      <c r="D42" s="447">
        <v>-132.80000000000001</v>
      </c>
      <c r="E42" s="447">
        <v>-0.10440000000000001</v>
      </c>
      <c r="F42" s="447">
        <v>-0.10639999999999999</v>
      </c>
      <c r="G42" s="447">
        <v>-2.46</v>
      </c>
      <c r="H42" s="447">
        <v>-1.35E-2</v>
      </c>
      <c r="I42" s="447">
        <v>-1.382E-5</v>
      </c>
      <c r="J42" s="447">
        <v>-69.2</v>
      </c>
      <c r="K42" s="448">
        <f t="shared" si="2"/>
        <v>-249.26446032771003</v>
      </c>
    </row>
    <row r="43" spans="1:11" x14ac:dyDescent="0.35">
      <c r="A43" s="52" t="s">
        <v>969</v>
      </c>
      <c r="B43" s="444">
        <f>SUM($B$39:$B$41)+B42</f>
        <v>1522</v>
      </c>
      <c r="C43" s="444">
        <f t="shared" ref="C43:J43" si="7">SUM(C39:C41)+C42</f>
        <v>2.5372000000000003</v>
      </c>
      <c r="D43" s="444">
        <f t="shared" si="7"/>
        <v>1774.28</v>
      </c>
      <c r="E43" s="444">
        <f t="shared" si="7"/>
        <v>2.7579579999999999</v>
      </c>
      <c r="F43" s="444">
        <f t="shared" si="7"/>
        <v>0.20782</v>
      </c>
      <c r="G43" s="444">
        <f t="shared" si="7"/>
        <v>3.4988000000000001</v>
      </c>
      <c r="H43" s="444">
        <f t="shared" si="7"/>
        <v>0.135018</v>
      </c>
      <c r="I43" s="444">
        <f t="shared" si="7"/>
        <v>1.15218E-3</v>
      </c>
      <c r="J43" s="444">
        <f t="shared" si="7"/>
        <v>105.026</v>
      </c>
      <c r="K43" s="446">
        <f t="shared" si="2"/>
        <v>1119.4471542094902</v>
      </c>
    </row>
    <row r="44" spans="1:11" x14ac:dyDescent="0.35">
      <c r="A44" s="52"/>
      <c r="B44" s="444"/>
      <c r="C44" s="444"/>
      <c r="D44" s="444"/>
      <c r="E44" s="444"/>
      <c r="F44" s="444"/>
      <c r="G44" s="444"/>
      <c r="H44" s="444"/>
      <c r="I44" s="444"/>
      <c r="J44" s="444"/>
      <c r="K44" s="446"/>
    </row>
    <row r="45" spans="1:11" x14ac:dyDescent="0.35">
      <c r="A45" s="52" t="s">
        <v>993</v>
      </c>
      <c r="B45" s="444"/>
      <c r="C45" s="444"/>
      <c r="D45" s="444"/>
      <c r="E45" s="444"/>
      <c r="F45" s="444"/>
      <c r="G45" s="444"/>
      <c r="H45" s="444"/>
      <c r="I45" s="444"/>
      <c r="J45" s="444"/>
      <c r="K45" s="446"/>
    </row>
    <row r="46" spans="1:11" x14ac:dyDescent="0.35">
      <c r="A46" s="52" t="s">
        <v>986</v>
      </c>
      <c r="B46" s="444">
        <v>64</v>
      </c>
      <c r="C46" s="444">
        <v>1.4E-3</v>
      </c>
      <c r="D46" s="444">
        <v>1.966E-2</v>
      </c>
      <c r="E46" s="444">
        <v>5.02E-5</v>
      </c>
      <c r="F46" s="444">
        <v>1.4159999999999999E-3</v>
      </c>
      <c r="G46" s="444">
        <v>1.7139999999999999E-2</v>
      </c>
      <c r="H46" s="444">
        <v>4.34E-6</v>
      </c>
      <c r="I46" s="444">
        <v>0</v>
      </c>
      <c r="J46" s="444">
        <v>0.50600000000000001</v>
      </c>
      <c r="K46" s="446">
        <f t="shared" si="2"/>
        <v>5.029643347983999</v>
      </c>
    </row>
    <row r="47" spans="1:11" x14ac:dyDescent="0.35">
      <c r="A47" s="52" t="s">
        <v>991</v>
      </c>
      <c r="B47" s="444">
        <v>3056</v>
      </c>
      <c r="C47" s="444">
        <v>5.8000000000000003E-2</v>
      </c>
      <c r="D47" s="444">
        <v>486</v>
      </c>
      <c r="E47" s="444">
        <v>0.79800000000000004</v>
      </c>
      <c r="F47" s="444">
        <v>2.7E-2</v>
      </c>
      <c r="G47" s="444">
        <v>0.754</v>
      </c>
      <c r="H47" s="444">
        <v>1.0059999999999999E-2</v>
      </c>
      <c r="I47" s="444">
        <v>0</v>
      </c>
      <c r="J47" s="444">
        <v>14.9</v>
      </c>
      <c r="K47" s="446">
        <f t="shared" si="2"/>
        <v>264.25798471599995</v>
      </c>
    </row>
    <row r="48" spans="1:11" x14ac:dyDescent="0.35">
      <c r="A48" s="52" t="s">
        <v>989</v>
      </c>
      <c r="B48" s="447">
        <v>-950</v>
      </c>
      <c r="C48" s="447">
        <v>-0.123</v>
      </c>
      <c r="D48" s="447">
        <v>-73.400000000000006</v>
      </c>
      <c r="E48" s="447">
        <v>-5.7599999999999998E-2</v>
      </c>
      <c r="F48" s="447">
        <v>-5.8659999999999997E-2</v>
      </c>
      <c r="G48" s="447">
        <v>-1.361</v>
      </c>
      <c r="H48" s="447">
        <v>-7.4599999999999996E-3</v>
      </c>
      <c r="I48" s="447">
        <v>-7.6380000000000004E-6</v>
      </c>
      <c r="J48" s="447">
        <v>-38.28</v>
      </c>
      <c r="K48" s="448">
        <f t="shared" si="2"/>
        <v>-149.07562805053902</v>
      </c>
    </row>
    <row r="49" spans="1:11" x14ac:dyDescent="0.35">
      <c r="A49" s="52" t="s">
        <v>969</v>
      </c>
      <c r="B49" s="444">
        <f>SUM($B$46:$B$47)+B48</f>
        <v>2170</v>
      </c>
      <c r="C49" s="444">
        <f t="shared" ref="C49:J49" si="8">SUM(C46:C47)+C48</f>
        <v>-6.359999999999999E-2</v>
      </c>
      <c r="D49" s="444">
        <f t="shared" si="8"/>
        <v>412.61965999999995</v>
      </c>
      <c r="E49" s="444">
        <f t="shared" si="8"/>
        <v>0.74045020000000006</v>
      </c>
      <c r="F49" s="444">
        <f t="shared" si="8"/>
        <v>-3.0243999999999997E-2</v>
      </c>
      <c r="G49" s="444">
        <f t="shared" si="8"/>
        <v>-0.58985999999999994</v>
      </c>
      <c r="H49" s="444">
        <f t="shared" si="8"/>
        <v>2.6043400000000001E-3</v>
      </c>
      <c r="I49" s="444">
        <f t="shared" si="8"/>
        <v>-7.6380000000000004E-6</v>
      </c>
      <c r="J49" s="444">
        <f t="shared" si="8"/>
        <v>-22.874000000000002</v>
      </c>
      <c r="K49" s="446">
        <f t="shared" si="2"/>
        <v>120.21200001344502</v>
      </c>
    </row>
    <row r="50" spans="1:11" x14ac:dyDescent="0.35">
      <c r="A50" s="52"/>
      <c r="B50" s="444"/>
      <c r="C50" s="444"/>
      <c r="D50" s="444"/>
      <c r="E50" s="444"/>
      <c r="F50" s="444"/>
      <c r="G50" s="444"/>
      <c r="H50" s="444"/>
      <c r="I50" s="444"/>
      <c r="J50" s="444"/>
      <c r="K50" s="446"/>
    </row>
    <row r="51" spans="1:11" x14ac:dyDescent="0.35">
      <c r="A51" s="52" t="s">
        <v>994</v>
      </c>
      <c r="B51" s="444"/>
      <c r="C51" s="444"/>
      <c r="D51" s="444"/>
      <c r="E51" s="444"/>
      <c r="F51" s="444"/>
      <c r="G51" s="444"/>
      <c r="H51" s="444"/>
      <c r="I51" s="444"/>
      <c r="J51" s="444"/>
      <c r="K51" s="446"/>
    </row>
    <row r="52" spans="1:11" x14ac:dyDescent="0.35">
      <c r="A52" s="52" t="s">
        <v>986</v>
      </c>
      <c r="B52" s="444">
        <v>38</v>
      </c>
      <c r="C52" s="444">
        <v>1.2800000000000001E-3</v>
      </c>
      <c r="D52" s="444">
        <v>1.2E-2</v>
      </c>
      <c r="E52" s="444">
        <v>1.2E-5</v>
      </c>
      <c r="F52" s="444">
        <v>0.02</v>
      </c>
      <c r="G52" s="444">
        <v>8.5999999999999993E-2</v>
      </c>
      <c r="H52" s="444">
        <v>1.3400000000000001E-6</v>
      </c>
      <c r="I52" s="444">
        <v>0</v>
      </c>
      <c r="J52" s="444">
        <v>3.44</v>
      </c>
      <c r="K52" s="446">
        <f t="shared" si="2"/>
        <v>7.1647723171239992</v>
      </c>
    </row>
    <row r="53" spans="1:11" x14ac:dyDescent="0.35">
      <c r="A53" s="52" t="s">
        <v>987</v>
      </c>
      <c r="B53" s="447">
        <v>2304</v>
      </c>
      <c r="C53" s="447">
        <v>0</v>
      </c>
      <c r="D53" s="447">
        <v>12.6</v>
      </c>
      <c r="E53" s="447">
        <v>0.10199999999999999</v>
      </c>
      <c r="F53" s="447">
        <v>0</v>
      </c>
      <c r="G53" s="447">
        <v>2.8000000000000001E-2</v>
      </c>
      <c r="H53" s="447">
        <v>6.9999999999999994E-5</v>
      </c>
      <c r="I53" s="447">
        <v>0.24740000000000001</v>
      </c>
      <c r="J53" s="447">
        <v>3.07</v>
      </c>
      <c r="K53" s="448">
        <f t="shared" si="2"/>
        <v>163.74145950200005</v>
      </c>
    </row>
    <row r="54" spans="1:11" x14ac:dyDescent="0.35">
      <c r="A54" s="52" t="s">
        <v>969</v>
      </c>
      <c r="B54" s="444">
        <f>SUM(B52:B53)</f>
        <v>2342</v>
      </c>
      <c r="C54" s="444">
        <f t="shared" ref="C54:J54" si="9">SUM(C52:C53)</f>
        <v>1.2800000000000001E-3</v>
      </c>
      <c r="D54" s="444">
        <f t="shared" si="9"/>
        <v>12.612</v>
      </c>
      <c r="E54" s="444">
        <f t="shared" si="9"/>
        <v>0.10201199999999999</v>
      </c>
      <c r="F54" s="444">
        <f t="shared" si="9"/>
        <v>0.02</v>
      </c>
      <c r="G54" s="444">
        <f t="shared" si="9"/>
        <v>0.11399999999999999</v>
      </c>
      <c r="H54" s="444">
        <f t="shared" si="9"/>
        <v>7.1339999999999991E-5</v>
      </c>
      <c r="I54" s="444">
        <f t="shared" si="9"/>
        <v>0.24740000000000001</v>
      </c>
      <c r="J54" s="444">
        <f t="shared" si="9"/>
        <v>6.51</v>
      </c>
      <c r="K54" s="446">
        <f t="shared" si="2"/>
        <v>170.90623181912403</v>
      </c>
    </row>
    <row r="55" spans="1:11" x14ac:dyDescent="0.35">
      <c r="A55" s="52"/>
      <c r="B55" s="450"/>
      <c r="C55" s="450"/>
      <c r="D55" s="450"/>
      <c r="E55" s="450"/>
      <c r="F55" s="450"/>
      <c r="G55" s="450"/>
      <c r="H55" s="450"/>
      <c r="I55" s="450"/>
      <c r="J55" s="450"/>
    </row>
    <row r="56" spans="1:11" x14ac:dyDescent="0.35">
      <c r="A56" s="52" t="s">
        <v>995</v>
      </c>
      <c r="B56" s="450"/>
      <c r="C56" s="450"/>
      <c r="D56" s="450"/>
      <c r="E56" s="450"/>
      <c r="F56" s="450"/>
      <c r="G56" s="450"/>
      <c r="H56" s="450"/>
      <c r="I56" s="450"/>
      <c r="J56" s="450"/>
    </row>
    <row r="57" spans="1:11" x14ac:dyDescent="0.35">
      <c r="A57" s="52"/>
      <c r="B57" s="450"/>
      <c r="C57" s="450"/>
      <c r="D57" s="450"/>
      <c r="E57" s="450"/>
      <c r="F57" s="450"/>
      <c r="G57" s="450"/>
      <c r="H57" s="450"/>
      <c r="I57" s="450"/>
      <c r="J57" s="450"/>
    </row>
    <row r="58" spans="1:11" x14ac:dyDescent="0.35">
      <c r="A58" s="52"/>
      <c r="B58" s="450"/>
      <c r="C58" s="450"/>
      <c r="D58" s="450"/>
      <c r="E58" s="450"/>
      <c r="F58" s="450"/>
      <c r="G58" s="450"/>
      <c r="H58" s="450"/>
      <c r="I58" s="450"/>
      <c r="J58" s="450"/>
    </row>
    <row r="59" spans="1:11" x14ac:dyDescent="0.35">
      <c r="A59" s="52"/>
      <c r="B59" s="450"/>
      <c r="C59" s="450"/>
      <c r="D59" s="450"/>
      <c r="E59" s="450"/>
      <c r="F59" s="450"/>
      <c r="G59" s="450"/>
      <c r="H59" s="450"/>
      <c r="I59" s="450"/>
      <c r="J59" s="450"/>
    </row>
    <row r="60" spans="1:11" x14ac:dyDescent="0.35">
      <c r="A60" s="52"/>
      <c r="B60" s="450"/>
      <c r="C60" s="450"/>
      <c r="D60" s="450"/>
      <c r="E60" s="450"/>
      <c r="F60" s="450"/>
      <c r="G60" s="450"/>
      <c r="H60" s="450"/>
      <c r="I60" s="450"/>
      <c r="J60" s="450"/>
    </row>
    <row r="61" spans="1:11" x14ac:dyDescent="0.35">
      <c r="A61" s="52"/>
      <c r="B61" s="450"/>
      <c r="C61" s="450"/>
      <c r="D61" s="450"/>
      <c r="E61" s="450"/>
      <c r="F61" s="450"/>
      <c r="G61" s="450"/>
      <c r="H61" s="450"/>
      <c r="I61" s="450"/>
      <c r="J61" s="450"/>
    </row>
    <row r="62" spans="1:11" x14ac:dyDescent="0.35">
      <c r="A62" s="52"/>
      <c r="B62" s="450"/>
      <c r="C62" s="450"/>
      <c r="D62" s="450"/>
      <c r="E62" s="450"/>
      <c r="F62" s="450"/>
      <c r="G62" s="450"/>
      <c r="H62" s="450"/>
      <c r="I62" s="450"/>
      <c r="J62" s="450"/>
    </row>
    <row r="63" spans="1:11" x14ac:dyDescent="0.35">
      <c r="A63" s="52"/>
      <c r="B63" s="450"/>
      <c r="C63" s="450"/>
      <c r="D63" s="450"/>
      <c r="E63" s="450"/>
      <c r="F63" s="450"/>
      <c r="G63" s="450"/>
      <c r="H63" s="450"/>
      <c r="I63" s="450"/>
      <c r="J63" s="450"/>
    </row>
    <row r="64" spans="1:11" x14ac:dyDescent="0.35">
      <c r="A64" s="52"/>
      <c r="B64" s="450"/>
      <c r="C64" s="450"/>
      <c r="D64" s="450"/>
      <c r="E64" s="450"/>
      <c r="F64" s="450"/>
      <c r="G64" s="450"/>
      <c r="H64" s="450"/>
      <c r="I64" s="450"/>
      <c r="J64" s="450"/>
    </row>
    <row r="65" spans="1:10" x14ac:dyDescent="0.35">
      <c r="A65" s="52"/>
      <c r="B65" s="450"/>
      <c r="C65" s="450"/>
      <c r="D65" s="450"/>
      <c r="E65" s="450"/>
      <c r="F65" s="450"/>
      <c r="G65" s="450"/>
      <c r="H65" s="450"/>
      <c r="I65" s="450"/>
      <c r="J65" s="450"/>
    </row>
    <row r="66" spans="1:10" x14ac:dyDescent="0.35">
      <c r="A66" s="52"/>
      <c r="B66" s="450"/>
      <c r="C66" s="450"/>
      <c r="D66" s="450"/>
      <c r="E66" s="450"/>
      <c r="F66" s="450"/>
      <c r="G66" s="450"/>
      <c r="H66" s="450"/>
      <c r="I66" s="450"/>
      <c r="J66" s="450"/>
    </row>
    <row r="67" spans="1:10" x14ac:dyDescent="0.35">
      <c r="A67" s="52"/>
      <c r="B67" s="450"/>
      <c r="C67" s="450"/>
      <c r="D67" s="450"/>
      <c r="E67" s="450"/>
      <c r="F67" s="450"/>
      <c r="G67" s="450"/>
      <c r="H67" s="450"/>
      <c r="I67" s="450"/>
      <c r="J67" s="450"/>
    </row>
    <row r="68" spans="1:10" x14ac:dyDescent="0.35">
      <c r="A68" s="52"/>
      <c r="B68" s="450"/>
      <c r="C68" s="450"/>
      <c r="D68" s="450"/>
      <c r="E68" s="450"/>
      <c r="F68" s="450"/>
      <c r="G68" s="450"/>
      <c r="H68" s="450"/>
      <c r="I68" s="450"/>
      <c r="J68" s="450"/>
    </row>
    <row r="69" spans="1:10" x14ac:dyDescent="0.35">
      <c r="A69" s="52"/>
      <c r="B69" s="450"/>
      <c r="C69" s="450"/>
      <c r="D69" s="450"/>
      <c r="E69" s="450"/>
      <c r="F69" s="450"/>
      <c r="G69" s="450"/>
      <c r="H69" s="450"/>
      <c r="I69" s="450"/>
      <c r="J69" s="450"/>
    </row>
    <row r="70" spans="1:10" x14ac:dyDescent="0.35">
      <c r="A70" s="52"/>
      <c r="B70" s="450"/>
      <c r="C70" s="450"/>
      <c r="D70" s="450"/>
      <c r="E70" s="450"/>
      <c r="F70" s="450"/>
      <c r="G70" s="450"/>
      <c r="H70" s="450"/>
      <c r="I70" s="450"/>
      <c r="J70" s="450"/>
    </row>
    <row r="71" spans="1:10" x14ac:dyDescent="0.35">
      <c r="A71" s="52"/>
      <c r="B71" s="450"/>
      <c r="C71" s="450"/>
      <c r="D71" s="450"/>
      <c r="E71" s="450"/>
      <c r="F71" s="450"/>
      <c r="G71" s="450"/>
      <c r="H71" s="450"/>
      <c r="I71" s="450"/>
      <c r="J71" s="450"/>
    </row>
    <row r="72" spans="1:10" x14ac:dyDescent="0.35">
      <c r="A72" s="52"/>
      <c r="B72" s="450"/>
      <c r="C72" s="450"/>
      <c r="D72" s="450"/>
      <c r="E72" s="450"/>
      <c r="F72" s="450"/>
      <c r="G72" s="450"/>
      <c r="H72" s="450"/>
      <c r="I72" s="450"/>
      <c r="J72" s="450"/>
    </row>
    <row r="73" spans="1:10" x14ac:dyDescent="0.35">
      <c r="A73" s="52"/>
      <c r="B73" s="450"/>
      <c r="C73" s="450"/>
      <c r="D73" s="450"/>
      <c r="E73" s="450"/>
      <c r="F73" s="450"/>
      <c r="G73" s="450"/>
      <c r="H73" s="450"/>
      <c r="I73" s="450"/>
      <c r="J73" s="450"/>
    </row>
    <row r="74" spans="1:10" x14ac:dyDescent="0.35">
      <c r="A74" s="52"/>
      <c r="B74" s="450"/>
      <c r="C74" s="450"/>
      <c r="D74" s="450"/>
      <c r="E74" s="450"/>
      <c r="F74" s="450"/>
      <c r="G74" s="450"/>
      <c r="H74" s="450"/>
      <c r="I74" s="450"/>
      <c r="J74" s="450"/>
    </row>
    <row r="75" spans="1:10" x14ac:dyDescent="0.35">
      <c r="A75" s="52"/>
      <c r="B75" s="450"/>
      <c r="C75" s="450"/>
      <c r="D75" s="450"/>
      <c r="E75" s="450"/>
      <c r="F75" s="450"/>
      <c r="G75" s="450"/>
      <c r="H75" s="450"/>
      <c r="I75" s="450"/>
      <c r="J75" s="450"/>
    </row>
    <row r="76" spans="1:10" x14ac:dyDescent="0.35">
      <c r="A76" s="52"/>
      <c r="B76" s="450"/>
      <c r="C76" s="450"/>
      <c r="D76" s="450"/>
      <c r="E76" s="450"/>
      <c r="F76" s="450"/>
      <c r="G76" s="450"/>
      <c r="H76" s="450"/>
      <c r="I76" s="450"/>
      <c r="J76" s="450"/>
    </row>
    <row r="77" spans="1:10" x14ac:dyDescent="0.35">
      <c r="A77" s="52"/>
      <c r="B77" s="450"/>
      <c r="C77" s="450"/>
      <c r="D77" s="450"/>
      <c r="E77" s="450"/>
      <c r="F77" s="450"/>
      <c r="G77" s="450"/>
      <c r="H77" s="450"/>
      <c r="I77" s="450"/>
      <c r="J77" s="450"/>
    </row>
    <row r="78" spans="1:10" x14ac:dyDescent="0.35">
      <c r="A78" s="52"/>
      <c r="B78" s="450"/>
      <c r="C78" s="450"/>
      <c r="D78" s="450"/>
      <c r="E78" s="450"/>
      <c r="F78" s="450"/>
      <c r="G78" s="450"/>
      <c r="H78" s="450"/>
      <c r="I78" s="450"/>
      <c r="J78" s="450"/>
    </row>
    <row r="79" spans="1:10" x14ac:dyDescent="0.35">
      <c r="A79" s="52"/>
      <c r="B79" s="450"/>
      <c r="C79" s="450"/>
      <c r="D79" s="450"/>
      <c r="E79" s="450"/>
      <c r="F79" s="450"/>
      <c r="G79" s="450"/>
      <c r="H79" s="450"/>
      <c r="I79" s="450"/>
      <c r="J79" s="450"/>
    </row>
    <row r="80" spans="1:10" x14ac:dyDescent="0.35">
      <c r="A80" s="52"/>
      <c r="B80" s="450"/>
      <c r="C80" s="450"/>
      <c r="D80" s="450"/>
      <c r="E80" s="450"/>
      <c r="F80" s="450"/>
      <c r="G80" s="450"/>
      <c r="H80" s="450"/>
      <c r="I80" s="450"/>
      <c r="J80" s="450"/>
    </row>
    <row r="81" spans="1:10" x14ac:dyDescent="0.35">
      <c r="A81" s="52"/>
      <c r="B81" s="450"/>
      <c r="C81" s="450"/>
      <c r="D81" s="450"/>
      <c r="E81" s="450"/>
      <c r="F81" s="450"/>
      <c r="G81" s="450"/>
      <c r="H81" s="450"/>
      <c r="I81" s="450"/>
      <c r="J81" s="450"/>
    </row>
    <row r="82" spans="1:10" x14ac:dyDescent="0.35">
      <c r="A82" s="52"/>
      <c r="B82" s="450"/>
      <c r="C82" s="450"/>
      <c r="D82" s="450"/>
      <c r="E82" s="450"/>
      <c r="F82" s="450"/>
      <c r="G82" s="450"/>
      <c r="H82" s="450"/>
      <c r="I82" s="450"/>
      <c r="J82" s="450"/>
    </row>
    <row r="83" spans="1:10" x14ac:dyDescent="0.35">
      <c r="A83" s="52"/>
      <c r="B83" s="450"/>
      <c r="C83" s="450"/>
      <c r="D83" s="450"/>
      <c r="E83" s="450"/>
      <c r="F83" s="450"/>
      <c r="G83" s="450"/>
      <c r="H83" s="450"/>
      <c r="I83" s="450"/>
      <c r="J83" s="450"/>
    </row>
    <row r="84" spans="1:10" x14ac:dyDescent="0.35">
      <c r="A84" s="52"/>
      <c r="B84" s="450"/>
      <c r="C84" s="450"/>
      <c r="D84" s="450"/>
      <c r="E84" s="450"/>
      <c r="F84" s="450"/>
      <c r="G84" s="450"/>
      <c r="H84" s="450"/>
      <c r="I84" s="450"/>
      <c r="J84" s="450"/>
    </row>
    <row r="85" spans="1:10" x14ac:dyDescent="0.35">
      <c r="A85" s="52"/>
      <c r="B85" s="450"/>
      <c r="C85" s="450"/>
      <c r="D85" s="450"/>
      <c r="E85" s="450"/>
      <c r="F85" s="450"/>
      <c r="G85" s="450"/>
      <c r="H85" s="450"/>
      <c r="I85" s="450"/>
      <c r="J85" s="450"/>
    </row>
    <row r="86" spans="1:10" x14ac:dyDescent="0.35">
      <c r="A86" s="52"/>
      <c r="B86" s="450"/>
      <c r="C86" s="450"/>
      <c r="D86" s="450"/>
      <c r="E86" s="450"/>
      <c r="F86" s="450"/>
      <c r="G86" s="450"/>
      <c r="H86" s="450"/>
      <c r="I86" s="450"/>
      <c r="J86" s="450"/>
    </row>
    <row r="87" spans="1:10" x14ac:dyDescent="0.35">
      <c r="A87" s="52"/>
      <c r="B87" s="450"/>
      <c r="C87" s="450"/>
      <c r="D87" s="450"/>
      <c r="E87" s="450"/>
      <c r="F87" s="450"/>
      <c r="G87" s="450"/>
      <c r="H87" s="450"/>
      <c r="I87" s="450"/>
      <c r="J87" s="450"/>
    </row>
    <row r="88" spans="1:10" x14ac:dyDescent="0.35">
      <c r="A88" s="52"/>
      <c r="B88" s="450"/>
      <c r="C88" s="450"/>
      <c r="D88" s="450"/>
      <c r="E88" s="450"/>
      <c r="F88" s="450"/>
      <c r="G88" s="450"/>
      <c r="H88" s="450"/>
      <c r="I88" s="450"/>
      <c r="J88" s="450"/>
    </row>
    <row r="89" spans="1:10" x14ac:dyDescent="0.35">
      <c r="A89" s="52"/>
      <c r="B89" s="450"/>
      <c r="C89" s="450"/>
      <c r="D89" s="450"/>
      <c r="E89" s="450"/>
      <c r="F89" s="450"/>
      <c r="G89" s="450"/>
      <c r="H89" s="450"/>
      <c r="I89" s="450"/>
      <c r="J89" s="450"/>
    </row>
    <row r="90" spans="1:10" x14ac:dyDescent="0.35">
      <c r="A90" s="52"/>
      <c r="B90" s="450"/>
      <c r="C90" s="450"/>
      <c r="D90" s="450"/>
      <c r="E90" s="450"/>
      <c r="F90" s="450"/>
      <c r="G90" s="450"/>
      <c r="H90" s="450"/>
      <c r="I90" s="450"/>
      <c r="J90" s="450"/>
    </row>
    <row r="91" spans="1:10" x14ac:dyDescent="0.35">
      <c r="A91" s="52"/>
      <c r="B91" s="450"/>
      <c r="C91" s="450"/>
      <c r="D91" s="450"/>
      <c r="E91" s="450"/>
      <c r="F91" s="450"/>
      <c r="G91" s="450"/>
      <c r="H91" s="450"/>
      <c r="I91" s="450"/>
      <c r="J91" s="450"/>
    </row>
    <row r="92" spans="1:10" x14ac:dyDescent="0.35">
      <c r="A92" s="52"/>
      <c r="B92" s="450"/>
      <c r="C92" s="450"/>
      <c r="D92" s="450"/>
      <c r="E92" s="450"/>
      <c r="F92" s="450"/>
      <c r="G92" s="450"/>
      <c r="H92" s="450"/>
      <c r="I92" s="450"/>
      <c r="J92" s="450"/>
    </row>
    <row r="93" spans="1:10" x14ac:dyDescent="0.35">
      <c r="A93" s="52"/>
      <c r="B93" s="450"/>
      <c r="C93" s="450"/>
      <c r="D93" s="450"/>
      <c r="E93" s="450"/>
      <c r="F93" s="450"/>
      <c r="G93" s="450"/>
      <c r="H93" s="450"/>
      <c r="I93" s="450"/>
      <c r="J93" s="450"/>
    </row>
    <row r="94" spans="1:10" x14ac:dyDescent="0.35">
      <c r="A94" s="52"/>
      <c r="B94" s="450"/>
      <c r="C94" s="450"/>
      <c r="D94" s="450"/>
      <c r="E94" s="450"/>
      <c r="F94" s="450"/>
      <c r="G94" s="450"/>
      <c r="H94" s="450"/>
      <c r="I94" s="450"/>
      <c r="J94" s="450"/>
    </row>
    <row r="95" spans="1:10" x14ac:dyDescent="0.35">
      <c r="A95" s="52"/>
      <c r="B95" s="450"/>
      <c r="C95" s="450"/>
      <c r="D95" s="450"/>
      <c r="E95" s="450"/>
      <c r="F95" s="450"/>
      <c r="G95" s="450"/>
      <c r="H95" s="450"/>
      <c r="I95" s="450"/>
      <c r="J95" s="450"/>
    </row>
    <row r="96" spans="1:10" x14ac:dyDescent="0.35">
      <c r="A96" s="52"/>
      <c r="B96" s="450"/>
      <c r="C96" s="450"/>
      <c r="D96" s="450"/>
      <c r="E96" s="450"/>
      <c r="F96" s="450"/>
      <c r="G96" s="450"/>
      <c r="H96" s="450"/>
      <c r="I96" s="450"/>
      <c r="J96" s="450"/>
    </row>
    <row r="97" spans="1:10" x14ac:dyDescent="0.35">
      <c r="A97" s="52"/>
      <c r="B97" s="450"/>
      <c r="C97" s="450"/>
      <c r="D97" s="450"/>
      <c r="E97" s="450"/>
      <c r="F97" s="450"/>
      <c r="G97" s="450"/>
      <c r="H97" s="450"/>
      <c r="I97" s="450"/>
      <c r="J97" s="450"/>
    </row>
    <row r="98" spans="1:10" x14ac:dyDescent="0.35">
      <c r="A98" s="52"/>
      <c r="B98" s="450"/>
      <c r="C98" s="450"/>
      <c r="D98" s="450"/>
      <c r="E98" s="450"/>
      <c r="F98" s="450"/>
      <c r="G98" s="450"/>
      <c r="H98" s="450"/>
      <c r="I98" s="450"/>
      <c r="J98" s="450"/>
    </row>
    <row r="99" spans="1:10" x14ac:dyDescent="0.35">
      <c r="A99" s="52"/>
      <c r="B99" s="450"/>
      <c r="C99" s="450"/>
      <c r="D99" s="450"/>
      <c r="E99" s="450"/>
      <c r="F99" s="450"/>
      <c r="G99" s="450"/>
      <c r="H99" s="450"/>
      <c r="I99" s="450"/>
      <c r="J99" s="450"/>
    </row>
    <row r="100" spans="1:10" x14ac:dyDescent="0.35">
      <c r="A100" s="52"/>
      <c r="B100" s="450"/>
      <c r="C100" s="450"/>
      <c r="D100" s="450"/>
      <c r="E100" s="450"/>
      <c r="F100" s="450"/>
      <c r="G100" s="450"/>
      <c r="H100" s="450"/>
      <c r="I100" s="450"/>
      <c r="J100" s="450"/>
    </row>
    <row r="101" spans="1:10" x14ac:dyDescent="0.35">
      <c r="A101" s="52"/>
      <c r="B101" s="450"/>
      <c r="C101" s="450"/>
      <c r="D101" s="450"/>
      <c r="E101" s="450"/>
      <c r="F101" s="450"/>
      <c r="G101" s="450"/>
      <c r="H101" s="450"/>
      <c r="I101" s="450"/>
      <c r="J101" s="450"/>
    </row>
    <row r="102" spans="1:10" x14ac:dyDescent="0.35">
      <c r="A102" s="52"/>
      <c r="B102" s="450"/>
      <c r="C102" s="450"/>
      <c r="D102" s="450"/>
      <c r="E102" s="450"/>
      <c r="F102" s="450"/>
      <c r="G102" s="450"/>
      <c r="H102" s="450"/>
      <c r="I102" s="450"/>
      <c r="J102" s="450"/>
    </row>
    <row r="103" spans="1:10" x14ac:dyDescent="0.35">
      <c r="A103" s="52"/>
      <c r="B103" s="450"/>
      <c r="C103" s="450"/>
      <c r="D103" s="450"/>
      <c r="E103" s="450"/>
      <c r="F103" s="450"/>
      <c r="G103" s="450"/>
      <c r="H103" s="450"/>
      <c r="I103" s="450"/>
      <c r="J103" s="450"/>
    </row>
    <row r="104" spans="1:10" x14ac:dyDescent="0.35">
      <c r="A104" s="52"/>
      <c r="B104" s="450"/>
      <c r="C104" s="450"/>
      <c r="D104" s="450"/>
      <c r="E104" s="450"/>
      <c r="F104" s="450"/>
      <c r="G104" s="450"/>
      <c r="H104" s="450"/>
      <c r="I104" s="450"/>
      <c r="J104" s="450"/>
    </row>
    <row r="105" spans="1:10" x14ac:dyDescent="0.35">
      <c r="A105" s="52"/>
      <c r="B105" s="450"/>
      <c r="C105" s="450"/>
      <c r="D105" s="450"/>
      <c r="E105" s="450"/>
      <c r="F105" s="450"/>
      <c r="G105" s="450"/>
      <c r="H105" s="450"/>
      <c r="I105" s="450"/>
      <c r="J105" s="450"/>
    </row>
    <row r="106" spans="1:10" x14ac:dyDescent="0.35">
      <c r="A106" s="52"/>
      <c r="B106" s="450"/>
      <c r="C106" s="450"/>
      <c r="D106" s="450"/>
      <c r="E106" s="450"/>
      <c r="F106" s="450"/>
      <c r="G106" s="450"/>
      <c r="H106" s="450"/>
      <c r="I106" s="450"/>
      <c r="J106" s="450"/>
    </row>
    <row r="107" spans="1:10" x14ac:dyDescent="0.35">
      <c r="A107" s="52"/>
      <c r="B107" s="450"/>
      <c r="C107" s="450"/>
      <c r="D107" s="450"/>
      <c r="E107" s="450"/>
      <c r="F107" s="450"/>
      <c r="G107" s="450"/>
      <c r="H107" s="450"/>
      <c r="I107" s="450"/>
      <c r="J107" s="450"/>
    </row>
    <row r="108" spans="1:10" x14ac:dyDescent="0.35">
      <c r="A108" s="52"/>
      <c r="B108" s="450"/>
      <c r="C108" s="450"/>
      <c r="D108" s="450"/>
      <c r="E108" s="450"/>
      <c r="F108" s="450"/>
      <c r="G108" s="450"/>
      <c r="H108" s="450"/>
      <c r="I108" s="450"/>
      <c r="J108" s="450"/>
    </row>
    <row r="109" spans="1:10" x14ac:dyDescent="0.35">
      <c r="A109" s="52"/>
      <c r="B109" s="450"/>
      <c r="C109" s="450"/>
      <c r="D109" s="450"/>
      <c r="E109" s="450"/>
      <c r="F109" s="450"/>
      <c r="G109" s="450"/>
      <c r="H109" s="450"/>
      <c r="I109" s="450"/>
      <c r="J109" s="450"/>
    </row>
    <row r="110" spans="1:10" x14ac:dyDescent="0.35">
      <c r="A110" s="52"/>
      <c r="B110" s="450"/>
      <c r="C110" s="450"/>
      <c r="D110" s="450"/>
      <c r="E110" s="450"/>
      <c r="F110" s="450"/>
      <c r="G110" s="450"/>
      <c r="H110" s="450"/>
      <c r="I110" s="450"/>
      <c r="J110" s="450"/>
    </row>
    <row r="111" spans="1:10" x14ac:dyDescent="0.35">
      <c r="A111" s="52"/>
      <c r="B111" s="450"/>
      <c r="C111" s="450"/>
      <c r="D111" s="450"/>
      <c r="E111" s="450"/>
      <c r="F111" s="450"/>
      <c r="G111" s="450"/>
      <c r="H111" s="450"/>
      <c r="I111" s="450"/>
      <c r="J111" s="450"/>
    </row>
    <row r="112" spans="1:10" x14ac:dyDescent="0.35">
      <c r="A112" s="52"/>
      <c r="B112" s="450"/>
      <c r="C112" s="450"/>
      <c r="D112" s="450"/>
      <c r="E112" s="450"/>
      <c r="F112" s="450"/>
      <c r="G112" s="450"/>
      <c r="H112" s="450"/>
      <c r="I112" s="450"/>
      <c r="J112" s="450"/>
    </row>
    <row r="113" spans="1:10" x14ac:dyDescent="0.35">
      <c r="A113" s="52"/>
      <c r="B113" s="450"/>
      <c r="C113" s="450"/>
      <c r="D113" s="450"/>
      <c r="E113" s="450"/>
      <c r="F113" s="450"/>
      <c r="G113" s="450"/>
      <c r="H113" s="450"/>
      <c r="I113" s="450"/>
      <c r="J113" s="450"/>
    </row>
    <row r="114" spans="1:10" x14ac:dyDescent="0.35">
      <c r="A114" s="52"/>
      <c r="B114" s="450"/>
      <c r="C114" s="450"/>
      <c r="D114" s="450"/>
      <c r="E114" s="450"/>
      <c r="F114" s="450"/>
      <c r="G114" s="450"/>
      <c r="H114" s="450"/>
      <c r="I114" s="450"/>
      <c r="J114" s="450"/>
    </row>
    <row r="115" spans="1:10" x14ac:dyDescent="0.35">
      <c r="A115" s="52"/>
      <c r="B115" s="450"/>
      <c r="C115" s="450"/>
      <c r="D115" s="450"/>
      <c r="E115" s="450"/>
      <c r="F115" s="450"/>
      <c r="G115" s="450"/>
      <c r="H115" s="450"/>
      <c r="I115" s="450"/>
      <c r="J115" s="450"/>
    </row>
    <row r="116" spans="1:10" x14ac:dyDescent="0.35">
      <c r="A116" s="52"/>
      <c r="B116" s="450"/>
      <c r="C116" s="450"/>
      <c r="D116" s="450"/>
      <c r="E116" s="450"/>
      <c r="F116" s="450"/>
      <c r="G116" s="450"/>
      <c r="H116" s="450"/>
      <c r="I116" s="450"/>
      <c r="J116" s="450"/>
    </row>
    <row r="117" spans="1:10" x14ac:dyDescent="0.35">
      <c r="A117" s="52"/>
      <c r="B117" s="450"/>
      <c r="C117" s="450"/>
      <c r="D117" s="450"/>
      <c r="E117" s="450"/>
      <c r="F117" s="450"/>
      <c r="G117" s="450"/>
      <c r="H117" s="450"/>
      <c r="I117" s="450"/>
      <c r="J117" s="450"/>
    </row>
    <row r="118" spans="1:10" x14ac:dyDescent="0.35">
      <c r="A118" s="52"/>
      <c r="B118" s="450"/>
      <c r="C118" s="450"/>
      <c r="D118" s="450"/>
      <c r="E118" s="450"/>
      <c r="F118" s="450"/>
      <c r="G118" s="450"/>
      <c r="H118" s="450"/>
      <c r="I118" s="450"/>
      <c r="J118" s="450"/>
    </row>
    <row r="119" spans="1:10" x14ac:dyDescent="0.35">
      <c r="A119" s="52"/>
      <c r="B119" s="450"/>
      <c r="C119" s="450"/>
      <c r="D119" s="450"/>
      <c r="E119" s="450"/>
      <c r="F119" s="450"/>
      <c r="G119" s="450"/>
      <c r="H119" s="450"/>
      <c r="I119" s="450"/>
      <c r="J119" s="450"/>
    </row>
    <row r="120" spans="1:10" x14ac:dyDescent="0.35">
      <c r="A120" s="52"/>
      <c r="B120" s="450"/>
      <c r="C120" s="450"/>
      <c r="D120" s="450"/>
      <c r="E120" s="450"/>
      <c r="F120" s="450"/>
      <c r="G120" s="450"/>
      <c r="H120" s="450"/>
      <c r="I120" s="450"/>
      <c r="J120" s="450"/>
    </row>
    <row r="121" spans="1:10" x14ac:dyDescent="0.35">
      <c r="B121" s="450"/>
      <c r="C121" s="450"/>
      <c r="D121" s="450"/>
      <c r="E121" s="450"/>
      <c r="F121" s="450"/>
      <c r="G121" s="450"/>
      <c r="H121" s="450"/>
      <c r="I121" s="450"/>
      <c r="J121" s="450"/>
    </row>
    <row r="122" spans="1:10" x14ac:dyDescent="0.35">
      <c r="B122" s="450"/>
      <c r="C122" s="450"/>
      <c r="D122" s="450"/>
      <c r="E122" s="450"/>
      <c r="F122" s="450"/>
      <c r="G122" s="450"/>
      <c r="H122" s="450"/>
      <c r="I122" s="450"/>
      <c r="J122" s="450"/>
    </row>
    <row r="123" spans="1:10" x14ac:dyDescent="0.35">
      <c r="B123" s="450"/>
      <c r="C123" s="450"/>
      <c r="D123" s="450"/>
      <c r="E123" s="450"/>
      <c r="F123" s="450"/>
      <c r="G123" s="450"/>
      <c r="H123" s="450"/>
      <c r="I123" s="450"/>
      <c r="J123" s="450"/>
    </row>
    <row r="124" spans="1:10" x14ac:dyDescent="0.35">
      <c r="B124" s="450"/>
      <c r="C124" s="450"/>
      <c r="D124" s="450"/>
      <c r="E124" s="450"/>
      <c r="F124" s="450"/>
      <c r="G124" s="450"/>
      <c r="H124" s="450"/>
      <c r="I124" s="450"/>
      <c r="J124" s="450"/>
    </row>
    <row r="125" spans="1:10" x14ac:dyDescent="0.35">
      <c r="B125" s="450"/>
      <c r="C125" s="450"/>
      <c r="D125" s="450"/>
      <c r="E125" s="450"/>
      <c r="F125" s="450"/>
      <c r="G125" s="450"/>
      <c r="H125" s="450"/>
      <c r="I125" s="450"/>
      <c r="J125" s="450"/>
    </row>
    <row r="126" spans="1:10" x14ac:dyDescent="0.35">
      <c r="B126" s="450"/>
      <c r="C126" s="450"/>
      <c r="D126" s="450"/>
      <c r="E126" s="450"/>
      <c r="F126" s="450"/>
      <c r="G126" s="450"/>
      <c r="H126" s="450"/>
      <c r="I126" s="450"/>
      <c r="J126" s="450"/>
    </row>
    <row r="127" spans="1:10" x14ac:dyDescent="0.35">
      <c r="B127" s="450"/>
      <c r="C127" s="450"/>
      <c r="D127" s="450"/>
      <c r="E127" s="450"/>
      <c r="F127" s="450"/>
      <c r="G127" s="450"/>
      <c r="H127" s="450"/>
      <c r="I127" s="450"/>
      <c r="J127" s="450"/>
    </row>
    <row r="128" spans="1:10" x14ac:dyDescent="0.35">
      <c r="B128" s="451"/>
      <c r="C128" s="451"/>
      <c r="D128" s="451"/>
      <c r="E128" s="451"/>
      <c r="F128" s="451"/>
      <c r="G128" s="451"/>
      <c r="H128" s="451"/>
      <c r="I128" s="451"/>
      <c r="J128" s="451"/>
    </row>
    <row r="129" spans="2:10" x14ac:dyDescent="0.35">
      <c r="B129" s="451"/>
      <c r="C129" s="451"/>
      <c r="D129" s="451"/>
      <c r="E129" s="451"/>
      <c r="F129" s="451"/>
      <c r="G129" s="451"/>
      <c r="H129" s="451"/>
      <c r="I129" s="451"/>
      <c r="J129" s="451"/>
    </row>
    <row r="130" spans="2:10" x14ac:dyDescent="0.35">
      <c r="B130" s="451"/>
      <c r="C130" s="451"/>
      <c r="D130" s="451"/>
      <c r="E130" s="451"/>
      <c r="F130" s="451"/>
      <c r="G130" s="451"/>
      <c r="H130" s="451"/>
      <c r="I130" s="451"/>
      <c r="J130" s="451"/>
    </row>
    <row r="131" spans="2:10" x14ac:dyDescent="0.35">
      <c r="B131" s="451"/>
      <c r="C131" s="451"/>
      <c r="D131" s="451"/>
      <c r="E131" s="451"/>
      <c r="F131" s="451"/>
      <c r="G131" s="451"/>
      <c r="H131" s="451"/>
      <c r="I131" s="451"/>
      <c r="J131" s="451"/>
    </row>
    <row r="132" spans="2:10" x14ac:dyDescent="0.35">
      <c r="B132" s="451"/>
      <c r="C132" s="451"/>
      <c r="D132" s="451"/>
      <c r="E132" s="451"/>
      <c r="F132" s="451"/>
      <c r="G132" s="451"/>
      <c r="H132" s="451"/>
      <c r="I132" s="451"/>
      <c r="J132" s="451"/>
    </row>
    <row r="133" spans="2:10" x14ac:dyDescent="0.35">
      <c r="B133" s="451"/>
      <c r="C133" s="451"/>
      <c r="D133" s="451"/>
      <c r="E133" s="451"/>
      <c r="F133" s="451"/>
      <c r="G133" s="451"/>
      <c r="H133" s="451"/>
      <c r="I133" s="451"/>
      <c r="J133" s="451"/>
    </row>
    <row r="134" spans="2:10" x14ac:dyDescent="0.35">
      <c r="B134" s="451"/>
      <c r="C134" s="451"/>
      <c r="D134" s="451"/>
      <c r="E134" s="451"/>
      <c r="F134" s="451"/>
      <c r="G134" s="451"/>
      <c r="H134" s="451"/>
      <c r="I134" s="451"/>
      <c r="J134" s="451"/>
    </row>
    <row r="135" spans="2:10" x14ac:dyDescent="0.35">
      <c r="B135" s="451"/>
      <c r="C135" s="451"/>
      <c r="D135" s="451"/>
      <c r="E135" s="451"/>
      <c r="F135" s="451"/>
      <c r="G135" s="451"/>
      <c r="H135" s="451"/>
      <c r="I135" s="451"/>
      <c r="J135" s="451"/>
    </row>
    <row r="136" spans="2:10" x14ac:dyDescent="0.35">
      <c r="B136" s="451"/>
      <c r="C136" s="451"/>
      <c r="D136" s="451"/>
      <c r="E136" s="451"/>
      <c r="F136" s="451"/>
      <c r="G136" s="451"/>
      <c r="H136" s="451"/>
      <c r="I136" s="451"/>
      <c r="J136" s="451"/>
    </row>
    <row r="137" spans="2:10" x14ac:dyDescent="0.35">
      <c r="B137" s="451"/>
      <c r="C137" s="451"/>
      <c r="D137" s="451"/>
      <c r="E137" s="451"/>
      <c r="F137" s="451"/>
      <c r="G137" s="451"/>
      <c r="H137" s="451"/>
      <c r="I137" s="451"/>
      <c r="J137" s="451"/>
    </row>
    <row r="138" spans="2:10" x14ac:dyDescent="0.35">
      <c r="B138" s="451"/>
      <c r="C138" s="451"/>
      <c r="D138" s="451"/>
      <c r="E138" s="451"/>
      <c r="F138" s="451"/>
      <c r="G138" s="451"/>
      <c r="H138" s="451"/>
      <c r="I138" s="451"/>
      <c r="J138" s="451"/>
    </row>
    <row r="139" spans="2:10" x14ac:dyDescent="0.35">
      <c r="B139" s="451"/>
      <c r="C139" s="451"/>
      <c r="D139" s="451"/>
      <c r="E139" s="451"/>
      <c r="F139" s="451"/>
      <c r="G139" s="451"/>
      <c r="H139" s="451"/>
      <c r="I139" s="451"/>
      <c r="J139" s="451"/>
    </row>
    <row r="140" spans="2:10" x14ac:dyDescent="0.35">
      <c r="B140" s="451"/>
      <c r="C140" s="451"/>
      <c r="D140" s="451"/>
      <c r="E140" s="451"/>
      <c r="F140" s="451"/>
      <c r="G140" s="451"/>
      <c r="H140" s="451"/>
      <c r="I140" s="451"/>
      <c r="J140" s="451"/>
    </row>
    <row r="141" spans="2:10" x14ac:dyDescent="0.35">
      <c r="B141" s="451"/>
      <c r="C141" s="451"/>
      <c r="D141" s="451"/>
      <c r="E141" s="451"/>
      <c r="F141" s="451"/>
      <c r="G141" s="451"/>
      <c r="H141" s="451"/>
      <c r="I141" s="451"/>
      <c r="J141" s="451"/>
    </row>
    <row r="142" spans="2:10" x14ac:dyDescent="0.35">
      <c r="B142" s="451"/>
      <c r="C142" s="451"/>
      <c r="D142" s="451"/>
      <c r="E142" s="451"/>
      <c r="F142" s="451"/>
      <c r="G142" s="451"/>
      <c r="H142" s="451"/>
      <c r="I142" s="451"/>
      <c r="J142" s="451"/>
    </row>
    <row r="143" spans="2:10" x14ac:dyDescent="0.35">
      <c r="B143" s="451"/>
      <c r="C143" s="451"/>
      <c r="D143" s="451"/>
      <c r="E143" s="451"/>
      <c r="F143" s="451"/>
      <c r="G143" s="451"/>
      <c r="H143" s="451"/>
      <c r="I143" s="451"/>
      <c r="J143" s="451"/>
    </row>
    <row r="144" spans="2:10" x14ac:dyDescent="0.35">
      <c r="B144" s="451"/>
      <c r="C144" s="451"/>
      <c r="D144" s="451"/>
      <c r="E144" s="451"/>
      <c r="F144" s="451"/>
      <c r="G144" s="451"/>
      <c r="H144" s="451"/>
      <c r="I144" s="451"/>
      <c r="J144" s="451"/>
    </row>
    <row r="145" spans="2:10" x14ac:dyDescent="0.35">
      <c r="B145" s="451"/>
      <c r="C145" s="451"/>
      <c r="D145" s="451"/>
      <c r="E145" s="451"/>
      <c r="F145" s="451"/>
      <c r="G145" s="451"/>
      <c r="H145" s="451"/>
      <c r="I145" s="451"/>
      <c r="J145" s="451"/>
    </row>
    <row r="146" spans="2:10" x14ac:dyDescent="0.35">
      <c r="B146" s="451"/>
      <c r="C146" s="451"/>
      <c r="D146" s="451"/>
      <c r="E146" s="451"/>
      <c r="F146" s="451"/>
      <c r="G146" s="451"/>
      <c r="H146" s="451"/>
      <c r="I146" s="451"/>
      <c r="J146" s="451"/>
    </row>
    <row r="147" spans="2:10" x14ac:dyDescent="0.35">
      <c r="B147" s="451"/>
      <c r="C147" s="451"/>
      <c r="D147" s="451"/>
      <c r="E147" s="451"/>
      <c r="F147" s="451"/>
      <c r="G147" s="451"/>
      <c r="H147" s="451"/>
      <c r="I147" s="451"/>
      <c r="J147" s="451"/>
    </row>
    <row r="148" spans="2:10" x14ac:dyDescent="0.35">
      <c r="B148" s="451"/>
      <c r="C148" s="451"/>
      <c r="D148" s="451"/>
      <c r="E148" s="451"/>
      <c r="F148" s="451"/>
      <c r="G148" s="451"/>
      <c r="H148" s="451"/>
      <c r="I148" s="451"/>
      <c r="J148" s="451"/>
    </row>
    <row r="149" spans="2:10" x14ac:dyDescent="0.35">
      <c r="B149" s="451"/>
      <c r="C149" s="451"/>
      <c r="D149" s="451"/>
      <c r="E149" s="451"/>
      <c r="F149" s="451"/>
      <c r="G149" s="451"/>
      <c r="H149" s="451"/>
      <c r="I149" s="451"/>
      <c r="J149" s="451"/>
    </row>
    <row r="150" spans="2:10" x14ac:dyDescent="0.35">
      <c r="B150" s="451"/>
      <c r="C150" s="451"/>
      <c r="D150" s="451"/>
      <c r="E150" s="451"/>
      <c r="F150" s="451"/>
      <c r="G150" s="451"/>
      <c r="H150" s="451"/>
      <c r="I150" s="451"/>
      <c r="J150" s="451"/>
    </row>
    <row r="151" spans="2:10" x14ac:dyDescent="0.35">
      <c r="B151" s="451"/>
      <c r="C151" s="451"/>
      <c r="D151" s="451"/>
      <c r="E151" s="451"/>
      <c r="F151" s="451"/>
      <c r="G151" s="451"/>
      <c r="H151" s="451"/>
      <c r="I151" s="451"/>
      <c r="J151" s="451"/>
    </row>
    <row r="152" spans="2:10" x14ac:dyDescent="0.35">
      <c r="B152" s="451"/>
      <c r="C152" s="451"/>
      <c r="D152" s="451"/>
      <c r="E152" s="451"/>
      <c r="F152" s="451"/>
      <c r="G152" s="451"/>
      <c r="H152" s="451"/>
      <c r="I152" s="451"/>
      <c r="J152" s="451"/>
    </row>
    <row r="153" spans="2:10" x14ac:dyDescent="0.35">
      <c r="B153" s="451"/>
      <c r="C153" s="451"/>
      <c r="D153" s="451"/>
      <c r="E153" s="451"/>
      <c r="F153" s="451"/>
      <c r="G153" s="451"/>
      <c r="H153" s="451"/>
      <c r="I153" s="451"/>
      <c r="J153" s="451"/>
    </row>
    <row r="154" spans="2:10" x14ac:dyDescent="0.35">
      <c r="B154" s="451"/>
      <c r="C154" s="451"/>
      <c r="D154" s="451"/>
      <c r="E154" s="451"/>
      <c r="F154" s="451"/>
      <c r="G154" s="451"/>
      <c r="H154" s="451"/>
      <c r="I154" s="451"/>
      <c r="J154" s="451"/>
    </row>
    <row r="155" spans="2:10" x14ac:dyDescent="0.35">
      <c r="B155" s="451"/>
      <c r="C155" s="451"/>
      <c r="D155" s="451"/>
      <c r="E155" s="451"/>
      <c r="F155" s="451"/>
      <c r="G155" s="451"/>
      <c r="H155" s="451"/>
      <c r="I155" s="451"/>
      <c r="J155" s="451"/>
    </row>
    <row r="156" spans="2:10" x14ac:dyDescent="0.35">
      <c r="B156" s="451"/>
      <c r="C156" s="451"/>
      <c r="D156" s="451"/>
      <c r="E156" s="451"/>
      <c r="F156" s="451"/>
      <c r="G156" s="451"/>
      <c r="H156" s="451"/>
      <c r="I156" s="451"/>
      <c r="J156" s="451"/>
    </row>
    <row r="157" spans="2:10" x14ac:dyDescent="0.35">
      <c r="B157" s="451"/>
      <c r="C157" s="451"/>
      <c r="D157" s="451"/>
      <c r="E157" s="451"/>
      <c r="F157" s="451"/>
      <c r="G157" s="451"/>
      <c r="H157" s="451"/>
      <c r="I157" s="451"/>
      <c r="J157" s="451"/>
    </row>
    <row r="158" spans="2:10" x14ac:dyDescent="0.35">
      <c r="B158" s="451"/>
      <c r="C158" s="451"/>
      <c r="D158" s="451"/>
      <c r="E158" s="451"/>
      <c r="F158" s="451"/>
      <c r="G158" s="451"/>
      <c r="H158" s="451"/>
      <c r="I158" s="451"/>
      <c r="J158" s="451"/>
    </row>
    <row r="159" spans="2:10" x14ac:dyDescent="0.35">
      <c r="B159" s="451"/>
      <c r="C159" s="451"/>
      <c r="D159" s="451"/>
      <c r="E159" s="451"/>
      <c r="F159" s="451"/>
      <c r="G159" s="451"/>
      <c r="H159" s="451"/>
      <c r="I159" s="451"/>
      <c r="J159" s="451"/>
    </row>
    <row r="160" spans="2:10" x14ac:dyDescent="0.35">
      <c r="B160" s="451"/>
      <c r="C160" s="451"/>
      <c r="D160" s="451"/>
      <c r="E160" s="451"/>
      <c r="F160" s="451"/>
      <c r="G160" s="451"/>
      <c r="H160" s="451"/>
      <c r="I160" s="451"/>
      <c r="J160" s="451"/>
    </row>
    <row r="161" spans="2:10" x14ac:dyDescent="0.35">
      <c r="B161" s="451"/>
      <c r="C161" s="451"/>
      <c r="D161" s="451"/>
      <c r="E161" s="451"/>
      <c r="F161" s="451"/>
      <c r="G161" s="451"/>
      <c r="H161" s="451"/>
      <c r="I161" s="451"/>
      <c r="J161" s="451"/>
    </row>
    <row r="162" spans="2:10" x14ac:dyDescent="0.35">
      <c r="B162" s="451"/>
      <c r="C162" s="451"/>
      <c r="D162" s="451"/>
      <c r="E162" s="451"/>
      <c r="F162" s="451"/>
      <c r="G162" s="451"/>
      <c r="H162" s="451"/>
      <c r="I162" s="451"/>
      <c r="J162" s="451"/>
    </row>
    <row r="163" spans="2:10" x14ac:dyDescent="0.35">
      <c r="B163" s="451"/>
      <c r="C163" s="451"/>
      <c r="D163" s="451"/>
      <c r="E163" s="451"/>
      <c r="F163" s="451"/>
      <c r="G163" s="451"/>
      <c r="H163" s="451"/>
      <c r="I163" s="451"/>
      <c r="J163" s="451"/>
    </row>
    <row r="164" spans="2:10" x14ac:dyDescent="0.35">
      <c r="B164" s="451"/>
      <c r="C164" s="451"/>
      <c r="D164" s="451"/>
      <c r="E164" s="451"/>
      <c r="F164" s="451"/>
      <c r="G164" s="451"/>
      <c r="H164" s="451"/>
      <c r="I164" s="451"/>
      <c r="J164" s="451"/>
    </row>
    <row r="165" spans="2:10" x14ac:dyDescent="0.35">
      <c r="B165" s="451"/>
      <c r="C165" s="451"/>
      <c r="D165" s="451"/>
      <c r="E165" s="451"/>
      <c r="F165" s="451"/>
      <c r="G165" s="451"/>
      <c r="H165" s="451"/>
      <c r="I165" s="451"/>
      <c r="J165" s="451"/>
    </row>
    <row r="166" spans="2:10" x14ac:dyDescent="0.35">
      <c r="B166" s="451"/>
      <c r="C166" s="451"/>
      <c r="D166" s="451"/>
      <c r="E166" s="451"/>
      <c r="F166" s="451"/>
      <c r="G166" s="451"/>
      <c r="H166" s="451"/>
      <c r="I166" s="451"/>
      <c r="J166" s="451"/>
    </row>
    <row r="167" spans="2:10" x14ac:dyDescent="0.35">
      <c r="B167" s="451"/>
      <c r="C167" s="451"/>
      <c r="D167" s="451"/>
      <c r="E167" s="451"/>
      <c r="F167" s="451"/>
      <c r="G167" s="451"/>
      <c r="H167" s="451"/>
      <c r="I167" s="451"/>
      <c r="J167" s="451"/>
    </row>
    <row r="168" spans="2:10" x14ac:dyDescent="0.35">
      <c r="B168" s="451"/>
      <c r="C168" s="451"/>
      <c r="D168" s="451"/>
      <c r="E168" s="451"/>
      <c r="F168" s="451"/>
      <c r="G168" s="451"/>
      <c r="H168" s="451"/>
      <c r="I168" s="451"/>
      <c r="J168" s="451"/>
    </row>
    <row r="169" spans="2:10" x14ac:dyDescent="0.35">
      <c r="B169" s="451"/>
      <c r="C169" s="451"/>
      <c r="D169" s="451"/>
      <c r="E169" s="451"/>
      <c r="F169" s="451"/>
      <c r="G169" s="451"/>
      <c r="H169" s="451"/>
      <c r="I169" s="451"/>
      <c r="J169" s="451"/>
    </row>
    <row r="170" spans="2:10" x14ac:dyDescent="0.35">
      <c r="B170" s="451"/>
      <c r="C170" s="451"/>
      <c r="D170" s="451"/>
      <c r="E170" s="451"/>
      <c r="F170" s="451"/>
      <c r="G170" s="451"/>
      <c r="H170" s="451"/>
      <c r="I170" s="451"/>
      <c r="J170" s="451"/>
    </row>
    <row r="171" spans="2:10" x14ac:dyDescent="0.35">
      <c r="B171" s="451"/>
      <c r="C171" s="451"/>
      <c r="D171" s="451"/>
      <c r="E171" s="451"/>
      <c r="F171" s="451"/>
      <c r="G171" s="451"/>
      <c r="H171" s="451"/>
      <c r="I171" s="451"/>
      <c r="J171" s="451"/>
    </row>
    <row r="172" spans="2:10" x14ac:dyDescent="0.35">
      <c r="B172" s="451"/>
      <c r="C172" s="451"/>
      <c r="D172" s="451"/>
      <c r="E172" s="451"/>
      <c r="F172" s="451"/>
      <c r="G172" s="451"/>
      <c r="H172" s="451"/>
      <c r="I172" s="451"/>
      <c r="J172" s="451"/>
    </row>
    <row r="173" spans="2:10" x14ac:dyDescent="0.35">
      <c r="B173" s="451"/>
      <c r="C173" s="451"/>
      <c r="D173" s="451"/>
      <c r="E173" s="451"/>
      <c r="F173" s="451"/>
      <c r="G173" s="451"/>
      <c r="H173" s="451"/>
      <c r="I173" s="451"/>
      <c r="J173" s="451"/>
    </row>
    <row r="174" spans="2:10" x14ac:dyDescent="0.35">
      <c r="B174" s="451"/>
      <c r="C174" s="451"/>
      <c r="D174" s="451"/>
      <c r="E174" s="451"/>
      <c r="F174" s="451"/>
      <c r="G174" s="451"/>
      <c r="H174" s="451"/>
      <c r="I174" s="451"/>
      <c r="J174" s="451"/>
    </row>
    <row r="175" spans="2:10" x14ac:dyDescent="0.35">
      <c r="B175" s="451"/>
      <c r="C175" s="451"/>
      <c r="D175" s="451"/>
      <c r="E175" s="451"/>
      <c r="F175" s="451"/>
      <c r="G175" s="451"/>
      <c r="H175" s="451"/>
      <c r="I175" s="451"/>
      <c r="J175" s="451"/>
    </row>
    <row r="176" spans="2:10" x14ac:dyDescent="0.35">
      <c r="B176" s="452"/>
      <c r="C176" s="452"/>
      <c r="D176" s="452"/>
      <c r="E176" s="452"/>
      <c r="F176" s="452"/>
      <c r="G176" s="452"/>
      <c r="H176" s="452"/>
      <c r="I176" s="452"/>
      <c r="J176" s="452"/>
    </row>
    <row r="177" spans="2:10" x14ac:dyDescent="0.35">
      <c r="B177" s="452"/>
      <c r="C177" s="452"/>
      <c r="D177" s="452"/>
      <c r="E177" s="452"/>
      <c r="F177" s="452"/>
      <c r="G177" s="452"/>
      <c r="H177" s="452"/>
      <c r="I177" s="452"/>
      <c r="J177" s="452"/>
    </row>
    <row r="178" spans="2:10" x14ac:dyDescent="0.35">
      <c r="B178" s="452"/>
      <c r="C178" s="452"/>
      <c r="D178" s="452"/>
      <c r="E178" s="452"/>
      <c r="F178" s="452"/>
      <c r="G178" s="452"/>
      <c r="H178" s="452"/>
      <c r="I178" s="452"/>
      <c r="J178" s="452"/>
    </row>
    <row r="179" spans="2:10" x14ac:dyDescent="0.35">
      <c r="B179" s="452"/>
      <c r="C179" s="452"/>
      <c r="D179" s="452"/>
      <c r="E179" s="452"/>
      <c r="F179" s="452"/>
      <c r="G179" s="452"/>
      <c r="H179" s="452"/>
      <c r="I179" s="452"/>
      <c r="J179" s="452"/>
    </row>
  </sheetData>
  <mergeCells count="12">
    <mergeCell ref="C26:J26"/>
    <mergeCell ref="C27:J27"/>
    <mergeCell ref="A2:A4"/>
    <mergeCell ref="B2:J2"/>
    <mergeCell ref="K2:K6"/>
    <mergeCell ref="B3:B4"/>
    <mergeCell ref="C3:E3"/>
    <mergeCell ref="F3:F4"/>
    <mergeCell ref="G3:G4"/>
    <mergeCell ref="H3:H4"/>
    <mergeCell ref="I3:I4"/>
    <mergeCell ref="J3:J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4CB76-2563-4738-B473-AB50EA6B48AB}">
  <dimension ref="A2:S41"/>
  <sheetViews>
    <sheetView topLeftCell="I14" workbookViewId="0">
      <selection activeCell="M41" sqref="M41"/>
    </sheetView>
  </sheetViews>
  <sheetFormatPr defaultRowHeight="14.5" x14ac:dyDescent="0.35"/>
  <cols>
    <col min="2" max="2" width="18" bestFit="1" customWidth="1"/>
    <col min="3" max="3" width="12.7265625" customWidth="1"/>
    <col min="4" max="4" width="13.26953125" customWidth="1"/>
    <col min="5" max="6" width="9.08984375" bestFit="1" customWidth="1"/>
    <col min="9" max="9" width="22.36328125" customWidth="1"/>
    <col min="10" max="10" width="24" style="133" customWidth="1"/>
    <col min="13" max="13" width="8.7265625" style="9"/>
    <col min="14" max="14" width="31.54296875" customWidth="1"/>
    <col min="15" max="15" width="29.6328125" customWidth="1"/>
    <col min="16" max="16" width="37.26953125" customWidth="1"/>
    <col min="17" max="17" width="14.08984375" customWidth="1"/>
  </cols>
  <sheetData>
    <row r="2" spans="1:19" x14ac:dyDescent="0.35">
      <c r="A2" t="s">
        <v>723</v>
      </c>
      <c r="E2" s="52" t="s">
        <v>636</v>
      </c>
    </row>
    <row r="3" spans="1:19" x14ac:dyDescent="0.35">
      <c r="E3" s="136" t="s">
        <v>727</v>
      </c>
      <c r="F3" s="136"/>
      <c r="G3" s="136"/>
      <c r="H3" s="136"/>
      <c r="I3" s="136"/>
      <c r="J3" s="137"/>
      <c r="N3" s="95" t="s">
        <v>737</v>
      </c>
      <c r="O3" s="95"/>
      <c r="P3" s="95"/>
      <c r="Q3" s="136"/>
      <c r="R3" s="136"/>
      <c r="S3" s="137"/>
    </row>
    <row r="4" spans="1:19" x14ac:dyDescent="0.35">
      <c r="A4" t="s">
        <v>724</v>
      </c>
      <c r="E4" s="9" t="s">
        <v>616</v>
      </c>
      <c r="F4" s="9"/>
      <c r="G4" s="9"/>
      <c r="H4" s="9"/>
      <c r="N4" s="364" t="s">
        <v>48</v>
      </c>
      <c r="O4" s="138" t="s">
        <v>0</v>
      </c>
      <c r="P4" s="73" t="s">
        <v>690</v>
      </c>
    </row>
    <row r="5" spans="1:19" ht="72.5" x14ac:dyDescent="0.35">
      <c r="B5" t="s">
        <v>725</v>
      </c>
      <c r="C5">
        <v>30</v>
      </c>
      <c r="E5" s="9" t="s">
        <v>617</v>
      </c>
      <c r="G5" s="9"/>
      <c r="H5" s="9"/>
      <c r="I5" s="347" t="s">
        <v>710</v>
      </c>
      <c r="J5" s="347"/>
      <c r="N5" s="364"/>
      <c r="O5" s="138" t="s">
        <v>57</v>
      </c>
      <c r="P5" s="139" t="s">
        <v>691</v>
      </c>
    </row>
    <row r="6" spans="1:19" x14ac:dyDescent="0.35">
      <c r="B6" t="s">
        <v>726</v>
      </c>
      <c r="C6">
        <v>30</v>
      </c>
      <c r="E6" s="88" t="s">
        <v>618</v>
      </c>
      <c r="F6" s="9"/>
      <c r="G6" s="9"/>
      <c r="H6" s="9"/>
      <c r="I6" s="53" t="s">
        <v>619</v>
      </c>
      <c r="J6" s="134" t="s">
        <v>620</v>
      </c>
      <c r="N6" s="364"/>
      <c r="O6" s="138" t="s">
        <v>709</v>
      </c>
      <c r="P6" s="139">
        <v>40</v>
      </c>
    </row>
    <row r="7" spans="1:19" x14ac:dyDescent="0.35">
      <c r="E7" s="9" t="s">
        <v>628</v>
      </c>
      <c r="F7" s="9">
        <v>1399</v>
      </c>
      <c r="G7" s="9" t="s">
        <v>629</v>
      </c>
      <c r="I7" s="53" t="s">
        <v>621</v>
      </c>
      <c r="J7" s="134" t="s">
        <v>622</v>
      </c>
      <c r="N7" s="364"/>
      <c r="O7" s="138" t="s">
        <v>37</v>
      </c>
      <c r="P7" s="141">
        <v>6278.217391304348</v>
      </c>
    </row>
    <row r="8" spans="1:19" x14ac:dyDescent="0.35">
      <c r="E8" s="9"/>
      <c r="F8" s="9">
        <f>F7/1000</f>
        <v>1.399</v>
      </c>
      <c r="G8" s="9" t="s">
        <v>630</v>
      </c>
      <c r="I8" s="53" t="s">
        <v>0</v>
      </c>
      <c r="J8" s="134" t="s">
        <v>624</v>
      </c>
      <c r="N8" s="364" t="s">
        <v>60</v>
      </c>
      <c r="O8" s="138" t="s">
        <v>43</v>
      </c>
      <c r="P8" s="139" t="s">
        <v>695</v>
      </c>
    </row>
    <row r="9" spans="1:19" s="9" customFormat="1" ht="29" x14ac:dyDescent="0.35">
      <c r="E9" s="9" t="s">
        <v>631</v>
      </c>
      <c r="F9" s="9">
        <v>-1211</v>
      </c>
      <c r="G9" s="9" t="s">
        <v>632</v>
      </c>
      <c r="I9" s="53" t="s">
        <v>625</v>
      </c>
      <c r="J9" s="134" t="s">
        <v>626</v>
      </c>
      <c r="N9" s="364"/>
      <c r="O9" s="138" t="s">
        <v>44</v>
      </c>
      <c r="P9" s="139" t="s">
        <v>692</v>
      </c>
    </row>
    <row r="10" spans="1:19" s="9" customFormat="1" x14ac:dyDescent="0.35">
      <c r="E10" s="9" t="s">
        <v>634</v>
      </c>
      <c r="F10" s="9">
        <v>288</v>
      </c>
      <c r="G10" s="9" t="s">
        <v>633</v>
      </c>
      <c r="I10" s="123" t="s">
        <v>711</v>
      </c>
      <c r="J10" s="135" t="s">
        <v>712</v>
      </c>
      <c r="N10" s="364"/>
      <c r="O10" s="138" t="s">
        <v>45</v>
      </c>
      <c r="P10" s="141">
        <v>2767.2321188906326</v>
      </c>
    </row>
    <row r="11" spans="1:19" s="9" customFormat="1" ht="29" x14ac:dyDescent="0.35">
      <c r="I11" s="132" t="s">
        <v>728</v>
      </c>
      <c r="J11" s="133" t="s">
        <v>623</v>
      </c>
      <c r="N11" s="364"/>
      <c r="O11" s="138" t="s">
        <v>46</v>
      </c>
      <c r="P11" s="141">
        <v>78706.418629899592</v>
      </c>
    </row>
    <row r="12" spans="1:19" s="9" customFormat="1" ht="29" x14ac:dyDescent="0.35">
      <c r="J12" s="133"/>
      <c r="N12" s="364"/>
      <c r="O12" s="138" t="s">
        <v>47</v>
      </c>
      <c r="P12" s="140">
        <v>33.407366612638896</v>
      </c>
    </row>
    <row r="13" spans="1:19" ht="29" x14ac:dyDescent="0.35">
      <c r="N13" s="364" t="s">
        <v>6</v>
      </c>
      <c r="O13" s="138" t="s">
        <v>10</v>
      </c>
      <c r="P13" s="139" t="s">
        <v>696</v>
      </c>
    </row>
    <row r="14" spans="1:19" ht="58" x14ac:dyDescent="0.35">
      <c r="A14" s="9" t="s">
        <v>641</v>
      </c>
      <c r="B14" s="9"/>
      <c r="C14" s="361" t="s">
        <v>739</v>
      </c>
      <c r="D14" s="361"/>
      <c r="E14" s="361"/>
      <c r="F14" s="361"/>
      <c r="G14" s="361"/>
      <c r="H14" s="362" t="s">
        <v>742</v>
      </c>
      <c r="I14" s="363"/>
      <c r="J14" s="363"/>
      <c r="K14" s="363"/>
      <c r="L14" s="363"/>
      <c r="M14" s="152"/>
      <c r="N14" s="364"/>
      <c r="O14" s="138" t="s">
        <v>7</v>
      </c>
      <c r="P14" s="139" t="s">
        <v>11</v>
      </c>
    </row>
    <row r="15" spans="1:19" ht="72.5" x14ac:dyDescent="0.35">
      <c r="A15" s="122" t="s">
        <v>643</v>
      </c>
      <c r="B15" s="122" t="s">
        <v>642</v>
      </c>
      <c r="C15" s="122" t="s">
        <v>739</v>
      </c>
      <c r="D15" s="122" t="s">
        <v>740</v>
      </c>
      <c r="E15" s="122" t="s">
        <v>741</v>
      </c>
      <c r="F15" s="122" t="s">
        <v>647</v>
      </c>
      <c r="G15" s="122" t="s">
        <v>648</v>
      </c>
      <c r="H15" s="147" t="s">
        <v>742</v>
      </c>
      <c r="I15" s="148" t="s">
        <v>743</v>
      </c>
      <c r="J15" s="148" t="s">
        <v>744</v>
      </c>
      <c r="K15" s="148" t="s">
        <v>647</v>
      </c>
      <c r="L15" s="148" t="s">
        <v>648</v>
      </c>
      <c r="M15" s="148"/>
      <c r="N15" s="364"/>
      <c r="O15" s="138" t="s">
        <v>697</v>
      </c>
      <c r="P15" s="139">
        <v>20</v>
      </c>
    </row>
    <row r="16" spans="1:19" x14ac:dyDescent="0.35">
      <c r="A16" s="9">
        <v>1</v>
      </c>
      <c r="B16" s="9">
        <v>2025</v>
      </c>
      <c r="C16" s="9">
        <v>0</v>
      </c>
      <c r="D16" s="9">
        <f>C16*10</f>
        <v>0</v>
      </c>
      <c r="E16">
        <v>0</v>
      </c>
      <c r="F16" s="9"/>
      <c r="G16" s="97"/>
      <c r="H16" s="149">
        <v>0</v>
      </c>
      <c r="I16" s="32">
        <f>H16*10</f>
        <v>0</v>
      </c>
      <c r="J16" s="32">
        <v>0</v>
      </c>
      <c r="K16" s="32">
        <f>J16*$F$8</f>
        <v>0</v>
      </c>
      <c r="L16" s="32"/>
      <c r="M16" s="32"/>
      <c r="N16" s="364"/>
      <c r="O16" s="138" t="s">
        <v>8</v>
      </c>
      <c r="P16" s="142">
        <v>500000</v>
      </c>
    </row>
    <row r="17" spans="1:17" x14ac:dyDescent="0.35">
      <c r="A17" s="9">
        <v>2</v>
      </c>
      <c r="B17" s="9">
        <v>2026</v>
      </c>
      <c r="C17" s="9">
        <v>5</v>
      </c>
      <c r="D17" s="9">
        <f>C17+D16</f>
        <v>5</v>
      </c>
      <c r="E17">
        <f>D17</f>
        <v>5</v>
      </c>
      <c r="F17" s="97">
        <f>D17*P22</f>
        <v>69.198793069662827</v>
      </c>
      <c r="G17" s="97">
        <f>F17</f>
        <v>69.198793069662827</v>
      </c>
      <c r="H17" s="149">
        <v>5</v>
      </c>
      <c r="I17" s="32">
        <f>(H17*10)+I16</f>
        <v>50</v>
      </c>
      <c r="J17" s="32">
        <f>H17*10</f>
        <v>50</v>
      </c>
      <c r="K17" s="153">
        <f t="shared" ref="K17:K40" si="0">J17*$F$8</f>
        <v>69.95</v>
      </c>
      <c r="L17" s="97">
        <f>K17</f>
        <v>69.95</v>
      </c>
      <c r="M17" s="97"/>
      <c r="N17" s="364"/>
      <c r="O17" s="138" t="s">
        <v>12</v>
      </c>
      <c r="P17" s="142">
        <v>15000</v>
      </c>
    </row>
    <row r="18" spans="1:17" x14ac:dyDescent="0.35">
      <c r="A18" s="9">
        <v>3</v>
      </c>
      <c r="B18" s="9">
        <v>2027</v>
      </c>
      <c r="C18" s="9">
        <v>5</v>
      </c>
      <c r="D18" s="9">
        <f t="shared" ref="D18:D41" si="1">C18+D17</f>
        <v>10</v>
      </c>
      <c r="E18">
        <f>C18+C17</f>
        <v>10</v>
      </c>
      <c r="F18" s="97">
        <f>D18*$P$23</f>
        <v>187.31660613609148</v>
      </c>
      <c r="G18" s="97">
        <f>G17+F18</f>
        <v>256.51539920575431</v>
      </c>
      <c r="H18" s="149">
        <v>5</v>
      </c>
      <c r="I18" s="32">
        <f t="shared" ref="I18:I41" si="2">(H18*10)+I17</f>
        <v>100</v>
      </c>
      <c r="J18" s="32">
        <f>(H18+H17)*10</f>
        <v>100</v>
      </c>
      <c r="K18" s="153">
        <f t="shared" si="0"/>
        <v>139.9</v>
      </c>
      <c r="L18" s="97">
        <f>L17+K18</f>
        <v>209.85000000000002</v>
      </c>
      <c r="M18" s="97"/>
      <c r="N18" s="364"/>
      <c r="O18" s="138" t="s">
        <v>50</v>
      </c>
      <c r="P18" s="142">
        <v>515000</v>
      </c>
    </row>
    <row r="19" spans="1:17" x14ac:dyDescent="0.35">
      <c r="A19" s="9">
        <v>4</v>
      </c>
      <c r="B19" s="9">
        <v>2028</v>
      </c>
      <c r="C19" s="9">
        <v>10</v>
      </c>
      <c r="D19" s="9">
        <f t="shared" si="1"/>
        <v>20</v>
      </c>
      <c r="E19" s="9">
        <f t="shared" ref="E19:E22" si="3">C19+C18</f>
        <v>15</v>
      </c>
      <c r="F19" s="97">
        <f>D19*P24</f>
        <v>472.47125226571461</v>
      </c>
      <c r="G19" s="97">
        <f t="shared" ref="G19:G41" si="4">G18+F19</f>
        <v>728.98665147146892</v>
      </c>
      <c r="H19" s="149">
        <v>10</v>
      </c>
      <c r="I19" s="32">
        <f t="shared" si="2"/>
        <v>200</v>
      </c>
      <c r="J19" s="32">
        <f t="shared" ref="J19:J22" si="5">(H19+H18)*10</f>
        <v>150</v>
      </c>
      <c r="K19" s="153">
        <f t="shared" si="0"/>
        <v>209.85</v>
      </c>
      <c r="L19" s="97">
        <f t="shared" ref="L19:L41" si="6">L18+K19</f>
        <v>419.70000000000005</v>
      </c>
      <c r="M19" s="97"/>
      <c r="N19" s="364"/>
      <c r="O19" s="138" t="s">
        <v>729</v>
      </c>
      <c r="P19" s="139" t="s">
        <v>730</v>
      </c>
    </row>
    <row r="20" spans="1:17" ht="29.5" thickBot="1" x14ac:dyDescent="0.4">
      <c r="A20" s="9">
        <v>5</v>
      </c>
      <c r="B20" s="9">
        <v>2029</v>
      </c>
      <c r="C20" s="9">
        <v>10</v>
      </c>
      <c r="D20" s="9">
        <f t="shared" si="1"/>
        <v>30</v>
      </c>
      <c r="E20" s="9">
        <f>C20+C19</f>
        <v>20</v>
      </c>
      <c r="F20" s="97">
        <f>D20*P25</f>
        <v>855.46393838886934</v>
      </c>
      <c r="G20" s="97">
        <f t="shared" si="4"/>
        <v>1584.4505898603384</v>
      </c>
      <c r="H20" s="149">
        <v>10</v>
      </c>
      <c r="I20" s="32">
        <f t="shared" si="2"/>
        <v>300</v>
      </c>
      <c r="J20" s="32">
        <f t="shared" si="5"/>
        <v>200</v>
      </c>
      <c r="K20" s="153">
        <f t="shared" si="0"/>
        <v>279.8</v>
      </c>
      <c r="L20" s="97">
        <f t="shared" si="6"/>
        <v>699.5</v>
      </c>
      <c r="M20" s="97"/>
      <c r="N20" s="364" t="s">
        <v>736</v>
      </c>
      <c r="O20" s="138" t="s">
        <v>51</v>
      </c>
      <c r="P20" s="139">
        <v>0</v>
      </c>
    </row>
    <row r="21" spans="1:17" ht="15" thickBot="1" x14ac:dyDescent="0.4">
      <c r="A21" s="9">
        <v>6</v>
      </c>
      <c r="B21" s="9">
        <v>2030</v>
      </c>
      <c r="C21" s="9"/>
      <c r="D21" s="9">
        <f t="shared" si="1"/>
        <v>30</v>
      </c>
      <c r="E21" s="9">
        <f t="shared" si="3"/>
        <v>10</v>
      </c>
      <c r="F21" s="97">
        <f>E21*P26</f>
        <v>334.07366612638896</v>
      </c>
      <c r="G21" s="146">
        <f t="shared" si="4"/>
        <v>1918.5242559867274</v>
      </c>
      <c r="H21" s="149"/>
      <c r="I21" s="32">
        <f t="shared" si="2"/>
        <v>300</v>
      </c>
      <c r="J21" s="32">
        <f t="shared" si="5"/>
        <v>100</v>
      </c>
      <c r="K21" s="153">
        <f t="shared" si="0"/>
        <v>139.9</v>
      </c>
      <c r="L21" s="146">
        <f t="shared" si="6"/>
        <v>839.4</v>
      </c>
      <c r="M21" s="151"/>
      <c r="N21" s="364"/>
      <c r="O21" s="138" t="s">
        <v>5</v>
      </c>
      <c r="P21" s="141">
        <v>102883.76162953935</v>
      </c>
    </row>
    <row r="22" spans="1:17" x14ac:dyDescent="0.35">
      <c r="A22" s="9">
        <v>7</v>
      </c>
      <c r="B22" s="9">
        <v>2031</v>
      </c>
      <c r="C22" s="9"/>
      <c r="D22" s="9">
        <f t="shared" si="1"/>
        <v>30</v>
      </c>
      <c r="E22" s="9">
        <f t="shared" si="3"/>
        <v>0</v>
      </c>
      <c r="F22" s="13">
        <f>E22*P26</f>
        <v>0</v>
      </c>
      <c r="G22" s="97">
        <f t="shared" si="4"/>
        <v>1918.5242559867274</v>
      </c>
      <c r="H22" s="149"/>
      <c r="I22" s="32">
        <f t="shared" si="2"/>
        <v>300</v>
      </c>
      <c r="J22" s="32">
        <f t="shared" si="5"/>
        <v>0</v>
      </c>
      <c r="K22" s="32">
        <f t="shared" si="0"/>
        <v>0</v>
      </c>
      <c r="L22" s="97">
        <f t="shared" si="6"/>
        <v>839.4</v>
      </c>
      <c r="M22" s="97"/>
      <c r="N22" s="364"/>
      <c r="O22" s="138" t="s">
        <v>731</v>
      </c>
      <c r="P22" s="143">
        <f>'Community Programs'!J16-'Community Programs'!T16</f>
        <v>13.839758613932567</v>
      </c>
      <c r="Q22" s="365" t="s">
        <v>738</v>
      </c>
    </row>
    <row r="23" spans="1:17" x14ac:dyDescent="0.35">
      <c r="A23" s="9">
        <v>8</v>
      </c>
      <c r="B23" s="9">
        <v>2032</v>
      </c>
      <c r="C23" s="9"/>
      <c r="D23" s="9">
        <f t="shared" si="1"/>
        <v>30</v>
      </c>
      <c r="E23" s="9"/>
      <c r="F23" s="9"/>
      <c r="G23" s="97">
        <f t="shared" si="4"/>
        <v>1918.5242559867274</v>
      </c>
      <c r="H23" s="149"/>
      <c r="I23" s="32">
        <f t="shared" si="2"/>
        <v>300</v>
      </c>
      <c r="J23" s="150"/>
      <c r="K23" s="32">
        <f t="shared" si="0"/>
        <v>0</v>
      </c>
      <c r="L23" s="97">
        <f t="shared" si="6"/>
        <v>839.4</v>
      </c>
      <c r="M23" s="97"/>
      <c r="N23" s="364"/>
      <c r="O23" s="138" t="s">
        <v>732</v>
      </c>
      <c r="P23" s="143">
        <f>'Community Programs'!J16-'Community Programs'!U16</f>
        <v>18.731660613609147</v>
      </c>
      <c r="Q23" s="365"/>
    </row>
    <row r="24" spans="1:17" x14ac:dyDescent="0.35">
      <c r="A24" s="9">
        <v>9</v>
      </c>
      <c r="B24" s="9">
        <v>2033</v>
      </c>
      <c r="C24" s="9"/>
      <c r="D24" s="9">
        <f t="shared" si="1"/>
        <v>30</v>
      </c>
      <c r="E24" s="9"/>
      <c r="F24" s="9"/>
      <c r="G24" s="97">
        <f t="shared" si="4"/>
        <v>1918.5242559867274</v>
      </c>
      <c r="H24" s="149"/>
      <c r="I24" s="32">
        <f t="shared" si="2"/>
        <v>300</v>
      </c>
      <c r="J24" s="150"/>
      <c r="K24" s="32">
        <f t="shared" si="0"/>
        <v>0</v>
      </c>
      <c r="L24" s="97">
        <f t="shared" si="6"/>
        <v>839.4</v>
      </c>
      <c r="M24" s="97"/>
      <c r="N24" s="364"/>
      <c r="O24" s="138" t="s">
        <v>733</v>
      </c>
      <c r="P24" s="143">
        <f>'Community Programs'!J16-'Community Programs'!V16</f>
        <v>23.623562613285731</v>
      </c>
      <c r="Q24" s="365"/>
    </row>
    <row r="25" spans="1:17" x14ac:dyDescent="0.35">
      <c r="A25" s="9">
        <v>10</v>
      </c>
      <c r="B25" s="9">
        <v>2034</v>
      </c>
      <c r="C25" s="9"/>
      <c r="D25" s="9">
        <f t="shared" si="1"/>
        <v>30</v>
      </c>
      <c r="E25" s="9"/>
      <c r="F25" s="9"/>
      <c r="G25" s="97">
        <f t="shared" si="4"/>
        <v>1918.5242559867274</v>
      </c>
      <c r="H25" s="149"/>
      <c r="I25" s="32">
        <f t="shared" si="2"/>
        <v>300</v>
      </c>
      <c r="J25" s="150"/>
      <c r="K25" s="32">
        <f t="shared" si="0"/>
        <v>0</v>
      </c>
      <c r="L25" s="97">
        <f t="shared" si="6"/>
        <v>839.4</v>
      </c>
      <c r="M25" s="97"/>
      <c r="N25" s="364"/>
      <c r="O25" s="138" t="s">
        <v>734</v>
      </c>
      <c r="P25" s="143">
        <f>'Community Programs'!J16-'Community Programs'!W16</f>
        <v>28.515464612962312</v>
      </c>
      <c r="Q25" s="365"/>
    </row>
    <row r="26" spans="1:17" x14ac:dyDescent="0.35">
      <c r="A26" s="9">
        <v>11</v>
      </c>
      <c r="B26" s="9">
        <v>2035</v>
      </c>
      <c r="C26" s="9"/>
      <c r="D26" s="9">
        <f t="shared" si="1"/>
        <v>30</v>
      </c>
      <c r="E26" s="9"/>
      <c r="F26" s="9"/>
      <c r="G26" s="97">
        <f t="shared" si="4"/>
        <v>1918.5242559867274</v>
      </c>
      <c r="H26" s="149"/>
      <c r="I26" s="32">
        <f t="shared" si="2"/>
        <v>300</v>
      </c>
      <c r="J26" s="150"/>
      <c r="K26" s="32">
        <f t="shared" si="0"/>
        <v>0</v>
      </c>
      <c r="L26" s="97">
        <f t="shared" si="6"/>
        <v>839.4</v>
      </c>
      <c r="M26" s="97"/>
      <c r="N26" s="364"/>
      <c r="O26" s="138" t="s">
        <v>735</v>
      </c>
      <c r="P26" s="143">
        <f>'Community Programs'!J16-'Community Programs'!X16</f>
        <v>33.407366612638896</v>
      </c>
      <c r="Q26" s="365"/>
    </row>
    <row r="27" spans="1:17" x14ac:dyDescent="0.35">
      <c r="A27" s="9">
        <v>12</v>
      </c>
      <c r="B27" s="9">
        <v>2036</v>
      </c>
      <c r="C27" s="9"/>
      <c r="D27" s="9">
        <f t="shared" si="1"/>
        <v>30</v>
      </c>
      <c r="E27" s="9"/>
      <c r="F27" s="9"/>
      <c r="G27" s="97">
        <f t="shared" si="4"/>
        <v>1918.5242559867274</v>
      </c>
      <c r="H27" s="149"/>
      <c r="I27" s="32">
        <f t="shared" si="2"/>
        <v>300</v>
      </c>
      <c r="J27" s="150"/>
      <c r="K27" s="32">
        <f t="shared" si="0"/>
        <v>0</v>
      </c>
      <c r="L27" s="97">
        <f t="shared" si="6"/>
        <v>839.4</v>
      </c>
      <c r="M27" s="97"/>
    </row>
    <row r="28" spans="1:17" x14ac:dyDescent="0.35">
      <c r="A28" s="9">
        <v>13</v>
      </c>
      <c r="B28" s="9">
        <v>2037</v>
      </c>
      <c r="C28" s="9"/>
      <c r="D28" s="9">
        <f t="shared" si="1"/>
        <v>30</v>
      </c>
      <c r="F28" s="9"/>
      <c r="G28" s="97">
        <f t="shared" si="4"/>
        <v>1918.5242559867274</v>
      </c>
      <c r="H28" s="149"/>
      <c r="I28" s="32">
        <f t="shared" si="2"/>
        <v>300</v>
      </c>
      <c r="J28" s="150"/>
      <c r="K28" s="32">
        <f t="shared" si="0"/>
        <v>0</v>
      </c>
      <c r="L28" s="97">
        <f t="shared" si="6"/>
        <v>839.4</v>
      </c>
      <c r="M28" s="97"/>
    </row>
    <row r="29" spans="1:17" x14ac:dyDescent="0.35">
      <c r="A29" s="9">
        <v>14</v>
      </c>
      <c r="B29" s="9">
        <v>2038</v>
      </c>
      <c r="C29" s="9"/>
      <c r="D29" s="9">
        <f t="shared" si="1"/>
        <v>30</v>
      </c>
      <c r="F29" s="9"/>
      <c r="G29" s="97">
        <f t="shared" si="4"/>
        <v>1918.5242559867274</v>
      </c>
      <c r="H29" s="149"/>
      <c r="I29" s="32">
        <f t="shared" si="2"/>
        <v>300</v>
      </c>
      <c r="J29" s="150"/>
      <c r="K29" s="32">
        <f t="shared" si="0"/>
        <v>0</v>
      </c>
      <c r="L29" s="97">
        <f t="shared" si="6"/>
        <v>839.4</v>
      </c>
      <c r="M29" s="97"/>
    </row>
    <row r="30" spans="1:17" x14ac:dyDescent="0.35">
      <c r="A30" s="9">
        <v>15</v>
      </c>
      <c r="B30" s="9">
        <v>2039</v>
      </c>
      <c r="C30" s="9"/>
      <c r="D30" s="9">
        <f t="shared" si="1"/>
        <v>30</v>
      </c>
      <c r="F30" s="9"/>
      <c r="G30" s="97">
        <f t="shared" si="4"/>
        <v>1918.5242559867274</v>
      </c>
      <c r="H30" s="149"/>
      <c r="I30" s="32">
        <f t="shared" si="2"/>
        <v>300</v>
      </c>
      <c r="J30" s="150"/>
      <c r="K30" s="32">
        <f t="shared" si="0"/>
        <v>0</v>
      </c>
      <c r="L30" s="97">
        <f t="shared" si="6"/>
        <v>839.4</v>
      </c>
      <c r="M30" s="97"/>
    </row>
    <row r="31" spans="1:17" x14ac:dyDescent="0.35">
      <c r="A31" s="9">
        <v>16</v>
      </c>
      <c r="B31" s="9">
        <v>2040</v>
      </c>
      <c r="C31" s="9"/>
      <c r="D31" s="9">
        <f t="shared" si="1"/>
        <v>30</v>
      </c>
      <c r="F31" s="9"/>
      <c r="G31" s="97">
        <f t="shared" si="4"/>
        <v>1918.5242559867274</v>
      </c>
      <c r="H31" s="149"/>
      <c r="I31" s="32">
        <f t="shared" si="2"/>
        <v>300</v>
      </c>
      <c r="J31" s="150"/>
      <c r="K31" s="32">
        <f t="shared" si="0"/>
        <v>0</v>
      </c>
      <c r="L31" s="97">
        <f t="shared" si="6"/>
        <v>839.4</v>
      </c>
      <c r="M31" s="97"/>
    </row>
    <row r="32" spans="1:17" x14ac:dyDescent="0.35">
      <c r="A32" s="9">
        <v>17</v>
      </c>
      <c r="B32" s="9">
        <v>2041</v>
      </c>
      <c r="C32" s="9"/>
      <c r="D32" s="9">
        <f t="shared" si="1"/>
        <v>30</v>
      </c>
      <c r="F32" s="9"/>
      <c r="G32" s="97">
        <f t="shared" si="4"/>
        <v>1918.5242559867274</v>
      </c>
      <c r="H32" s="149"/>
      <c r="I32" s="32">
        <f t="shared" si="2"/>
        <v>300</v>
      </c>
      <c r="J32" s="150"/>
      <c r="K32" s="32">
        <f t="shared" si="0"/>
        <v>0</v>
      </c>
      <c r="L32" s="97">
        <f t="shared" si="6"/>
        <v>839.4</v>
      </c>
      <c r="M32" s="97"/>
    </row>
    <row r="33" spans="1:13" x14ac:dyDescent="0.35">
      <c r="A33" s="9">
        <v>18</v>
      </c>
      <c r="B33" s="9">
        <v>2042</v>
      </c>
      <c r="C33" s="9"/>
      <c r="D33" s="9">
        <f t="shared" si="1"/>
        <v>30</v>
      </c>
      <c r="E33" s="9"/>
      <c r="F33" s="97"/>
      <c r="G33" s="97">
        <f t="shared" si="4"/>
        <v>1918.5242559867274</v>
      </c>
      <c r="H33" s="149"/>
      <c r="I33" s="32">
        <f t="shared" si="2"/>
        <v>300</v>
      </c>
      <c r="J33" s="150"/>
      <c r="K33" s="32">
        <f t="shared" si="0"/>
        <v>0</v>
      </c>
      <c r="L33" s="97">
        <f t="shared" si="6"/>
        <v>839.4</v>
      </c>
      <c r="M33" s="97"/>
    </row>
    <row r="34" spans="1:13" x14ac:dyDescent="0.35">
      <c r="A34" s="9">
        <v>19</v>
      </c>
      <c r="B34" s="9">
        <v>2043</v>
      </c>
      <c r="C34" s="9"/>
      <c r="D34" s="9">
        <f t="shared" si="1"/>
        <v>30</v>
      </c>
      <c r="E34" s="9"/>
      <c r="F34" s="97"/>
      <c r="G34" s="97">
        <f t="shared" si="4"/>
        <v>1918.5242559867274</v>
      </c>
      <c r="H34" s="149"/>
      <c r="I34" s="32">
        <f t="shared" si="2"/>
        <v>300</v>
      </c>
      <c r="J34" s="150"/>
      <c r="K34" s="32">
        <f t="shared" si="0"/>
        <v>0</v>
      </c>
      <c r="L34" s="97">
        <f t="shared" si="6"/>
        <v>839.4</v>
      </c>
      <c r="M34" s="97"/>
    </row>
    <row r="35" spans="1:13" x14ac:dyDescent="0.35">
      <c r="A35" s="9">
        <v>20</v>
      </c>
      <c r="B35" s="9">
        <v>2044</v>
      </c>
      <c r="C35" s="9"/>
      <c r="D35" s="9">
        <f t="shared" si="1"/>
        <v>30</v>
      </c>
      <c r="E35" s="9"/>
      <c r="F35" s="97"/>
      <c r="G35" s="97">
        <f t="shared" si="4"/>
        <v>1918.5242559867274</v>
      </c>
      <c r="H35" s="149"/>
      <c r="I35" s="32">
        <f t="shared" si="2"/>
        <v>300</v>
      </c>
      <c r="J35" s="150"/>
      <c r="K35" s="32">
        <f t="shared" si="0"/>
        <v>0</v>
      </c>
      <c r="L35" s="97">
        <f t="shared" si="6"/>
        <v>839.4</v>
      </c>
      <c r="M35" s="97"/>
    </row>
    <row r="36" spans="1:13" x14ac:dyDescent="0.35">
      <c r="A36" s="9">
        <v>21</v>
      </c>
      <c r="B36" s="9">
        <v>2045</v>
      </c>
      <c r="C36" s="9"/>
      <c r="D36" s="9">
        <f t="shared" si="1"/>
        <v>30</v>
      </c>
      <c r="E36" s="9"/>
      <c r="F36" s="97"/>
      <c r="G36" s="97">
        <f t="shared" si="4"/>
        <v>1918.5242559867274</v>
      </c>
      <c r="H36" s="149"/>
      <c r="I36" s="32">
        <f t="shared" si="2"/>
        <v>300</v>
      </c>
      <c r="J36" s="150"/>
      <c r="K36" s="32">
        <f t="shared" si="0"/>
        <v>0</v>
      </c>
      <c r="L36" s="97">
        <f t="shared" si="6"/>
        <v>839.4</v>
      </c>
      <c r="M36" s="97"/>
    </row>
    <row r="37" spans="1:13" x14ac:dyDescent="0.35">
      <c r="A37" s="144">
        <v>22</v>
      </c>
      <c r="B37" s="144">
        <v>2046</v>
      </c>
      <c r="C37" s="144"/>
      <c r="D37" s="144">
        <f>C37+D36</f>
        <v>30</v>
      </c>
      <c r="E37" s="144"/>
      <c r="F37" s="145"/>
      <c r="G37" s="145">
        <f t="shared" si="4"/>
        <v>1918.5242559867274</v>
      </c>
      <c r="H37" s="149"/>
      <c r="I37" s="32">
        <f t="shared" si="2"/>
        <v>300</v>
      </c>
      <c r="J37" s="150"/>
      <c r="K37" s="32">
        <f t="shared" si="0"/>
        <v>0</v>
      </c>
      <c r="L37" s="97">
        <f t="shared" si="6"/>
        <v>839.4</v>
      </c>
      <c r="M37" s="97"/>
    </row>
    <row r="38" spans="1:13" x14ac:dyDescent="0.35">
      <c r="A38" s="144">
        <v>23</v>
      </c>
      <c r="B38" s="144">
        <v>2047</v>
      </c>
      <c r="C38" s="144"/>
      <c r="D38" s="144">
        <f t="shared" si="1"/>
        <v>30</v>
      </c>
      <c r="E38" s="144"/>
      <c r="F38" s="145"/>
      <c r="G38" s="145">
        <f t="shared" si="4"/>
        <v>1918.5242559867274</v>
      </c>
      <c r="H38" s="149"/>
      <c r="I38" s="32">
        <f t="shared" si="2"/>
        <v>300</v>
      </c>
      <c r="J38" s="150"/>
      <c r="K38" s="32">
        <f t="shared" si="0"/>
        <v>0</v>
      </c>
      <c r="L38" s="97">
        <f t="shared" si="6"/>
        <v>839.4</v>
      </c>
      <c r="M38" s="97"/>
    </row>
    <row r="39" spans="1:13" x14ac:dyDescent="0.35">
      <c r="A39" s="144">
        <v>24</v>
      </c>
      <c r="B39" s="144">
        <v>2048</v>
      </c>
      <c r="C39" s="144"/>
      <c r="D39" s="144">
        <f t="shared" si="1"/>
        <v>30</v>
      </c>
      <c r="E39" s="144"/>
      <c r="F39" s="145"/>
      <c r="G39" s="145">
        <f t="shared" si="4"/>
        <v>1918.5242559867274</v>
      </c>
      <c r="H39" s="149"/>
      <c r="I39" s="32">
        <f t="shared" si="2"/>
        <v>300</v>
      </c>
      <c r="J39" s="150"/>
      <c r="K39" s="32">
        <f t="shared" si="0"/>
        <v>0</v>
      </c>
      <c r="L39" s="97">
        <f t="shared" si="6"/>
        <v>839.4</v>
      </c>
      <c r="M39" s="97"/>
    </row>
    <row r="40" spans="1:13" ht="15" thickBot="1" x14ac:dyDescent="0.4">
      <c r="A40" s="144">
        <v>25</v>
      </c>
      <c r="B40" s="144">
        <v>2049</v>
      </c>
      <c r="C40" s="144"/>
      <c r="D40" s="144">
        <f t="shared" si="1"/>
        <v>30</v>
      </c>
      <c r="E40" s="144"/>
      <c r="F40" s="145"/>
      <c r="G40" s="145">
        <f t="shared" si="4"/>
        <v>1918.5242559867274</v>
      </c>
      <c r="H40" s="149"/>
      <c r="I40" s="32">
        <f t="shared" si="2"/>
        <v>300</v>
      </c>
      <c r="J40" s="150"/>
      <c r="K40" s="32">
        <f t="shared" si="0"/>
        <v>0</v>
      </c>
      <c r="L40" s="97">
        <f t="shared" si="6"/>
        <v>839.4</v>
      </c>
      <c r="M40" s="97"/>
    </row>
    <row r="41" spans="1:13" ht="15" thickBot="1" x14ac:dyDescent="0.4">
      <c r="A41" s="144">
        <v>26</v>
      </c>
      <c r="B41" s="144">
        <v>2050</v>
      </c>
      <c r="C41" s="144"/>
      <c r="D41" s="144">
        <f t="shared" si="1"/>
        <v>30</v>
      </c>
      <c r="E41" s="144"/>
      <c r="F41" s="144"/>
      <c r="G41" s="146">
        <f t="shared" si="4"/>
        <v>1918.5242559867274</v>
      </c>
      <c r="H41" s="149"/>
      <c r="I41" s="32">
        <f t="shared" si="2"/>
        <v>300</v>
      </c>
      <c r="J41" s="150"/>
      <c r="K41" s="32">
        <f>J41*$F$8</f>
        <v>0</v>
      </c>
      <c r="L41" s="146">
        <f t="shared" si="6"/>
        <v>839.4</v>
      </c>
      <c r="M41" s="151"/>
    </row>
  </sheetData>
  <mergeCells count="8">
    <mergeCell ref="N20:N26"/>
    <mergeCell ref="Q22:Q26"/>
    <mergeCell ref="C14:G14"/>
    <mergeCell ref="H14:L14"/>
    <mergeCell ref="I5:J5"/>
    <mergeCell ref="N4:N7"/>
    <mergeCell ref="N8:N12"/>
    <mergeCell ref="N13:N19"/>
  </mergeCells>
  <hyperlinks>
    <hyperlink ref="E6" r:id="rId1" display="https://public.tableau.com/app/profile/nrel.buildingstock/viz/StateLevelResidentialBuildingStockandEnergyEfficiencyElectrificationPackagesAnalysis/Introduction" xr:uid="{1A858B5C-BF80-45F6-8975-7A943458D816}"/>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C249-8272-44C2-843A-E65F0D36CB29}">
  <sheetPr>
    <tabColor rgb="FF0000FF"/>
    <outlinePr summaryBelow="0" summaryRight="0"/>
  </sheetPr>
  <dimension ref="A1:AG195"/>
  <sheetViews>
    <sheetView topLeftCell="A184" workbookViewId="0">
      <selection activeCell="AD31" sqref="AD31"/>
    </sheetView>
  </sheetViews>
  <sheetFormatPr defaultColWidth="12.54296875" defaultRowHeight="15.75" customHeight="1" x14ac:dyDescent="0.3"/>
  <cols>
    <col min="1" max="1" width="6.453125" style="154" customWidth="1"/>
    <col min="2" max="2" width="10.453125" style="154" customWidth="1"/>
    <col min="3" max="3" width="9.81640625" style="154" customWidth="1"/>
    <col min="4" max="4" width="17.54296875" style="154" customWidth="1"/>
    <col min="5" max="9" width="13.81640625" style="154" customWidth="1"/>
    <col min="10" max="10" width="17.54296875" style="154" customWidth="1"/>
    <col min="11" max="11" width="19.1796875" style="154" customWidth="1"/>
    <col min="12" max="12" width="19" style="154" customWidth="1"/>
    <col min="13" max="13" width="13.81640625" style="154" customWidth="1"/>
    <col min="14" max="14" width="14.7265625" style="154" customWidth="1"/>
    <col min="15" max="15" width="20" style="154" customWidth="1"/>
    <col min="16" max="16" width="14.26953125" style="154" customWidth="1"/>
    <col min="17" max="17" width="16.1796875" style="154" customWidth="1"/>
    <col min="18" max="21" width="13.81640625" style="154" customWidth="1"/>
    <col min="22" max="22" width="13" style="154" customWidth="1"/>
    <col min="23" max="23" width="12.54296875" style="154" customWidth="1"/>
    <col min="24" max="24" width="13.81640625" style="154" customWidth="1"/>
    <col min="25" max="16384" width="12.54296875" style="154"/>
  </cols>
  <sheetData>
    <row r="1" spans="1:33" ht="61.5" customHeight="1" x14ac:dyDescent="0.7">
      <c r="A1" s="410" t="s">
        <v>745</v>
      </c>
      <c r="B1" s="410"/>
      <c r="C1" s="410"/>
      <c r="D1" s="410"/>
      <c r="E1" s="410"/>
      <c r="F1" s="410"/>
      <c r="G1" s="410"/>
      <c r="H1" s="410"/>
      <c r="I1" s="410"/>
      <c r="J1" s="410"/>
      <c r="K1" s="410"/>
      <c r="L1" s="410"/>
      <c r="M1" s="410"/>
      <c r="N1" s="410"/>
      <c r="O1" s="410"/>
      <c r="P1" s="410"/>
      <c r="Q1" s="410"/>
      <c r="R1" s="410"/>
    </row>
    <row r="2" spans="1:33" ht="13" x14ac:dyDescent="0.3">
      <c r="F2" s="372" t="s">
        <v>746</v>
      </c>
      <c r="G2" s="372"/>
      <c r="H2" s="372"/>
      <c r="I2" s="372"/>
      <c r="J2" s="378"/>
      <c r="K2" s="378"/>
      <c r="L2" s="378"/>
    </row>
    <row r="3" spans="1:33" ht="36" x14ac:dyDescent="0.3">
      <c r="B3" s="155"/>
      <c r="C3" s="155"/>
      <c r="D3" s="155"/>
      <c r="F3" s="156" t="s">
        <v>747</v>
      </c>
      <c r="G3" s="156"/>
      <c r="H3" s="156"/>
      <c r="I3" s="156"/>
      <c r="J3" s="157" t="s">
        <v>748</v>
      </c>
      <c r="K3" s="158" t="s">
        <v>749</v>
      </c>
      <c r="L3" s="159" t="s">
        <v>750</v>
      </c>
    </row>
    <row r="4" spans="1:33" ht="13" x14ac:dyDescent="0.3">
      <c r="B4" s="411" t="s">
        <v>751</v>
      </c>
      <c r="C4" s="160" t="s">
        <v>752</v>
      </c>
      <c r="D4" s="155" t="s">
        <v>753</v>
      </c>
      <c r="F4" s="161" t="s">
        <v>754</v>
      </c>
      <c r="G4" s="161"/>
      <c r="H4" s="161"/>
      <c r="I4" s="161"/>
      <c r="J4" s="161" t="s">
        <v>755</v>
      </c>
      <c r="K4" s="161" t="s">
        <v>756</v>
      </c>
      <c r="L4" s="161" t="s">
        <v>755</v>
      </c>
    </row>
    <row r="5" spans="1:33" ht="13" x14ac:dyDescent="0.3">
      <c r="B5" s="378"/>
      <c r="C5" s="162" t="s">
        <v>752</v>
      </c>
      <c r="D5" s="155" t="s">
        <v>757</v>
      </c>
    </row>
    <row r="6" spans="1:33" ht="15.75" customHeight="1" x14ac:dyDescent="0.3">
      <c r="B6" s="378"/>
      <c r="C6" s="163" t="s">
        <v>752</v>
      </c>
      <c r="D6" s="155" t="s">
        <v>758</v>
      </c>
    </row>
    <row r="7" spans="1:33" ht="13" x14ac:dyDescent="0.3"/>
    <row r="8" spans="1:33" ht="15.5" x14ac:dyDescent="0.35">
      <c r="B8" s="164"/>
      <c r="C8" s="164"/>
      <c r="D8" s="164"/>
      <c r="E8" s="165"/>
      <c r="F8" s="165"/>
      <c r="G8" s="165"/>
      <c r="H8" s="165"/>
      <c r="I8" s="165"/>
      <c r="J8" s="165"/>
      <c r="K8" s="165"/>
      <c r="L8" s="165"/>
      <c r="M8" s="165"/>
      <c r="N8" s="165"/>
      <c r="O8" s="165"/>
      <c r="P8" s="165"/>
    </row>
    <row r="9" spans="1:33" ht="15.75" customHeight="1" x14ac:dyDescent="0.35">
      <c r="B9" s="164"/>
      <c r="C9" s="164" t="s">
        <v>759</v>
      </c>
      <c r="D9" s="164"/>
      <c r="E9" s="165"/>
      <c r="F9" s="165"/>
      <c r="G9" s="165"/>
      <c r="H9" s="165"/>
      <c r="I9" s="165"/>
      <c r="J9" s="165"/>
      <c r="K9" s="165"/>
      <c r="L9" s="165"/>
      <c r="M9" s="165"/>
      <c r="N9" s="165"/>
      <c r="O9" s="165"/>
      <c r="P9" s="165"/>
    </row>
    <row r="10" spans="1:33" ht="36" customHeight="1" x14ac:dyDescent="0.3">
      <c r="B10" s="165"/>
      <c r="C10" s="166" t="s">
        <v>760</v>
      </c>
      <c r="D10" s="166"/>
      <c r="E10" s="167"/>
      <c r="F10" s="165"/>
      <c r="G10" s="165"/>
      <c r="H10" s="165"/>
      <c r="I10" s="165"/>
      <c r="J10" s="165"/>
      <c r="K10" s="165"/>
      <c r="L10" s="165"/>
      <c r="M10" s="165"/>
      <c r="N10" s="165"/>
      <c r="O10" s="165"/>
      <c r="P10" s="165"/>
    </row>
    <row r="11" spans="1:33" ht="15.75" customHeight="1" x14ac:dyDescent="0.3">
      <c r="B11" s="165"/>
      <c r="C11" s="168" t="s">
        <v>761</v>
      </c>
      <c r="D11" s="169" t="s">
        <v>762</v>
      </c>
      <c r="E11" s="169" t="s">
        <v>763</v>
      </c>
      <c r="F11" s="169" t="s">
        <v>764</v>
      </c>
      <c r="G11" s="170" t="s">
        <v>737</v>
      </c>
      <c r="H11" s="170"/>
      <c r="I11" s="165"/>
      <c r="J11" s="168" t="s">
        <v>765</v>
      </c>
      <c r="K11" s="169" t="s">
        <v>766</v>
      </c>
      <c r="L11" s="169" t="s">
        <v>767</v>
      </c>
      <c r="M11" s="169" t="s">
        <v>764</v>
      </c>
      <c r="N11" s="169" t="s">
        <v>737</v>
      </c>
      <c r="O11" s="165"/>
      <c r="P11" s="171"/>
    </row>
    <row r="12" spans="1:33" ht="26.25" customHeight="1" thickBot="1" x14ac:dyDescent="0.35">
      <c r="B12" s="165"/>
      <c r="C12" s="412" t="s">
        <v>768</v>
      </c>
      <c r="D12" s="378"/>
      <c r="E12" s="172">
        <v>0</v>
      </c>
      <c r="F12" s="172">
        <v>175498</v>
      </c>
      <c r="G12" s="173">
        <v>178080</v>
      </c>
      <c r="H12" s="173"/>
      <c r="I12" s="165"/>
      <c r="J12" s="412" t="s">
        <v>768</v>
      </c>
      <c r="K12" s="378"/>
      <c r="L12" s="172">
        <v>0</v>
      </c>
      <c r="M12" s="172">
        <f>877492</f>
        <v>877492</v>
      </c>
      <c r="N12" s="172">
        <v>1325000</v>
      </c>
      <c r="O12" s="165"/>
      <c r="P12" s="171"/>
    </row>
    <row r="13" spans="1:33" ht="15.75" customHeight="1" x14ac:dyDescent="0.3">
      <c r="B13" s="165"/>
      <c r="C13" s="413" t="s">
        <v>769</v>
      </c>
      <c r="D13" s="414"/>
      <c r="E13" s="174">
        <v>0</v>
      </c>
      <c r="F13" s="174">
        <f>F12/10.764</f>
        <v>16304.162021553328</v>
      </c>
      <c r="G13" s="175">
        <f>G12/10.764</f>
        <v>16544.035674470459</v>
      </c>
      <c r="H13" s="175"/>
      <c r="I13" s="165"/>
      <c r="J13" s="413" t="s">
        <v>770</v>
      </c>
      <c r="K13" s="414"/>
      <c r="L13" s="174">
        <f>L12/10.764</f>
        <v>0</v>
      </c>
      <c r="M13" s="174">
        <f>M12/10.764</f>
        <v>81520.995912300263</v>
      </c>
      <c r="N13" s="175">
        <f>N12/10.764</f>
        <v>123095.50353028615</v>
      </c>
      <c r="O13" s="165"/>
      <c r="P13" s="171"/>
    </row>
    <row r="14" spans="1:33" ht="15.75" customHeight="1" thickBot="1" x14ac:dyDescent="0.35">
      <c r="B14" s="176"/>
      <c r="C14" s="177"/>
      <c r="D14" s="177"/>
      <c r="E14" s="177"/>
      <c r="F14" s="177"/>
      <c r="G14" s="177"/>
      <c r="H14" s="177"/>
      <c r="I14" s="177"/>
      <c r="J14" s="177"/>
      <c r="K14" s="178"/>
      <c r="L14" s="178"/>
      <c r="M14" s="178"/>
      <c r="N14" s="178"/>
      <c r="O14" s="178"/>
      <c r="P14" s="178"/>
    </row>
    <row r="15" spans="1:33" ht="17.25" customHeight="1" x14ac:dyDescent="0.3">
      <c r="B15" s="179"/>
      <c r="C15" s="180"/>
      <c r="D15" s="180"/>
      <c r="E15" s="180"/>
      <c r="F15" s="180"/>
      <c r="G15" s="180"/>
      <c r="H15" s="180"/>
      <c r="I15" s="180"/>
      <c r="J15" s="180"/>
      <c r="K15" s="181"/>
      <c r="L15" s="181"/>
      <c r="M15" s="181"/>
      <c r="N15" s="181"/>
      <c r="O15" s="181"/>
      <c r="P15" s="181"/>
      <c r="Q15" s="181"/>
      <c r="R15" s="181"/>
      <c r="S15" s="181"/>
      <c r="T15" s="181"/>
      <c r="U15" s="181"/>
      <c r="V15" s="181"/>
      <c r="W15" s="181"/>
      <c r="X15" s="181"/>
    </row>
    <row r="16" spans="1:33" ht="64.5" customHeight="1" x14ac:dyDescent="0.3">
      <c r="B16" s="179"/>
      <c r="C16" s="180"/>
      <c r="D16" s="180"/>
      <c r="E16" s="180"/>
      <c r="F16" s="180"/>
      <c r="G16" s="180"/>
      <c r="H16" s="180"/>
      <c r="I16" s="180"/>
      <c r="J16" s="180"/>
      <c r="K16" s="180"/>
      <c r="L16" s="180"/>
      <c r="M16" s="403" t="s">
        <v>771</v>
      </c>
      <c r="N16" s="404"/>
      <c r="O16" s="404"/>
      <c r="P16" s="404"/>
      <c r="Q16" s="405"/>
      <c r="R16" s="406" t="s">
        <v>772</v>
      </c>
      <c r="S16" s="407"/>
      <c r="T16" s="407"/>
      <c r="U16" s="407"/>
      <c r="V16" s="408"/>
      <c r="W16" s="182"/>
      <c r="X16" s="403" t="s">
        <v>773</v>
      </c>
      <c r="Y16" s="404"/>
      <c r="Z16" s="404"/>
      <c r="AA16" s="404"/>
      <c r="AB16" s="405"/>
      <c r="AC16" s="409" t="s">
        <v>774</v>
      </c>
      <c r="AD16" s="370"/>
      <c r="AE16" s="370"/>
      <c r="AF16" s="370"/>
      <c r="AG16" s="371"/>
    </row>
    <row r="17" spans="2:33" ht="48" x14ac:dyDescent="0.3">
      <c r="B17" s="179"/>
      <c r="C17" s="156" t="s">
        <v>775</v>
      </c>
      <c r="D17" s="156" t="s">
        <v>776</v>
      </c>
      <c r="E17" s="156" t="s">
        <v>777</v>
      </c>
      <c r="F17" s="159" t="s">
        <v>778</v>
      </c>
      <c r="G17" s="158" t="s">
        <v>779</v>
      </c>
      <c r="H17" s="159" t="s">
        <v>780</v>
      </c>
      <c r="I17" s="159" t="s">
        <v>781</v>
      </c>
      <c r="J17" s="158" t="s">
        <v>782</v>
      </c>
      <c r="K17" s="159" t="s">
        <v>780</v>
      </c>
      <c r="L17" s="159" t="s">
        <v>781</v>
      </c>
      <c r="M17" s="183" t="s">
        <v>783</v>
      </c>
      <c r="N17" s="184" t="s">
        <v>784</v>
      </c>
      <c r="O17" s="158" t="s">
        <v>785</v>
      </c>
      <c r="P17" s="184" t="s">
        <v>786</v>
      </c>
      <c r="Q17" s="185" t="s">
        <v>787</v>
      </c>
      <c r="R17" s="186" t="s">
        <v>783</v>
      </c>
      <c r="S17" s="184" t="s">
        <v>788</v>
      </c>
      <c r="T17" s="184" t="s">
        <v>789</v>
      </c>
      <c r="U17" s="184" t="s">
        <v>790</v>
      </c>
      <c r="V17" s="185" t="s">
        <v>791</v>
      </c>
      <c r="W17" s="182"/>
      <c r="X17" s="183" t="s">
        <v>783</v>
      </c>
      <c r="Y17" s="184" t="s">
        <v>784</v>
      </c>
      <c r="Z17" s="158" t="s">
        <v>785</v>
      </c>
      <c r="AA17" s="184" t="s">
        <v>786</v>
      </c>
      <c r="AB17" s="185" t="s">
        <v>787</v>
      </c>
      <c r="AC17" s="186" t="s">
        <v>783</v>
      </c>
      <c r="AD17" s="184" t="s">
        <v>788</v>
      </c>
      <c r="AE17" s="184" t="s">
        <v>789</v>
      </c>
      <c r="AF17" s="184" t="s">
        <v>790</v>
      </c>
      <c r="AG17" s="185" t="s">
        <v>791</v>
      </c>
    </row>
    <row r="18" spans="2:33" ht="57" x14ac:dyDescent="0.3">
      <c r="B18" s="187" t="s">
        <v>792</v>
      </c>
      <c r="C18" s="188"/>
      <c r="D18" s="188"/>
      <c r="E18" s="189" t="s">
        <v>793</v>
      </c>
      <c r="F18" s="189" t="s">
        <v>794</v>
      </c>
      <c r="G18" s="189"/>
      <c r="H18" s="189"/>
      <c r="I18" s="189"/>
      <c r="J18" s="189" t="s">
        <v>795</v>
      </c>
      <c r="K18" s="189" t="s">
        <v>796</v>
      </c>
      <c r="L18" s="189" t="s">
        <v>797</v>
      </c>
      <c r="M18" s="190" t="s">
        <v>798</v>
      </c>
      <c r="N18" s="188" t="s">
        <v>799</v>
      </c>
      <c r="O18" s="188" t="s">
        <v>800</v>
      </c>
      <c r="P18" s="188" t="s">
        <v>801</v>
      </c>
      <c r="Q18" s="191" t="s">
        <v>800</v>
      </c>
      <c r="R18" s="190" t="s">
        <v>802</v>
      </c>
      <c r="S18" s="188" t="s">
        <v>803</v>
      </c>
      <c r="T18" s="188" t="s">
        <v>804</v>
      </c>
      <c r="U18" s="188" t="s">
        <v>803</v>
      </c>
      <c r="V18" s="191" t="s">
        <v>804</v>
      </c>
      <c r="W18" s="182"/>
      <c r="X18" s="190" t="s">
        <v>798</v>
      </c>
      <c r="Y18" s="188" t="s">
        <v>799</v>
      </c>
      <c r="Z18" s="188" t="s">
        <v>800</v>
      </c>
      <c r="AA18" s="188" t="s">
        <v>801</v>
      </c>
      <c r="AB18" s="191" t="s">
        <v>800</v>
      </c>
      <c r="AC18" s="190" t="s">
        <v>802</v>
      </c>
      <c r="AD18" s="188" t="s">
        <v>803</v>
      </c>
      <c r="AE18" s="188" t="s">
        <v>804</v>
      </c>
      <c r="AF18" s="188" t="s">
        <v>803</v>
      </c>
      <c r="AG18" s="191" t="s">
        <v>804</v>
      </c>
    </row>
    <row r="19" spans="2:33" ht="15.75" customHeight="1" x14ac:dyDescent="0.3">
      <c r="B19" s="187" t="s">
        <v>805</v>
      </c>
      <c r="C19" s="192"/>
      <c r="D19" s="189"/>
      <c r="E19" s="189"/>
      <c r="F19" s="189"/>
      <c r="G19" s="189"/>
      <c r="H19" s="189"/>
      <c r="I19" s="189"/>
      <c r="J19" s="189"/>
      <c r="K19" s="189"/>
      <c r="L19" s="189"/>
      <c r="M19" s="193"/>
      <c r="N19" s="189"/>
      <c r="O19" s="189"/>
      <c r="P19" s="189"/>
      <c r="Q19" s="194"/>
      <c r="R19" s="193"/>
      <c r="S19" s="189"/>
      <c r="T19" s="189"/>
      <c r="U19" s="189"/>
      <c r="V19" s="194"/>
      <c r="W19" s="182"/>
      <c r="X19" s="193" t="s">
        <v>806</v>
      </c>
      <c r="Y19" s="189"/>
      <c r="Z19" s="189"/>
      <c r="AA19" s="189"/>
      <c r="AB19" s="194"/>
      <c r="AC19" s="193"/>
      <c r="AD19" s="189"/>
      <c r="AE19" s="189"/>
      <c r="AF19" s="189"/>
      <c r="AG19" s="194"/>
    </row>
    <row r="20" spans="2:33" ht="15.75" customHeight="1" x14ac:dyDescent="0.3">
      <c r="B20" s="179"/>
      <c r="C20" s="182" t="s">
        <v>807</v>
      </c>
      <c r="D20" s="182" t="s">
        <v>808</v>
      </c>
      <c r="E20" s="182" t="s">
        <v>808</v>
      </c>
      <c r="F20" s="195">
        <v>1</v>
      </c>
      <c r="G20" s="196">
        <f>E13*F20</f>
        <v>0</v>
      </c>
      <c r="H20" s="197">
        <f>O100</f>
        <v>0</v>
      </c>
      <c r="I20" s="197">
        <f>R100</f>
        <v>0</v>
      </c>
      <c r="J20" s="196">
        <f>$L$13*F20</f>
        <v>0</v>
      </c>
      <c r="K20" s="196">
        <f>O110</f>
        <v>0</v>
      </c>
      <c r="L20" s="196">
        <f>R110</f>
        <v>0</v>
      </c>
      <c r="M20" s="198">
        <f>E78</f>
        <v>251.71</v>
      </c>
      <c r="N20" s="199">
        <f>H20*M20</f>
        <v>0</v>
      </c>
      <c r="O20" s="199">
        <f>N20/1000</f>
        <v>0</v>
      </c>
      <c r="P20" s="199">
        <f>I20*M20</f>
        <v>0</v>
      </c>
      <c r="Q20" s="200">
        <f>P20/1000</f>
        <v>0</v>
      </c>
      <c r="R20" s="201">
        <v>0</v>
      </c>
      <c r="S20" s="202">
        <f>O20*R20</f>
        <v>0</v>
      </c>
      <c r="T20" s="202">
        <f>O20-S20</f>
        <v>0</v>
      </c>
      <c r="U20" s="202">
        <f>Q20*R20</f>
        <v>0</v>
      </c>
      <c r="V20" s="203">
        <f>Q20-U20</f>
        <v>0</v>
      </c>
      <c r="W20" s="182"/>
      <c r="X20" s="198">
        <f>$E$79</f>
        <v>304.49</v>
      </c>
      <c r="Y20" s="199">
        <f>K20*X20</f>
        <v>0</v>
      </c>
      <c r="Z20" s="199">
        <f>Y20/1000</f>
        <v>0</v>
      </c>
      <c r="AA20" s="199">
        <f>L20*X20</f>
        <v>0</v>
      </c>
      <c r="AB20" s="200">
        <f>AA20/1000</f>
        <v>0</v>
      </c>
      <c r="AC20" s="201">
        <v>0.2</v>
      </c>
      <c r="AD20" s="202">
        <f>Z20*AC20</f>
        <v>0</v>
      </c>
      <c r="AE20" s="202">
        <f>Z20-AD20</f>
        <v>0</v>
      </c>
      <c r="AF20" s="202">
        <f>AB20*AC20</f>
        <v>0</v>
      </c>
      <c r="AG20" s="203">
        <f>AB20-AF20</f>
        <v>0</v>
      </c>
    </row>
    <row r="21" spans="2:33" ht="15.75" customHeight="1" x14ac:dyDescent="0.3">
      <c r="B21" s="179"/>
      <c r="C21" s="179"/>
      <c r="D21" s="204" t="s">
        <v>809</v>
      </c>
      <c r="E21" s="204"/>
      <c r="F21" s="204"/>
      <c r="G21" s="204"/>
      <c r="H21" s="204"/>
      <c r="I21" s="204"/>
      <c r="J21" s="172">
        <f>SUM(J20)</f>
        <v>0</v>
      </c>
      <c r="K21" s="172">
        <f>SUM(K20)</f>
        <v>0</v>
      </c>
      <c r="L21" s="172">
        <f>SUM(L20)</f>
        <v>0</v>
      </c>
      <c r="M21" s="205"/>
      <c r="N21" s="172">
        <f>SUM(N20)</f>
        <v>0</v>
      </c>
      <c r="O21" s="172">
        <f>SUM(O20)</f>
        <v>0</v>
      </c>
      <c r="P21" s="172">
        <f>SUM(P20)</f>
        <v>0</v>
      </c>
      <c r="Q21" s="173">
        <f>SUM(Q20)</f>
        <v>0</v>
      </c>
      <c r="R21" s="205"/>
      <c r="S21" s="172">
        <f>SUM(S20)</f>
        <v>0</v>
      </c>
      <c r="T21" s="172">
        <f>SUM(T20)</f>
        <v>0</v>
      </c>
      <c r="U21" s="172">
        <f>SUM(U20)</f>
        <v>0</v>
      </c>
      <c r="V21" s="173">
        <f>SUM(V20)</f>
        <v>0</v>
      </c>
      <c r="W21" s="182"/>
      <c r="X21" s="205"/>
      <c r="Y21" s="172">
        <f>SUM(Y20)</f>
        <v>0</v>
      </c>
      <c r="Z21" s="172">
        <f>SUM(Z20)</f>
        <v>0</v>
      </c>
      <c r="AA21" s="172">
        <f>SUM(AA20)</f>
        <v>0</v>
      </c>
      <c r="AB21" s="173">
        <f>SUM(AB20)</f>
        <v>0</v>
      </c>
      <c r="AC21" s="205"/>
      <c r="AD21" s="172">
        <f>SUM(AD20)</f>
        <v>0</v>
      </c>
      <c r="AE21" s="172">
        <f>SUM(AE20)</f>
        <v>0</v>
      </c>
      <c r="AF21" s="172">
        <f>SUM(AF20)</f>
        <v>0</v>
      </c>
      <c r="AG21" s="173">
        <f>SUM(AG20)</f>
        <v>0</v>
      </c>
    </row>
    <row r="22" spans="2:33" ht="15.75" customHeight="1" x14ac:dyDescent="0.3">
      <c r="B22" s="179"/>
      <c r="C22" s="182"/>
      <c r="D22" s="182"/>
      <c r="E22" s="182"/>
      <c r="F22" s="182"/>
      <c r="G22" s="182"/>
      <c r="H22" s="182"/>
      <c r="I22" s="182"/>
      <c r="J22" s="182"/>
      <c r="K22" s="182"/>
      <c r="L22" s="182"/>
      <c r="M22" s="206"/>
      <c r="N22" s="182"/>
      <c r="O22" s="182"/>
      <c r="P22" s="182"/>
      <c r="Q22" s="207"/>
      <c r="R22" s="208"/>
      <c r="S22" s="179"/>
      <c r="T22" s="179"/>
      <c r="U22" s="179"/>
      <c r="V22" s="209"/>
      <c r="W22" s="182"/>
      <c r="X22" s="206"/>
      <c r="Y22" s="182"/>
      <c r="Z22" s="182"/>
      <c r="AA22" s="182"/>
      <c r="AB22" s="207"/>
      <c r="AC22" s="208"/>
      <c r="AD22" s="179"/>
      <c r="AE22" s="179"/>
      <c r="AF22" s="179"/>
      <c r="AG22" s="209"/>
    </row>
    <row r="23" spans="2:33" ht="15.75" customHeight="1" x14ac:dyDescent="0.3">
      <c r="B23" s="179"/>
      <c r="C23" s="182" t="s">
        <v>807</v>
      </c>
      <c r="D23" s="182" t="s">
        <v>764</v>
      </c>
      <c r="E23" s="182" t="s">
        <v>810</v>
      </c>
      <c r="F23" s="195">
        <v>0.95</v>
      </c>
      <c r="G23" s="196">
        <f>F13*F23</f>
        <v>15488.95392047566</v>
      </c>
      <c r="H23" s="196">
        <f>O60</f>
        <v>10237.714511624396</v>
      </c>
      <c r="I23" s="196">
        <f>R60</f>
        <v>20475.429023248791</v>
      </c>
      <c r="J23" s="196">
        <f>M$13*F23</f>
        <v>77444.946116685242</v>
      </c>
      <c r="K23" s="196">
        <f>O70</f>
        <v>22939.773876858042</v>
      </c>
      <c r="L23" s="196">
        <f>R70</f>
        <v>33136.853125859343</v>
      </c>
      <c r="M23" s="210">
        <f>E78</f>
        <v>251.71</v>
      </c>
      <c r="N23" s="211">
        <f>H23*M23</f>
        <v>2576935.1197209768</v>
      </c>
      <c r="O23" s="211">
        <f>N23/1000</f>
        <v>2576.9351197209767</v>
      </c>
      <c r="P23" s="211">
        <f>I23*M23</f>
        <v>5153870.2394419536</v>
      </c>
      <c r="Q23" s="212">
        <f>P23/1000</f>
        <v>5153.8702394419533</v>
      </c>
      <c r="R23" s="213">
        <v>0.2</v>
      </c>
      <c r="S23" s="196">
        <f>O23*R23</f>
        <v>515.38702394419533</v>
      </c>
      <c r="T23" s="196">
        <f>O23-S23</f>
        <v>2061.5480957767813</v>
      </c>
      <c r="U23" s="196">
        <f>Q23*R23</f>
        <v>1030.7740478883907</v>
      </c>
      <c r="V23" s="214">
        <f>Q23-U23</f>
        <v>4123.0961915535627</v>
      </c>
      <c r="W23" s="182"/>
      <c r="X23" s="210">
        <f>E79</f>
        <v>304.49</v>
      </c>
      <c r="Y23" s="211">
        <f>K23*X23</f>
        <v>6984931.7477645054</v>
      </c>
      <c r="Z23" s="211">
        <f>Y23/1000</f>
        <v>6984.9317477645054</v>
      </c>
      <c r="AA23" s="211">
        <f>L23*X23</f>
        <v>10089840.408292912</v>
      </c>
      <c r="AB23" s="212">
        <f>AA23/1000</f>
        <v>10089.840408292912</v>
      </c>
      <c r="AC23" s="213">
        <v>0.4</v>
      </c>
      <c r="AD23" s="196">
        <f>Z23*AC23</f>
        <v>2793.9726991058023</v>
      </c>
      <c r="AE23" s="196">
        <f>Z23-AD23</f>
        <v>4190.9590486587031</v>
      </c>
      <c r="AF23" s="196">
        <f>AB23*AC23</f>
        <v>4035.9361633171648</v>
      </c>
      <c r="AG23" s="214">
        <f>AB23-AF23</f>
        <v>6053.9042449757471</v>
      </c>
    </row>
    <row r="24" spans="2:33" ht="15.75" customHeight="1" x14ac:dyDescent="0.3">
      <c r="B24" s="179"/>
      <c r="C24" s="182" t="s">
        <v>807</v>
      </c>
      <c r="D24" s="182" t="s">
        <v>764</v>
      </c>
      <c r="E24" s="182" t="s">
        <v>811</v>
      </c>
      <c r="F24" s="195">
        <v>0.05</v>
      </c>
      <c r="G24" s="196">
        <f>F13*F24</f>
        <v>815.20810107766647</v>
      </c>
      <c r="H24" s="196">
        <f>U60</f>
        <v>449.61681903799717</v>
      </c>
      <c r="I24" s="196">
        <f>X60</f>
        <v>551.33950490059465</v>
      </c>
      <c r="J24" s="196">
        <f>M$13*F24</f>
        <v>4076.0497956150134</v>
      </c>
      <c r="K24" s="196">
        <f>U70</f>
        <v>1941.7333164483462</v>
      </c>
      <c r="L24" s="196">
        <f>X70</f>
        <v>2347.2034649293942</v>
      </c>
      <c r="M24" s="198">
        <f>E80</f>
        <v>320.62</v>
      </c>
      <c r="N24" s="211">
        <f t="shared" ref="N24:N25" si="0">H24*M24</f>
        <v>144156.14451996266</v>
      </c>
      <c r="O24" s="211">
        <f>N24/1000</f>
        <v>144.15614451996265</v>
      </c>
      <c r="P24" s="211">
        <f t="shared" ref="P24:P25" si="1">I24*M24</f>
        <v>176770.47206122865</v>
      </c>
      <c r="Q24" s="212">
        <f>P24/1000</f>
        <v>176.77047206122865</v>
      </c>
      <c r="R24" s="201">
        <v>0.2</v>
      </c>
      <c r="S24" s="196">
        <f>O24*R24</f>
        <v>28.831228903992532</v>
      </c>
      <c r="T24" s="196">
        <f>O24-S24</f>
        <v>115.32491561597013</v>
      </c>
      <c r="U24" s="196">
        <f>Q24*R24</f>
        <v>35.354094412245729</v>
      </c>
      <c r="V24" s="214">
        <f>Q24-U24</f>
        <v>141.41637764898292</v>
      </c>
      <c r="W24" s="182"/>
      <c r="X24" s="210">
        <f>E80</f>
        <v>320.62</v>
      </c>
      <c r="Y24" s="211">
        <f>K24*X24</f>
        <v>622558.53591966874</v>
      </c>
      <c r="Z24" s="211">
        <f>Y24/1000</f>
        <v>622.55853591966877</v>
      </c>
      <c r="AA24" s="211">
        <f>L24*X24</f>
        <v>752560.37492566241</v>
      </c>
      <c r="AB24" s="212">
        <f>AA24/1000</f>
        <v>752.56037492566236</v>
      </c>
      <c r="AC24" s="201">
        <v>0.4</v>
      </c>
      <c r="AD24" s="196">
        <f>Z24*AC24</f>
        <v>249.02341436786753</v>
      </c>
      <c r="AE24" s="196">
        <f>Z24-AD24</f>
        <v>373.53512155180124</v>
      </c>
      <c r="AF24" s="196">
        <f>AB24*AC24</f>
        <v>301.02414997026494</v>
      </c>
      <c r="AG24" s="214">
        <f>AB24-AF24</f>
        <v>451.53622495539742</v>
      </c>
    </row>
    <row r="25" spans="2:33" ht="15.75" customHeight="1" x14ac:dyDescent="0.3">
      <c r="B25" s="179"/>
      <c r="C25" s="182" t="s">
        <v>807</v>
      </c>
      <c r="D25" s="182" t="s">
        <v>764</v>
      </c>
      <c r="E25" s="182" t="s">
        <v>812</v>
      </c>
      <c r="F25" s="195">
        <v>0</v>
      </c>
      <c r="G25" s="196">
        <f>F13*F25</f>
        <v>0</v>
      </c>
      <c r="H25" s="196">
        <f>AA60</f>
        <v>0</v>
      </c>
      <c r="I25" s="196">
        <f>AA60</f>
        <v>0</v>
      </c>
      <c r="J25" s="196">
        <f>M$13*F25</f>
        <v>0</v>
      </c>
      <c r="K25" s="196">
        <f>AA70</f>
        <v>0</v>
      </c>
      <c r="L25" s="196">
        <f>AA70</f>
        <v>0</v>
      </c>
      <c r="M25" s="198">
        <f>E$81</f>
        <v>370.64400000000001</v>
      </c>
      <c r="N25" s="211">
        <f t="shared" si="0"/>
        <v>0</v>
      </c>
      <c r="O25" s="211">
        <f>N25/1000</f>
        <v>0</v>
      </c>
      <c r="P25" s="211">
        <f t="shared" si="1"/>
        <v>0</v>
      </c>
      <c r="Q25" s="212">
        <f>P25/1000</f>
        <v>0</v>
      </c>
      <c r="R25" s="201">
        <v>0.2</v>
      </c>
      <c r="S25" s="196">
        <f>O25*R25</f>
        <v>0</v>
      </c>
      <c r="T25" s="196">
        <f>O25-S25</f>
        <v>0</v>
      </c>
      <c r="U25" s="196">
        <f>Q25*R25</f>
        <v>0</v>
      </c>
      <c r="V25" s="214">
        <f>Q25-U25</f>
        <v>0</v>
      </c>
      <c r="W25" s="182"/>
      <c r="X25" s="210">
        <f>E81</f>
        <v>370.64400000000001</v>
      </c>
      <c r="Y25" s="211">
        <f>K25*X25</f>
        <v>0</v>
      </c>
      <c r="Z25" s="211">
        <f>Y25/1000</f>
        <v>0</v>
      </c>
      <c r="AA25" s="211">
        <f>L25*X25</f>
        <v>0</v>
      </c>
      <c r="AB25" s="212">
        <f>AA25/1000</f>
        <v>0</v>
      </c>
      <c r="AC25" s="201">
        <v>0.4</v>
      </c>
      <c r="AD25" s="196">
        <f>Z25*AC25</f>
        <v>0</v>
      </c>
      <c r="AE25" s="196">
        <f>Z25-AD25</f>
        <v>0</v>
      </c>
      <c r="AF25" s="196">
        <f>AB25*AC25</f>
        <v>0</v>
      </c>
      <c r="AG25" s="214">
        <f>AB25-AF25</f>
        <v>0</v>
      </c>
    </row>
    <row r="26" spans="2:33" ht="15.75" customHeight="1" x14ac:dyDescent="0.3">
      <c r="B26" s="179"/>
      <c r="C26" s="182"/>
      <c r="D26" s="204" t="s">
        <v>813</v>
      </c>
      <c r="E26" s="204"/>
      <c r="F26" s="215"/>
      <c r="G26" s="215"/>
      <c r="H26" s="215"/>
      <c r="I26" s="215"/>
      <c r="J26" s="172">
        <f>SUM(J23:J25)</f>
        <v>81520.995912300248</v>
      </c>
      <c r="K26" s="172">
        <f>SUM(K23:K25)</f>
        <v>24881.507193306388</v>
      </c>
      <c r="L26" s="172"/>
      <c r="M26" s="216"/>
      <c r="N26" s="172">
        <f>SUM(N23:N25)</f>
        <v>2721091.2642409396</v>
      </c>
      <c r="O26" s="172">
        <f>N26/1000</f>
        <v>2721.0912642409398</v>
      </c>
      <c r="P26" s="172">
        <f>SUM(P23:P25)</f>
        <v>5330640.7115031825</v>
      </c>
      <c r="Q26" s="173">
        <f>P26/1000</f>
        <v>5330.6407115031825</v>
      </c>
      <c r="R26" s="205"/>
      <c r="S26" s="172">
        <f>SUM(S23:S25)</f>
        <v>544.21825284818783</v>
      </c>
      <c r="T26" s="172">
        <f>SUM(T23:T25)</f>
        <v>2176.8730113927513</v>
      </c>
      <c r="U26" s="172">
        <f>SUM(U23:U25)</f>
        <v>1066.1281423006365</v>
      </c>
      <c r="V26" s="173">
        <f>SUM(V23:V25)</f>
        <v>4264.5125692025458</v>
      </c>
      <c r="W26" s="182"/>
      <c r="X26" s="216"/>
      <c r="Y26" s="172">
        <f>SUM(Y23:Y25)</f>
        <v>7607490.2836841745</v>
      </c>
      <c r="Z26" s="172">
        <f>Y26/1000</f>
        <v>7607.4902836841748</v>
      </c>
      <c r="AA26" s="172">
        <f>SUM(AA23:AA25)</f>
        <v>10842400.783218574</v>
      </c>
      <c r="AB26" s="173">
        <f>AA26/1000</f>
        <v>10842.400783218574</v>
      </c>
      <c r="AC26" s="205"/>
      <c r="AD26" s="172">
        <f>SUM(AD23:AD25)</f>
        <v>3042.99611347367</v>
      </c>
      <c r="AE26" s="172">
        <f>SUM(AE23:AE25)</f>
        <v>4564.4941702105043</v>
      </c>
      <c r="AF26" s="172">
        <f>SUM(AF23:AF25)</f>
        <v>4336.9603132874299</v>
      </c>
      <c r="AG26" s="173">
        <f>SUM(AG23:AG25)</f>
        <v>6505.4404699311444</v>
      </c>
    </row>
    <row r="27" spans="2:33" ht="15.75" customHeight="1" x14ac:dyDescent="0.3">
      <c r="B27" s="179"/>
      <c r="C27" s="182"/>
      <c r="D27" s="182"/>
      <c r="E27" s="182"/>
      <c r="F27" s="182"/>
      <c r="G27" s="182"/>
      <c r="H27" s="182"/>
      <c r="I27" s="182"/>
      <c r="J27" s="182"/>
      <c r="K27" s="182"/>
      <c r="L27" s="182"/>
      <c r="M27" s="206"/>
      <c r="N27" s="217"/>
      <c r="O27" s="217"/>
      <c r="P27" s="217"/>
      <c r="Q27" s="218"/>
      <c r="R27" s="208"/>
      <c r="S27" s="196"/>
      <c r="T27" s="196"/>
      <c r="U27" s="196"/>
      <c r="V27" s="214"/>
      <c r="W27" s="182"/>
      <c r="X27" s="206"/>
      <c r="Y27" s="217"/>
      <c r="Z27" s="217"/>
      <c r="AA27" s="217"/>
      <c r="AB27" s="218"/>
      <c r="AC27" s="208"/>
      <c r="AD27" s="196"/>
      <c r="AE27" s="196"/>
      <c r="AF27" s="196"/>
      <c r="AG27" s="214"/>
    </row>
    <row r="28" spans="2:33" ht="15.75" customHeight="1" x14ac:dyDescent="0.3">
      <c r="B28" s="179"/>
      <c r="C28" s="182" t="s">
        <v>807</v>
      </c>
      <c r="D28" s="182" t="s">
        <v>737</v>
      </c>
      <c r="E28" s="182" t="s">
        <v>810</v>
      </c>
      <c r="F28" s="195">
        <v>0.9</v>
      </c>
      <c r="G28" s="196">
        <f>$G$13*F28</f>
        <v>14889.632107023413</v>
      </c>
      <c r="H28" s="196">
        <f>O80</f>
        <v>4410.4207023411382</v>
      </c>
      <c r="I28" s="196">
        <f>R80</f>
        <v>6370.9199498327762</v>
      </c>
      <c r="J28" s="196">
        <f>N$13*F28</f>
        <v>110785.95317725754</v>
      </c>
      <c r="K28" s="196">
        <f>O90</f>
        <v>32815.630225752509</v>
      </c>
      <c r="L28" s="196">
        <f>R90</f>
        <v>47402.678198160545</v>
      </c>
      <c r="M28" s="198">
        <f>E$79</f>
        <v>304.49</v>
      </c>
      <c r="N28" s="211">
        <f>H28*M28</f>
        <v>1342928.9996558533</v>
      </c>
      <c r="O28" s="211">
        <f>N28/1000</f>
        <v>1342.9289996558532</v>
      </c>
      <c r="P28" s="211">
        <f>I28*M28</f>
        <v>1939881.4155245821</v>
      </c>
      <c r="Q28" s="212">
        <f>P28/1000</f>
        <v>1939.8814155245821</v>
      </c>
      <c r="R28" s="201">
        <v>0.2</v>
      </c>
      <c r="S28" s="196">
        <f>O28*R28</f>
        <v>268.58579993117064</v>
      </c>
      <c r="T28" s="196">
        <f>O28-S28</f>
        <v>1074.3431997246826</v>
      </c>
      <c r="U28" s="196">
        <f>Q28*R28</f>
        <v>387.97628310491643</v>
      </c>
      <c r="V28" s="214">
        <f>Q28-U28</f>
        <v>1551.9051324196657</v>
      </c>
      <c r="W28" s="182"/>
      <c r="X28" s="198">
        <f>E$79</f>
        <v>304.49</v>
      </c>
      <c r="Y28" s="211">
        <f>K28*X28</f>
        <v>9992031.2474393826</v>
      </c>
      <c r="Z28" s="211">
        <f>Y28/1000</f>
        <v>9992.0312474393832</v>
      </c>
      <c r="AA28" s="211">
        <f>L28*X28</f>
        <v>14433641.484557904</v>
      </c>
      <c r="AB28" s="212">
        <f>AA28/1000</f>
        <v>14433.641484557904</v>
      </c>
      <c r="AC28" s="201">
        <v>0.4</v>
      </c>
      <c r="AD28" s="196">
        <f>Z28*AC28</f>
        <v>3996.8124989757534</v>
      </c>
      <c r="AE28" s="196">
        <f>Z28-AD28</f>
        <v>5995.2187484636297</v>
      </c>
      <c r="AF28" s="196">
        <f>AB28*AC28</f>
        <v>5773.4565938231617</v>
      </c>
      <c r="AG28" s="214">
        <f>AB28-AF28</f>
        <v>8660.1848907347412</v>
      </c>
    </row>
    <row r="29" spans="2:33" ht="15.75" customHeight="1" x14ac:dyDescent="0.3">
      <c r="B29" s="179"/>
      <c r="C29" s="182" t="s">
        <v>807</v>
      </c>
      <c r="D29" s="182" t="s">
        <v>737</v>
      </c>
      <c r="E29" s="182" t="s">
        <v>811</v>
      </c>
      <c r="F29" s="195">
        <v>0.1</v>
      </c>
      <c r="G29" s="196">
        <f>F29*G13</f>
        <v>1654.403567447046</v>
      </c>
      <c r="H29" s="196">
        <f>U80</f>
        <v>788.11856744704573</v>
      </c>
      <c r="I29" s="196">
        <f>X80</f>
        <v>952.69243032330007</v>
      </c>
      <c r="J29" s="196">
        <f>N$13*F29</f>
        <v>12309.550353028615</v>
      </c>
      <c r="K29" s="196">
        <f>U90</f>
        <v>5863.9774363619472</v>
      </c>
      <c r="L29" s="196">
        <f>X90</f>
        <v>7088.4853446674106</v>
      </c>
      <c r="M29" s="198">
        <f>E$80</f>
        <v>320.62</v>
      </c>
      <c r="N29" s="211">
        <f>H29*M29</f>
        <v>252686.57509487181</v>
      </c>
      <c r="O29" s="211">
        <f>N29/1000</f>
        <v>252.68657509487181</v>
      </c>
      <c r="P29" s="211">
        <f>I29*M29</f>
        <v>305452.24701025645</v>
      </c>
      <c r="Q29" s="212">
        <f>P29/1000</f>
        <v>305.45224701025643</v>
      </c>
      <c r="R29" s="201">
        <v>0.2</v>
      </c>
      <c r="S29" s="196">
        <f>O29*R29</f>
        <v>50.537315018974368</v>
      </c>
      <c r="T29" s="196">
        <f>O29-S29</f>
        <v>202.14926007589744</v>
      </c>
      <c r="U29" s="196">
        <f>Q29*R29</f>
        <v>61.090449402051291</v>
      </c>
      <c r="V29" s="214">
        <f>Q29-U29</f>
        <v>244.36179760820514</v>
      </c>
      <c r="W29" s="182"/>
      <c r="X29" s="198">
        <f>E$80</f>
        <v>320.62</v>
      </c>
      <c r="Y29" s="211">
        <f>K29*X29</f>
        <v>1880108.4456463675</v>
      </c>
      <c r="Z29" s="211">
        <f>Y29/1000</f>
        <v>1880.1084456463675</v>
      </c>
      <c r="AA29" s="211">
        <f>L29*X29</f>
        <v>2272710.171207265</v>
      </c>
      <c r="AB29" s="212">
        <f>AA29/1000</f>
        <v>2272.7101712072649</v>
      </c>
      <c r="AC29" s="201">
        <v>0.4</v>
      </c>
      <c r="AD29" s="196">
        <f>Z29*AC29</f>
        <v>752.04337825854702</v>
      </c>
      <c r="AE29" s="196">
        <f>Z29-AD29</f>
        <v>1128.0650673878204</v>
      </c>
      <c r="AF29" s="196">
        <f>AB29*AC29</f>
        <v>909.08406848290599</v>
      </c>
      <c r="AG29" s="214">
        <f>AB29-AF29</f>
        <v>1363.626102724359</v>
      </c>
    </row>
    <row r="30" spans="2:33" ht="15.75" customHeight="1" x14ac:dyDescent="0.3">
      <c r="B30" s="179"/>
      <c r="C30" s="182" t="s">
        <v>807</v>
      </c>
      <c r="D30" s="182" t="s">
        <v>737</v>
      </c>
      <c r="E30" s="182" t="s">
        <v>812</v>
      </c>
      <c r="F30" s="195">
        <v>0</v>
      </c>
      <c r="G30" s="196">
        <f>$G$13*F30</f>
        <v>0</v>
      </c>
      <c r="H30" s="196">
        <f>AA80</f>
        <v>0</v>
      </c>
      <c r="I30" s="196">
        <f>AD80</f>
        <v>0</v>
      </c>
      <c r="J30" s="196">
        <f>N$13*F30</f>
        <v>0</v>
      </c>
      <c r="K30" s="196">
        <f>AA90</f>
        <v>0</v>
      </c>
      <c r="L30" s="196">
        <f>AD90</f>
        <v>0</v>
      </c>
      <c r="M30" s="198">
        <f>E$81</f>
        <v>370.64400000000001</v>
      </c>
      <c r="N30" s="211">
        <f>H30*M30</f>
        <v>0</v>
      </c>
      <c r="O30" s="211">
        <f>N30/1000</f>
        <v>0</v>
      </c>
      <c r="P30" s="211">
        <f>I30*M30</f>
        <v>0</v>
      </c>
      <c r="Q30" s="212">
        <f>P30/1000</f>
        <v>0</v>
      </c>
      <c r="R30" s="201">
        <v>0.2</v>
      </c>
      <c r="S30" s="196">
        <f>O30*R30</f>
        <v>0</v>
      </c>
      <c r="T30" s="196">
        <f>O30-S30</f>
        <v>0</v>
      </c>
      <c r="U30" s="196">
        <f>Q30*R30</f>
        <v>0</v>
      </c>
      <c r="V30" s="214">
        <f>Q30-U30</f>
        <v>0</v>
      </c>
      <c r="W30" s="182"/>
      <c r="X30" s="198">
        <f>E$81</f>
        <v>370.64400000000001</v>
      </c>
      <c r="Y30" s="211">
        <f>K30*X30</f>
        <v>0</v>
      </c>
      <c r="Z30" s="211">
        <f>Y30/1000</f>
        <v>0</v>
      </c>
      <c r="AA30" s="211">
        <f>L30*X30</f>
        <v>0</v>
      </c>
      <c r="AB30" s="212">
        <f>AA30/1000</f>
        <v>0</v>
      </c>
      <c r="AC30" s="201">
        <v>0.4</v>
      </c>
      <c r="AD30" s="196">
        <f>Z30*AC30</f>
        <v>0</v>
      </c>
      <c r="AE30" s="196">
        <f>Z30-AD30</f>
        <v>0</v>
      </c>
      <c r="AF30" s="196">
        <f>AB30*AC30</f>
        <v>0</v>
      </c>
      <c r="AG30" s="214">
        <f>AB30-AF30</f>
        <v>0</v>
      </c>
    </row>
    <row r="31" spans="2:33" ht="15.75" customHeight="1" x14ac:dyDescent="0.3">
      <c r="B31" s="179"/>
      <c r="C31" s="182"/>
      <c r="D31" s="204" t="s">
        <v>814</v>
      </c>
      <c r="E31" s="204"/>
      <c r="F31" s="215"/>
      <c r="G31" s="215"/>
      <c r="H31" s="215"/>
      <c r="I31" s="215"/>
      <c r="J31" s="172">
        <f>SUM(J28:J30)</f>
        <v>123095.50353028617</v>
      </c>
      <c r="K31" s="172">
        <f>SUM(K28:K30)</f>
        <v>38679.60766211446</v>
      </c>
      <c r="L31" s="172">
        <f>SUM(L28:L30)</f>
        <v>54491.163542827955</v>
      </c>
      <c r="M31" s="216"/>
      <c r="N31" s="172">
        <f>SUM(N28:N30)</f>
        <v>1595615.5747507252</v>
      </c>
      <c r="O31" s="172">
        <f>N31/1000</f>
        <v>1595.6155747507253</v>
      </c>
      <c r="P31" s="172">
        <f>SUM(P28:P30)</f>
        <v>2245333.6625348385</v>
      </c>
      <c r="Q31" s="173">
        <f>P31/1000</f>
        <v>2245.3336625348384</v>
      </c>
      <c r="R31" s="205"/>
      <c r="S31" s="172">
        <f>SUM(S28:S30)</f>
        <v>319.12311495014501</v>
      </c>
      <c r="T31" s="172">
        <f>SUM(T28:T30)</f>
        <v>1276.49245980058</v>
      </c>
      <c r="U31" s="172">
        <f>SUM(U28:U30)</f>
        <v>449.0667325069677</v>
      </c>
      <c r="V31" s="173">
        <f>SUM(V28:V30)</f>
        <v>1796.2669300278708</v>
      </c>
      <c r="W31" s="182"/>
      <c r="X31" s="216"/>
      <c r="Y31" s="172">
        <f>SUM(Y28:Y30)</f>
        <v>11872139.693085751</v>
      </c>
      <c r="Z31" s="172">
        <f>Y31/1000</f>
        <v>11872.13969308575</v>
      </c>
      <c r="AA31" s="172">
        <f>SUM(AA28:AA30)</f>
        <v>16706351.655765168</v>
      </c>
      <c r="AB31" s="173">
        <f>AA31/1000</f>
        <v>16706.351655765167</v>
      </c>
      <c r="AC31" s="205"/>
      <c r="AD31" s="172">
        <f>SUM(AD28:AD30)</f>
        <v>4748.8558772343004</v>
      </c>
      <c r="AE31" s="172">
        <f>SUM(AE28:AE30)</f>
        <v>7123.2838158514496</v>
      </c>
      <c r="AF31" s="172">
        <f>SUM(AF28:AF30)</f>
        <v>6682.540662306068</v>
      </c>
      <c r="AG31" s="173">
        <f>SUM(AG28:AG30)</f>
        <v>10023.810993459101</v>
      </c>
    </row>
    <row r="32" spans="2:33" ht="15.75" customHeight="1" thickBot="1" x14ac:dyDescent="0.35">
      <c r="B32" s="179"/>
      <c r="C32" s="219" t="s">
        <v>815</v>
      </c>
      <c r="D32" s="219"/>
      <c r="E32" s="220"/>
      <c r="F32" s="221"/>
      <c r="G32" s="221"/>
      <c r="H32" s="221"/>
      <c r="I32" s="221"/>
      <c r="J32" s="222">
        <f>SUM(J31,J26,J21)</f>
        <v>204616.49944258641</v>
      </c>
      <c r="K32" s="222">
        <f>SUM(K31,K26,K21)</f>
        <v>63561.114855420848</v>
      </c>
      <c r="L32" s="222">
        <f>SUM(L31,L26,L21)</f>
        <v>54491.163542827955</v>
      </c>
      <c r="M32" s="223"/>
      <c r="N32" s="222">
        <f>SUM(N31,N26,N21)</f>
        <v>4316706.8389916644</v>
      </c>
      <c r="O32" s="222">
        <f>SUM(O31,O26,O21)</f>
        <v>4316.7068389916649</v>
      </c>
      <c r="P32" s="222">
        <f>SUM(P31,P26,P21)</f>
        <v>7575974.3740380211</v>
      </c>
      <c r="Q32" s="224">
        <f>SUM(Q31,Q26,Q21)</f>
        <v>7575.9743740380209</v>
      </c>
      <c r="R32" s="225"/>
      <c r="S32" s="222">
        <f>SUM(S31,S26,S21)</f>
        <v>863.34136779833284</v>
      </c>
      <c r="T32" s="226">
        <f>SUM(T31,T26,T21)</f>
        <v>3453.3654711933314</v>
      </c>
      <c r="U32" s="222">
        <f>SUM(U31,U26,U21)</f>
        <v>1515.1948748076043</v>
      </c>
      <c r="V32" s="227">
        <f>SUM(V31,V26,V21)</f>
        <v>6060.7794992304171</v>
      </c>
      <c r="W32" s="182"/>
      <c r="X32" s="223"/>
      <c r="Y32" s="222">
        <f>SUM(Y31,Y26,Y21)</f>
        <v>19479629.976769924</v>
      </c>
      <c r="Z32" s="222">
        <f>SUM(Z31,Z26,Z21)</f>
        <v>19479.629976769924</v>
      </c>
      <c r="AA32" s="222">
        <f>SUM(AA31,AA26,AA21)</f>
        <v>27548752.438983742</v>
      </c>
      <c r="AB32" s="224">
        <f>SUM(AB31,AB26,AB21)</f>
        <v>27548.752438983742</v>
      </c>
      <c r="AC32" s="225"/>
      <c r="AD32" s="222">
        <f>SUM(AD31,AD26,AD21)</f>
        <v>7791.8519907079699</v>
      </c>
      <c r="AE32" s="226">
        <f>SUM(AE31,AE26,AE21)</f>
        <v>11687.777986061954</v>
      </c>
      <c r="AF32" s="222">
        <f>SUM(AF31,AF26,AF21)</f>
        <v>11019.500975593499</v>
      </c>
      <c r="AG32" s="227">
        <f>SUM(AG31,AG26,AG21)</f>
        <v>16529.251463390246</v>
      </c>
    </row>
    <row r="33" spans="2:33" ht="15.75" customHeight="1" x14ac:dyDescent="0.3">
      <c r="B33" s="179"/>
      <c r="C33" s="182"/>
      <c r="D33" s="182"/>
      <c r="E33" s="182"/>
      <c r="F33" s="182"/>
      <c r="G33" s="182"/>
      <c r="H33" s="182"/>
      <c r="I33" s="182"/>
      <c r="J33" s="182"/>
      <c r="K33" s="182"/>
      <c r="L33" s="182"/>
      <c r="M33" s="228"/>
      <c r="N33" s="229"/>
      <c r="O33" s="229" t="s">
        <v>816</v>
      </c>
      <c r="P33" s="230"/>
      <c r="Q33" s="231">
        <f>O32</f>
        <v>4316.7068389916649</v>
      </c>
      <c r="R33" s="232"/>
      <c r="S33" s="233"/>
      <c r="T33" s="234" t="s">
        <v>816</v>
      </c>
      <c r="U33" s="234"/>
      <c r="V33" s="235">
        <f>T32</f>
        <v>3453.3654711933314</v>
      </c>
      <c r="W33" s="236" t="s">
        <v>817</v>
      </c>
      <c r="X33" s="228"/>
      <c r="Y33" s="229"/>
      <c r="Z33" s="229" t="s">
        <v>816</v>
      </c>
      <c r="AA33" s="230"/>
      <c r="AB33" s="231">
        <f>Z32</f>
        <v>19479.629976769924</v>
      </c>
      <c r="AC33" s="232"/>
      <c r="AD33" s="233"/>
      <c r="AE33" s="234" t="s">
        <v>816</v>
      </c>
      <c r="AF33" s="234"/>
      <c r="AG33" s="235">
        <f>AE32</f>
        <v>11687.777986061954</v>
      </c>
    </row>
    <row r="34" spans="2:33" ht="15.75" customHeight="1" thickBot="1" x14ac:dyDescent="0.35">
      <c r="B34" s="179"/>
      <c r="C34" s="182"/>
      <c r="D34" s="182"/>
      <c r="E34" s="182"/>
      <c r="F34" s="182"/>
      <c r="G34" s="182"/>
      <c r="H34" s="182"/>
      <c r="I34" s="182"/>
      <c r="J34" s="182"/>
      <c r="K34" s="182"/>
      <c r="L34" s="182"/>
      <c r="M34" s="237"/>
      <c r="N34" s="238"/>
      <c r="O34" s="238" t="s">
        <v>818</v>
      </c>
      <c r="P34" s="238"/>
      <c r="Q34" s="239">
        <f>Q32</f>
        <v>7575.9743740380209</v>
      </c>
      <c r="R34" s="240"/>
      <c r="S34" s="241"/>
      <c r="T34" s="242" t="s">
        <v>818</v>
      </c>
      <c r="U34" s="242"/>
      <c r="V34" s="243">
        <f>V32</f>
        <v>6060.7794992304171</v>
      </c>
      <c r="W34" s="236" t="s">
        <v>817</v>
      </c>
      <c r="X34" s="237"/>
      <c r="Y34" s="238"/>
      <c r="Z34" s="238" t="s">
        <v>818</v>
      </c>
      <c r="AA34" s="238"/>
      <c r="AB34" s="239">
        <f>AB32</f>
        <v>27548.752438983742</v>
      </c>
      <c r="AC34" s="240"/>
      <c r="AD34" s="241"/>
      <c r="AE34" s="242" t="s">
        <v>818</v>
      </c>
      <c r="AF34" s="242"/>
      <c r="AG34" s="243">
        <f>AG32</f>
        <v>16529.251463390246</v>
      </c>
    </row>
    <row r="35" spans="2:33" ht="15.75" customHeight="1" x14ac:dyDescent="0.3">
      <c r="B35" s="179"/>
      <c r="C35" s="182"/>
      <c r="D35" s="182"/>
      <c r="E35" s="182"/>
      <c r="F35" s="182"/>
      <c r="G35" s="182"/>
      <c r="H35" s="182"/>
      <c r="I35" s="182"/>
      <c r="J35" s="182"/>
      <c r="K35" s="182"/>
      <c r="L35" s="182"/>
      <c r="M35" s="244"/>
      <c r="N35" s="217"/>
      <c r="O35" s="182"/>
      <c r="P35" s="182"/>
      <c r="Q35" s="182"/>
      <c r="R35" s="245"/>
      <c r="S35" s="246"/>
      <c r="T35" s="247" t="s">
        <v>819</v>
      </c>
      <c r="U35" s="246"/>
      <c r="V35" s="248">
        <f>Q33-V33</f>
        <v>863.34136779833352</v>
      </c>
      <c r="W35" s="236" t="s">
        <v>817</v>
      </c>
      <c r="X35" s="244"/>
      <c r="Y35" s="217"/>
      <c r="Z35" s="182"/>
      <c r="AA35" s="182"/>
      <c r="AB35" s="182"/>
      <c r="AC35" s="245"/>
      <c r="AD35" s="246"/>
      <c r="AE35" s="247" t="s">
        <v>819</v>
      </c>
      <c r="AF35" s="246"/>
      <c r="AG35" s="248">
        <f>AB33-AG33</f>
        <v>7791.8519907079699</v>
      </c>
    </row>
    <row r="36" spans="2:33" ht="15.75" customHeight="1" thickBot="1" x14ac:dyDescent="0.35">
      <c r="B36" s="179"/>
      <c r="C36" s="182"/>
      <c r="D36" s="182"/>
      <c r="E36" s="182"/>
      <c r="F36" s="182"/>
      <c r="G36" s="182"/>
      <c r="H36" s="182"/>
      <c r="I36" s="182"/>
      <c r="J36" s="182"/>
      <c r="K36" s="182"/>
      <c r="L36" s="182"/>
      <c r="M36" s="244"/>
      <c r="N36" s="217"/>
      <c r="O36" s="182"/>
      <c r="P36" s="182"/>
      <c r="Q36" s="182"/>
      <c r="R36" s="249"/>
      <c r="S36" s="250"/>
      <c r="T36" s="251" t="s">
        <v>820</v>
      </c>
      <c r="U36" s="250"/>
      <c r="V36" s="252">
        <f>Q34-V34</f>
        <v>1515.1948748076038</v>
      </c>
      <c r="W36" s="236" t="s">
        <v>817</v>
      </c>
      <c r="X36" s="244"/>
      <c r="Y36" s="217"/>
      <c r="Z36" s="182"/>
      <c r="AA36" s="182"/>
      <c r="AB36" s="182"/>
      <c r="AC36" s="249"/>
      <c r="AD36" s="250"/>
      <c r="AE36" s="251" t="s">
        <v>820</v>
      </c>
      <c r="AF36" s="250"/>
      <c r="AG36" s="252">
        <f>AB34-AG34</f>
        <v>11019.500975593495</v>
      </c>
    </row>
    <row r="37" spans="2:33" ht="15.75" customHeight="1" x14ac:dyDescent="0.3">
      <c r="B37" s="179"/>
      <c r="C37" s="182"/>
      <c r="D37" s="182"/>
      <c r="E37" s="182"/>
      <c r="F37" s="182"/>
      <c r="G37" s="182"/>
      <c r="H37" s="182"/>
      <c r="I37" s="182"/>
      <c r="J37" s="182"/>
      <c r="K37" s="182"/>
      <c r="L37" s="182"/>
      <c r="M37" s="244"/>
      <c r="N37" s="217"/>
      <c r="O37" s="182"/>
      <c r="P37" s="182"/>
      <c r="Q37" s="182"/>
      <c r="R37" s="182"/>
      <c r="S37" s="182"/>
      <c r="T37" s="182"/>
      <c r="U37" s="182"/>
      <c r="V37" s="182"/>
      <c r="W37" s="182"/>
      <c r="X37" s="182"/>
    </row>
    <row r="38" spans="2:33" ht="13" x14ac:dyDescent="0.3"/>
    <row r="39" spans="2:33" ht="15.75" customHeight="1" thickBot="1" x14ac:dyDescent="0.35">
      <c r="B39" s="253"/>
      <c r="C39" s="253"/>
      <c r="D39" s="253"/>
      <c r="E39" s="253"/>
      <c r="F39" s="253"/>
      <c r="G39" s="253"/>
      <c r="H39" s="253"/>
      <c r="I39" s="253"/>
      <c r="J39" s="253"/>
      <c r="K39" s="253"/>
      <c r="L39" s="253"/>
      <c r="M39" s="253"/>
      <c r="N39" s="253"/>
      <c r="O39" s="253"/>
      <c r="P39" s="253"/>
      <c r="Q39" s="253"/>
      <c r="R39" s="253"/>
      <c r="S39" s="253"/>
      <c r="T39" s="253"/>
      <c r="U39" s="253"/>
    </row>
    <row r="40" spans="2:33" ht="13.5" thickTop="1" x14ac:dyDescent="0.3"/>
    <row r="41" spans="2:33" ht="15.75" customHeight="1" x14ac:dyDescent="0.3">
      <c r="C41" s="254" t="s">
        <v>821</v>
      </c>
    </row>
    <row r="42" spans="2:33" ht="13" x14ac:dyDescent="0.3"/>
    <row r="43" spans="2:33" ht="13" x14ac:dyDescent="0.3">
      <c r="C43" s="155" t="s">
        <v>822</v>
      </c>
    </row>
    <row r="44" spans="2:33" ht="13" x14ac:dyDescent="0.3">
      <c r="C44" s="155" t="s">
        <v>823</v>
      </c>
    </row>
    <row r="45" spans="2:33" ht="13" x14ac:dyDescent="0.3">
      <c r="C45" s="155" t="s">
        <v>824</v>
      </c>
    </row>
    <row r="46" spans="2:33" ht="15.75" customHeight="1" x14ac:dyDescent="0.3">
      <c r="C46" s="155" t="s">
        <v>825</v>
      </c>
    </row>
    <row r="47" spans="2:33" ht="13" x14ac:dyDescent="0.3"/>
    <row r="48" spans="2:33" ht="15.75" customHeight="1" thickBot="1" x14ac:dyDescent="0.35">
      <c r="B48" s="253"/>
      <c r="C48" s="253"/>
      <c r="D48" s="253"/>
      <c r="E48" s="253"/>
      <c r="F48" s="253"/>
      <c r="G48" s="253"/>
      <c r="H48" s="253"/>
      <c r="I48" s="253"/>
      <c r="J48" s="253"/>
      <c r="K48" s="253"/>
      <c r="L48" s="253"/>
      <c r="M48" s="253"/>
      <c r="N48" s="253"/>
      <c r="O48" s="253"/>
      <c r="P48" s="253"/>
      <c r="Q48" s="253"/>
      <c r="R48" s="253"/>
      <c r="S48" s="253"/>
      <c r="T48" s="253"/>
      <c r="U48" s="253"/>
    </row>
    <row r="49" spans="2:30" ht="13.5" thickTop="1" x14ac:dyDescent="0.3"/>
    <row r="50" spans="2:30" ht="14.5" x14ac:dyDescent="0.35">
      <c r="M50" s="255" t="s">
        <v>826</v>
      </c>
    </row>
    <row r="51" spans="2:30" ht="30.75" customHeight="1" thickBot="1" x14ac:dyDescent="0.35">
      <c r="M51" s="155" t="s">
        <v>827</v>
      </c>
    </row>
    <row r="52" spans="2:30" ht="16" thickTop="1" x14ac:dyDescent="0.35">
      <c r="M52" s="396" t="s">
        <v>828</v>
      </c>
      <c r="N52" s="397"/>
      <c r="O52" s="397"/>
      <c r="P52" s="398"/>
      <c r="Q52" s="397"/>
      <c r="R52" s="399"/>
      <c r="S52" s="400" t="s">
        <v>829</v>
      </c>
      <c r="T52" s="397"/>
      <c r="U52" s="397"/>
      <c r="V52" s="398"/>
      <c r="W52" s="397"/>
      <c r="X52" s="399"/>
      <c r="Y52" s="400" t="s">
        <v>830</v>
      </c>
      <c r="Z52" s="397"/>
      <c r="AA52" s="397"/>
      <c r="AB52" s="398"/>
      <c r="AC52" s="397"/>
      <c r="AD52" s="401"/>
    </row>
    <row r="53" spans="2:30" ht="13" x14ac:dyDescent="0.3">
      <c r="M53" s="384" t="s">
        <v>831</v>
      </c>
      <c r="N53" s="370"/>
      <c r="O53" s="370"/>
      <c r="P53" s="385" t="s">
        <v>832</v>
      </c>
      <c r="Q53" s="370"/>
      <c r="R53" s="386"/>
      <c r="S53" s="402" t="s">
        <v>831</v>
      </c>
      <c r="T53" s="370"/>
      <c r="U53" s="370"/>
      <c r="V53" s="385" t="s">
        <v>832</v>
      </c>
      <c r="W53" s="370"/>
      <c r="X53" s="386"/>
      <c r="Y53" s="402" t="s">
        <v>831</v>
      </c>
      <c r="Z53" s="370"/>
      <c r="AA53" s="370"/>
      <c r="AB53" s="385" t="s">
        <v>832</v>
      </c>
      <c r="AC53" s="370"/>
      <c r="AD53" s="386"/>
    </row>
    <row r="54" spans="2:30" ht="13.5" thickBot="1" x14ac:dyDescent="0.35">
      <c r="M54" s="256" t="s">
        <v>833</v>
      </c>
      <c r="N54" s="257" t="s">
        <v>834</v>
      </c>
      <c r="O54" s="258" t="s">
        <v>835</v>
      </c>
      <c r="P54" s="259" t="s">
        <v>833</v>
      </c>
      <c r="Q54" s="257" t="s">
        <v>834</v>
      </c>
      <c r="R54" s="260" t="s">
        <v>835</v>
      </c>
      <c r="S54" s="261" t="s">
        <v>833</v>
      </c>
      <c r="T54" s="257" t="s">
        <v>834</v>
      </c>
      <c r="U54" s="258" t="s">
        <v>835</v>
      </c>
      <c r="V54" s="259" t="s">
        <v>833</v>
      </c>
      <c r="W54" s="257" t="s">
        <v>834</v>
      </c>
      <c r="X54" s="260" t="s">
        <v>835</v>
      </c>
      <c r="Y54" s="261" t="s">
        <v>833</v>
      </c>
      <c r="Z54" s="257" t="s">
        <v>834</v>
      </c>
      <c r="AA54" s="258" t="s">
        <v>835</v>
      </c>
      <c r="AB54" s="257" t="s">
        <v>833</v>
      </c>
      <c r="AC54" s="257" t="s">
        <v>834</v>
      </c>
      <c r="AD54" s="262" t="s">
        <v>835</v>
      </c>
    </row>
    <row r="55" spans="2:30" ht="13.5" thickBot="1" x14ac:dyDescent="0.35">
      <c r="L55" s="263" t="s">
        <v>836</v>
      </c>
      <c r="M55" s="264">
        <v>0.25</v>
      </c>
      <c r="N55" s="265">
        <f>$G$23*M$55</f>
        <v>3872.238480118915</v>
      </c>
      <c r="O55" s="265">
        <f>N$55*D$65</f>
        <v>1876.5835734276291</v>
      </c>
      <c r="P55" s="266">
        <v>0.5</v>
      </c>
      <c r="Q55" s="265">
        <f>$G$23*P$55</f>
        <v>7744.4769602378301</v>
      </c>
      <c r="R55" s="267">
        <f>Q55*D65</f>
        <v>3753.1671468552581</v>
      </c>
      <c r="S55" s="266">
        <v>0.55000000000000004</v>
      </c>
      <c r="T55" s="265">
        <f>$G$24*S55</f>
        <v>448.36445559271658</v>
      </c>
      <c r="U55" s="268">
        <f>T55*D65</f>
        <v>217.28862429162027</v>
      </c>
      <c r="V55" s="266">
        <v>0.3</v>
      </c>
      <c r="W55" s="265">
        <f>$G$24*V55</f>
        <v>244.56243032329994</v>
      </c>
      <c r="X55" s="267">
        <f>W55*$D$65</f>
        <v>118.52106779542922</v>
      </c>
      <c r="Y55" s="266">
        <v>0.5</v>
      </c>
      <c r="Z55" s="265">
        <f>$G$25*Y55</f>
        <v>0</v>
      </c>
      <c r="AA55" s="268">
        <f>Z55*D65</f>
        <v>0</v>
      </c>
      <c r="AB55" s="266">
        <v>0</v>
      </c>
      <c r="AC55" s="265">
        <f>$G$25*AB55</f>
        <v>0</v>
      </c>
      <c r="AD55" s="269">
        <f>AC55*D65</f>
        <v>0</v>
      </c>
    </row>
    <row r="56" spans="2:30" ht="13.5" thickBot="1" x14ac:dyDescent="0.35">
      <c r="L56" s="263" t="s">
        <v>837</v>
      </c>
      <c r="M56" s="264">
        <v>0.2</v>
      </c>
      <c r="N56" s="265">
        <f>$G$23*M$55</f>
        <v>3872.238480118915</v>
      </c>
      <c r="O56" s="265">
        <f>N$56*D$66</f>
        <v>2925.2825598058344</v>
      </c>
      <c r="P56" s="266">
        <v>0.45</v>
      </c>
      <c r="Q56" s="265">
        <f>$G$23*P$55</f>
        <v>7744.4769602378301</v>
      </c>
      <c r="R56" s="267">
        <f>Q56*D66</f>
        <v>5850.5651196116687</v>
      </c>
      <c r="S56" s="266">
        <v>0.3</v>
      </c>
      <c r="T56" s="265">
        <f t="shared" ref="T56:T59" si="2">$G$24*S56</f>
        <v>244.56243032329994</v>
      </c>
      <c r="U56" s="268">
        <f>T56*D66</f>
        <v>184.75468798773693</v>
      </c>
      <c r="V56" s="266">
        <v>0.6</v>
      </c>
      <c r="W56" s="265">
        <f t="shared" ref="W56:W59" si="3">$G$24*V56</f>
        <v>489.12486064659987</v>
      </c>
      <c r="X56" s="267">
        <f>W56*D66</f>
        <v>369.50937597547386</v>
      </c>
      <c r="Y56" s="266">
        <v>0.25</v>
      </c>
      <c r="Z56" s="265">
        <f t="shared" ref="Z56:Z59" si="4">$G$25*Y56</f>
        <v>0</v>
      </c>
      <c r="AA56" s="268">
        <f>Z56*D66</f>
        <v>0</v>
      </c>
      <c r="AB56" s="266">
        <v>0</v>
      </c>
      <c r="AC56" s="265">
        <f t="shared" ref="AC56:AC59" si="5">$G$25*AB56</f>
        <v>0</v>
      </c>
      <c r="AD56" s="269">
        <f>AC56*D66</f>
        <v>0</v>
      </c>
    </row>
    <row r="57" spans="2:30" ht="13.5" thickBot="1" x14ac:dyDescent="0.35">
      <c r="L57" s="263" t="s">
        <v>838</v>
      </c>
      <c r="M57" s="264">
        <v>0</v>
      </c>
      <c r="N57" s="265">
        <f>$G$23*M$55</f>
        <v>3872.238480118915</v>
      </c>
      <c r="O57" s="265">
        <f>N$57*D$67</f>
        <v>3007.1804036603498</v>
      </c>
      <c r="P57" s="266">
        <v>0</v>
      </c>
      <c r="Q57" s="265">
        <f>$G$23*P$55</f>
        <v>7744.4769602378301</v>
      </c>
      <c r="R57" s="267">
        <f>Q57*D67</f>
        <v>6014.3608073206997</v>
      </c>
      <c r="S57" s="266">
        <v>0</v>
      </c>
      <c r="T57" s="265">
        <f t="shared" si="2"/>
        <v>0</v>
      </c>
      <c r="U57" s="265">
        <f>T57*D67</f>
        <v>0</v>
      </c>
      <c r="V57" s="266">
        <v>0.1</v>
      </c>
      <c r="W57" s="265">
        <f t="shared" si="3"/>
        <v>81.52081010776665</v>
      </c>
      <c r="X57" s="267">
        <f>W57*D67</f>
        <v>63.309061129691585</v>
      </c>
      <c r="Y57" s="266">
        <v>0.25</v>
      </c>
      <c r="Z57" s="265">
        <f t="shared" si="4"/>
        <v>0</v>
      </c>
      <c r="AA57" s="268">
        <f>Z57*D67</f>
        <v>0</v>
      </c>
      <c r="AB57" s="266">
        <v>1</v>
      </c>
      <c r="AC57" s="265">
        <f t="shared" si="5"/>
        <v>0</v>
      </c>
      <c r="AD57" s="269">
        <f>AC57*D67</f>
        <v>0</v>
      </c>
    </row>
    <row r="58" spans="2:30" ht="13.5" thickBot="1" x14ac:dyDescent="0.35">
      <c r="L58" s="263" t="s">
        <v>839</v>
      </c>
      <c r="M58" s="264">
        <v>0.5</v>
      </c>
      <c r="N58" s="265">
        <f>$G$23*M$55</f>
        <v>3872.238480118915</v>
      </c>
      <c r="O58" s="265">
        <f>N$58*D$68</f>
        <v>922.17359404031959</v>
      </c>
      <c r="P58" s="266">
        <v>0.05</v>
      </c>
      <c r="Q58" s="265">
        <f>$G$23*P$55</f>
        <v>7744.4769602378301</v>
      </c>
      <c r="R58" s="267">
        <f>Q58*D68</f>
        <v>1844.3471880806392</v>
      </c>
      <c r="S58" s="266">
        <v>0</v>
      </c>
      <c r="T58" s="265">
        <f t="shared" si="2"/>
        <v>0</v>
      </c>
      <c r="U58" s="268">
        <f>T58*D68</f>
        <v>0</v>
      </c>
      <c r="V58" s="266">
        <v>0</v>
      </c>
      <c r="W58" s="265">
        <f t="shared" si="3"/>
        <v>0</v>
      </c>
      <c r="X58" s="267">
        <f>W58*D68</f>
        <v>0</v>
      </c>
      <c r="Y58" s="266">
        <v>0</v>
      </c>
      <c r="Z58" s="265">
        <f t="shared" si="4"/>
        <v>0</v>
      </c>
      <c r="AA58" s="268">
        <f>Z58*D68</f>
        <v>0</v>
      </c>
      <c r="AB58" s="266">
        <v>0</v>
      </c>
      <c r="AC58" s="265">
        <f t="shared" si="5"/>
        <v>0</v>
      </c>
      <c r="AD58" s="269">
        <f>AC58*D68</f>
        <v>0</v>
      </c>
    </row>
    <row r="59" spans="2:30" ht="13.5" thickBot="1" x14ac:dyDescent="0.35">
      <c r="B59" s="155"/>
      <c r="L59" s="263" t="s">
        <v>840</v>
      </c>
      <c r="M59" s="264">
        <v>0.05</v>
      </c>
      <c r="N59" s="265">
        <f>$G$23*M$55</f>
        <v>3872.238480118915</v>
      </c>
      <c r="O59" s="265">
        <f>N$59*D$69</f>
        <v>1506.4943806902638</v>
      </c>
      <c r="P59" s="266">
        <v>0</v>
      </c>
      <c r="Q59" s="265">
        <f>$G$23*P$55</f>
        <v>7744.4769602378301</v>
      </c>
      <c r="R59" s="267">
        <f>Q59*D69</f>
        <v>3012.9887613805276</v>
      </c>
      <c r="S59" s="266">
        <v>0.15</v>
      </c>
      <c r="T59" s="265">
        <f t="shared" si="2"/>
        <v>122.28121516164997</v>
      </c>
      <c r="U59" s="268">
        <f>T59*D69</f>
        <v>47.573506758639923</v>
      </c>
      <c r="V59" s="266">
        <v>0</v>
      </c>
      <c r="W59" s="265">
        <f t="shared" si="3"/>
        <v>0</v>
      </c>
      <c r="X59" s="267">
        <f>W59*D69</f>
        <v>0</v>
      </c>
      <c r="Y59" s="266">
        <v>0</v>
      </c>
      <c r="Z59" s="265">
        <f t="shared" si="4"/>
        <v>0</v>
      </c>
      <c r="AA59" s="268">
        <f>Z59*D69</f>
        <v>0</v>
      </c>
      <c r="AB59" s="266">
        <v>0</v>
      </c>
      <c r="AC59" s="265">
        <f t="shared" si="5"/>
        <v>0</v>
      </c>
      <c r="AD59" s="269">
        <f>AC59*D69</f>
        <v>0</v>
      </c>
    </row>
    <row r="60" spans="2:30" ht="15" thickBot="1" x14ac:dyDescent="0.4">
      <c r="B60" s="255" t="s">
        <v>841</v>
      </c>
      <c r="L60" s="270" t="s">
        <v>713</v>
      </c>
      <c r="M60" s="271">
        <f t="shared" ref="M60:AD60" si="6">SUM(M55:M59)</f>
        <v>1</v>
      </c>
      <c r="N60" s="272">
        <f t="shared" si="6"/>
        <v>19361.192400594577</v>
      </c>
      <c r="O60" s="273">
        <f t="shared" si="6"/>
        <v>10237.714511624396</v>
      </c>
      <c r="P60" s="274">
        <f t="shared" si="6"/>
        <v>1</v>
      </c>
      <c r="Q60" s="272">
        <f t="shared" si="6"/>
        <v>38722.384801189153</v>
      </c>
      <c r="R60" s="275">
        <f t="shared" si="6"/>
        <v>20475.429023248791</v>
      </c>
      <c r="S60" s="276">
        <f t="shared" si="6"/>
        <v>1</v>
      </c>
      <c r="T60" s="272">
        <f t="shared" si="6"/>
        <v>815.20810107766647</v>
      </c>
      <c r="U60" s="273">
        <f t="shared" si="6"/>
        <v>449.61681903799717</v>
      </c>
      <c r="V60" s="274">
        <f t="shared" si="6"/>
        <v>0.99999999999999989</v>
      </c>
      <c r="W60" s="272">
        <f t="shared" si="6"/>
        <v>815.20810107766647</v>
      </c>
      <c r="X60" s="275">
        <f t="shared" si="6"/>
        <v>551.33950490059465</v>
      </c>
      <c r="Y60" s="276">
        <f t="shared" si="6"/>
        <v>1</v>
      </c>
      <c r="Z60" s="272">
        <f t="shared" si="6"/>
        <v>0</v>
      </c>
      <c r="AA60" s="273">
        <f t="shared" si="6"/>
        <v>0</v>
      </c>
      <c r="AB60" s="277">
        <f t="shared" si="6"/>
        <v>1</v>
      </c>
      <c r="AC60" s="272">
        <f t="shared" si="6"/>
        <v>0</v>
      </c>
      <c r="AD60" s="278">
        <f t="shared" si="6"/>
        <v>0</v>
      </c>
    </row>
    <row r="61" spans="2:30" ht="14" thickTop="1" thickBot="1" x14ac:dyDescent="0.35">
      <c r="B61" s="155"/>
      <c r="O61" s="279">
        <f>O60/R60</f>
        <v>0.5</v>
      </c>
      <c r="R61" s="280">
        <f>R60/O60</f>
        <v>2</v>
      </c>
      <c r="U61" s="279">
        <f>U60/X60</f>
        <v>0.81549900749278281</v>
      </c>
      <c r="X61" s="280">
        <f>X60/U60</f>
        <v>1.2262430619927518</v>
      </c>
      <c r="AA61" s="279" t="e">
        <f>AA60/AD60</f>
        <v>#DIV/0!</v>
      </c>
      <c r="AD61" s="281" t="e">
        <f>AD60/AA60</f>
        <v>#DIV/0!</v>
      </c>
    </row>
    <row r="62" spans="2:30" ht="16" thickTop="1" x14ac:dyDescent="0.35">
      <c r="B62" s="282" t="s">
        <v>842</v>
      </c>
      <c r="C62" s="283"/>
      <c r="D62" s="284"/>
      <c r="M62" s="396" t="s">
        <v>843</v>
      </c>
      <c r="N62" s="397"/>
      <c r="O62" s="397"/>
      <c r="P62" s="398"/>
      <c r="Q62" s="397"/>
      <c r="R62" s="399"/>
      <c r="S62" s="400" t="s">
        <v>844</v>
      </c>
      <c r="T62" s="397"/>
      <c r="U62" s="397"/>
      <c r="V62" s="398"/>
      <c r="W62" s="397"/>
      <c r="X62" s="399"/>
      <c r="Y62" s="400" t="s">
        <v>845</v>
      </c>
      <c r="Z62" s="397"/>
      <c r="AA62" s="397"/>
      <c r="AB62" s="398"/>
      <c r="AC62" s="397"/>
      <c r="AD62" s="401"/>
    </row>
    <row r="63" spans="2:30" ht="13" x14ac:dyDescent="0.3">
      <c r="B63" s="285" t="s">
        <v>846</v>
      </c>
      <c r="D63" s="286"/>
      <c r="M63" s="384" t="s">
        <v>831</v>
      </c>
      <c r="N63" s="370"/>
      <c r="O63" s="370"/>
      <c r="P63" s="385" t="s">
        <v>832</v>
      </c>
      <c r="Q63" s="370"/>
      <c r="R63" s="386"/>
      <c r="S63" s="384" t="s">
        <v>831</v>
      </c>
      <c r="T63" s="370"/>
      <c r="U63" s="370"/>
      <c r="V63" s="385" t="s">
        <v>832</v>
      </c>
      <c r="W63" s="370"/>
      <c r="X63" s="386"/>
      <c r="Y63" s="384" t="s">
        <v>831</v>
      </c>
      <c r="Z63" s="370"/>
      <c r="AA63" s="370"/>
      <c r="AB63" s="385" t="s">
        <v>832</v>
      </c>
      <c r="AC63" s="370"/>
      <c r="AD63" s="386"/>
    </row>
    <row r="64" spans="2:30" ht="13.5" thickBot="1" x14ac:dyDescent="0.35">
      <c r="B64" s="287"/>
      <c r="C64" s="257" t="s">
        <v>847</v>
      </c>
      <c r="D64" s="258" t="s">
        <v>848</v>
      </c>
      <c r="M64" s="256" t="s">
        <v>833</v>
      </c>
      <c r="N64" s="257" t="s">
        <v>834</v>
      </c>
      <c r="O64" s="258" t="s">
        <v>835</v>
      </c>
      <c r="P64" s="259" t="s">
        <v>833</v>
      </c>
      <c r="Q64" s="257" t="s">
        <v>834</v>
      </c>
      <c r="R64" s="260" t="s">
        <v>835</v>
      </c>
      <c r="S64" s="261" t="s">
        <v>833</v>
      </c>
      <c r="T64" s="257" t="s">
        <v>834</v>
      </c>
      <c r="U64" s="258" t="s">
        <v>835</v>
      </c>
      <c r="V64" s="257" t="s">
        <v>833</v>
      </c>
      <c r="W64" s="257" t="s">
        <v>834</v>
      </c>
      <c r="X64" s="260" t="s">
        <v>835</v>
      </c>
      <c r="Y64" s="261" t="s">
        <v>833</v>
      </c>
      <c r="Z64" s="257" t="s">
        <v>834</v>
      </c>
      <c r="AA64" s="258" t="s">
        <v>835</v>
      </c>
      <c r="AB64" s="257" t="s">
        <v>833</v>
      </c>
      <c r="AC64" s="257" t="s">
        <v>834</v>
      </c>
      <c r="AD64" s="262" t="s">
        <v>835</v>
      </c>
    </row>
    <row r="65" spans="2:30" ht="13.5" thickBot="1" x14ac:dyDescent="0.35">
      <c r="B65" s="287"/>
      <c r="C65" s="270" t="s">
        <v>836</v>
      </c>
      <c r="D65" s="288">
        <v>0.48462499999999997</v>
      </c>
      <c r="L65" s="263" t="s">
        <v>836</v>
      </c>
      <c r="M65" s="264">
        <v>0.1</v>
      </c>
      <c r="N65" s="265">
        <f>$J$23*M65</f>
        <v>7744.4946116685242</v>
      </c>
      <c r="O65" s="265">
        <f>N65*D65</f>
        <v>3753.1757011798582</v>
      </c>
      <c r="P65" s="266">
        <v>0.35</v>
      </c>
      <c r="Q65" s="265">
        <f>$J$23*P65</f>
        <v>27105.731140839835</v>
      </c>
      <c r="R65" s="267">
        <f>Q65*D65</f>
        <v>13136.114954129504</v>
      </c>
      <c r="S65" s="266">
        <v>0.35</v>
      </c>
      <c r="T65" s="265">
        <f>$J$24*S65</f>
        <v>1426.6174284652545</v>
      </c>
      <c r="U65" s="265">
        <f>T65*D65</f>
        <v>691.37447126997392</v>
      </c>
      <c r="V65" s="266">
        <v>0.5</v>
      </c>
      <c r="W65" s="265">
        <f>$J$24*V65</f>
        <v>2038.0248978075067</v>
      </c>
      <c r="X65" s="267">
        <f>W65*D65</f>
        <v>987.67781609996291</v>
      </c>
      <c r="Y65" s="266">
        <v>0.5</v>
      </c>
      <c r="Z65" s="265">
        <f>$J$25*Y65</f>
        <v>0</v>
      </c>
      <c r="AA65" s="268">
        <f>Z65*D65</f>
        <v>0</v>
      </c>
      <c r="AB65" s="266">
        <v>0.2</v>
      </c>
      <c r="AC65" s="265">
        <f>$J$25*AB65</f>
        <v>0</v>
      </c>
      <c r="AD65" s="269">
        <f>AC65*D65</f>
        <v>0</v>
      </c>
    </row>
    <row r="66" spans="2:30" ht="13.5" thickBot="1" x14ac:dyDescent="0.35">
      <c r="B66" s="287"/>
      <c r="C66" s="270" t="s">
        <v>837</v>
      </c>
      <c r="D66" s="288">
        <v>0.75544999999999995</v>
      </c>
      <c r="L66" s="263" t="s">
        <v>837</v>
      </c>
      <c r="M66" s="264">
        <v>0.05</v>
      </c>
      <c r="N66" s="265">
        <f>$J$23*M66</f>
        <v>3872.2473058342621</v>
      </c>
      <c r="O66" s="265">
        <f>N66*D66</f>
        <v>2925.2892271924929</v>
      </c>
      <c r="P66" s="266">
        <v>0.2</v>
      </c>
      <c r="Q66" s="265">
        <f>$J$23*P66</f>
        <v>15488.989223337048</v>
      </c>
      <c r="R66" s="267">
        <f>Q66*D66</f>
        <v>11701.156908769972</v>
      </c>
      <c r="S66" s="266">
        <v>0.25</v>
      </c>
      <c r="T66" s="265">
        <f t="shared" ref="T66:T69" si="7">$J$24*S66</f>
        <v>1019.0124489037534</v>
      </c>
      <c r="U66" s="265">
        <f>T66*D66</f>
        <v>769.8129545243404</v>
      </c>
      <c r="V66" s="266">
        <v>0.4</v>
      </c>
      <c r="W66" s="265">
        <f t="shared" ref="W66:W69" si="8">$J$24*V66</f>
        <v>1630.4199182460054</v>
      </c>
      <c r="X66" s="267">
        <f>W66*D66</f>
        <v>1231.7007272389446</v>
      </c>
      <c r="Y66" s="266">
        <v>0.25</v>
      </c>
      <c r="Z66" s="265">
        <f t="shared" ref="Z66:Z69" si="9">$J$25*Y66</f>
        <v>0</v>
      </c>
      <c r="AA66" s="268">
        <f>Z66*D66</f>
        <v>0</v>
      </c>
      <c r="AB66" s="266">
        <v>0.3</v>
      </c>
      <c r="AC66" s="265">
        <f t="shared" ref="AC66:AC69" si="10">$J$25*AB66</f>
        <v>0</v>
      </c>
      <c r="AD66" s="269">
        <f>AC66*D66</f>
        <v>0</v>
      </c>
    </row>
    <row r="67" spans="2:30" ht="13.5" thickBot="1" x14ac:dyDescent="0.35">
      <c r="B67" s="287"/>
      <c r="C67" s="270" t="s">
        <v>838</v>
      </c>
      <c r="D67" s="288">
        <v>0.77660000000000007</v>
      </c>
      <c r="L67" s="263" t="s">
        <v>838</v>
      </c>
      <c r="M67" s="264">
        <v>0</v>
      </c>
      <c r="N67" s="265">
        <f>$J$23*M67</f>
        <v>0</v>
      </c>
      <c r="O67" s="265">
        <f>N67*D67</f>
        <v>0</v>
      </c>
      <c r="P67" s="266">
        <v>0</v>
      </c>
      <c r="Q67" s="265">
        <f>$J$23*P67</f>
        <v>0</v>
      </c>
      <c r="R67" s="267">
        <f>Q67*D67</f>
        <v>0</v>
      </c>
      <c r="S67" s="266">
        <v>0</v>
      </c>
      <c r="T67" s="265">
        <f t="shared" si="7"/>
        <v>0</v>
      </c>
      <c r="U67" s="265">
        <f>T67*D67</f>
        <v>0</v>
      </c>
      <c r="V67" s="266">
        <v>0</v>
      </c>
      <c r="W67" s="265">
        <f t="shared" si="8"/>
        <v>0</v>
      </c>
      <c r="X67" s="267">
        <f>W67*D67</f>
        <v>0</v>
      </c>
      <c r="Y67" s="266">
        <v>0.15</v>
      </c>
      <c r="Z67" s="265">
        <f t="shared" si="9"/>
        <v>0</v>
      </c>
      <c r="AA67" s="268">
        <f>Z67*D67</f>
        <v>0</v>
      </c>
      <c r="AB67" s="266">
        <v>0.5</v>
      </c>
      <c r="AC67" s="265">
        <f t="shared" si="10"/>
        <v>0</v>
      </c>
      <c r="AD67" s="269">
        <f>AC67*D67</f>
        <v>0</v>
      </c>
    </row>
    <row r="68" spans="2:30" ht="13.5" thickBot="1" x14ac:dyDescent="0.35">
      <c r="B68" s="287"/>
      <c r="C68" s="270" t="s">
        <v>839</v>
      </c>
      <c r="D68" s="288">
        <v>0.23815</v>
      </c>
      <c r="L68" s="263" t="s">
        <v>839</v>
      </c>
      <c r="M68" s="264">
        <v>0.8</v>
      </c>
      <c r="N68" s="265">
        <f>$J$23*M68</f>
        <v>61955.956893348193</v>
      </c>
      <c r="O68" s="265">
        <f>N68*D68</f>
        <v>14754.811134150872</v>
      </c>
      <c r="P68" s="266">
        <v>0.45</v>
      </c>
      <c r="Q68" s="265">
        <f>$J$23*P68</f>
        <v>34850.225752508362</v>
      </c>
      <c r="R68" s="267">
        <f>Q68*D68</f>
        <v>8299.5812629598659</v>
      </c>
      <c r="S68" s="266">
        <v>0.25</v>
      </c>
      <c r="T68" s="265">
        <f t="shared" si="7"/>
        <v>1019.0124489037534</v>
      </c>
      <c r="U68" s="265">
        <f>T68*D68</f>
        <v>242.67781470642885</v>
      </c>
      <c r="V68" s="266">
        <v>0.05</v>
      </c>
      <c r="W68" s="265">
        <f t="shared" si="8"/>
        <v>203.80248978075068</v>
      </c>
      <c r="X68" s="267">
        <f>W68*D68</f>
        <v>48.535562941285775</v>
      </c>
      <c r="Y68" s="266">
        <v>0</v>
      </c>
      <c r="Z68" s="265">
        <f t="shared" si="9"/>
        <v>0</v>
      </c>
      <c r="AA68" s="268">
        <f>Z68*D68</f>
        <v>0</v>
      </c>
      <c r="AB68" s="266">
        <v>0</v>
      </c>
      <c r="AC68" s="265">
        <f t="shared" si="10"/>
        <v>0</v>
      </c>
      <c r="AD68" s="269">
        <f>AC68*D68</f>
        <v>0</v>
      </c>
    </row>
    <row r="69" spans="2:30" ht="13.5" thickBot="1" x14ac:dyDescent="0.35">
      <c r="B69" s="287"/>
      <c r="C69" s="270" t="s">
        <v>840</v>
      </c>
      <c r="D69" s="288">
        <v>0.38905000000000001</v>
      </c>
      <c r="L69" s="263" t="s">
        <v>840</v>
      </c>
      <c r="M69" s="264">
        <v>0.05</v>
      </c>
      <c r="N69" s="265">
        <f>$J$23*M69</f>
        <v>3872.2473058342621</v>
      </c>
      <c r="O69" s="265">
        <f>N69*D69</f>
        <v>1506.4978143348196</v>
      </c>
      <c r="P69" s="266">
        <v>0</v>
      </c>
      <c r="Q69" s="265">
        <f>$J$23*P69</f>
        <v>0</v>
      </c>
      <c r="R69" s="267">
        <f>Q69*D69</f>
        <v>0</v>
      </c>
      <c r="S69" s="266">
        <v>0.15</v>
      </c>
      <c r="T69" s="265">
        <f t="shared" si="7"/>
        <v>611.40746934225194</v>
      </c>
      <c r="U69" s="265">
        <f>T69*D69</f>
        <v>237.86807594760313</v>
      </c>
      <c r="V69" s="266">
        <v>0.05</v>
      </c>
      <c r="W69" s="265">
        <f t="shared" si="8"/>
        <v>203.80248978075068</v>
      </c>
      <c r="X69" s="267">
        <f>W69*D69</f>
        <v>79.289358649201048</v>
      </c>
      <c r="Y69" s="266">
        <v>0.1</v>
      </c>
      <c r="Z69" s="265">
        <f t="shared" si="9"/>
        <v>0</v>
      </c>
      <c r="AA69" s="268">
        <f>Z69*D69</f>
        <v>0</v>
      </c>
      <c r="AB69" s="266">
        <v>0</v>
      </c>
      <c r="AC69" s="265">
        <f t="shared" si="10"/>
        <v>0</v>
      </c>
      <c r="AD69" s="269">
        <f>AC69*D69</f>
        <v>0</v>
      </c>
    </row>
    <row r="70" spans="2:30" ht="13.5" thickBot="1" x14ac:dyDescent="0.35">
      <c r="B70" s="289"/>
      <c r="C70" s="290"/>
      <c r="D70" s="291"/>
      <c r="L70" s="270" t="s">
        <v>713</v>
      </c>
      <c r="M70" s="271">
        <f t="shared" ref="M70:AD70" si="11">SUM(M65:M69)</f>
        <v>1</v>
      </c>
      <c r="N70" s="272">
        <f t="shared" si="11"/>
        <v>77444.946116685242</v>
      </c>
      <c r="O70" s="273">
        <f t="shared" si="11"/>
        <v>22939.773876858042</v>
      </c>
      <c r="P70" s="274">
        <f t="shared" si="11"/>
        <v>1</v>
      </c>
      <c r="Q70" s="272">
        <f t="shared" si="11"/>
        <v>77444.946116685256</v>
      </c>
      <c r="R70" s="275">
        <f t="shared" si="11"/>
        <v>33136.853125859343</v>
      </c>
      <c r="S70" s="276">
        <f t="shared" si="11"/>
        <v>1</v>
      </c>
      <c r="T70" s="272">
        <f t="shared" si="11"/>
        <v>4076.049795615013</v>
      </c>
      <c r="U70" s="273">
        <f t="shared" si="11"/>
        <v>1941.7333164483462</v>
      </c>
      <c r="V70" s="277">
        <f t="shared" si="11"/>
        <v>1</v>
      </c>
      <c r="W70" s="272">
        <f t="shared" si="11"/>
        <v>4076.0497956150139</v>
      </c>
      <c r="X70" s="273">
        <f t="shared" si="11"/>
        <v>2347.2034649293942</v>
      </c>
      <c r="Y70" s="276">
        <f t="shared" si="11"/>
        <v>1</v>
      </c>
      <c r="Z70" s="272">
        <f t="shared" si="11"/>
        <v>0</v>
      </c>
      <c r="AA70" s="273">
        <f t="shared" si="11"/>
        <v>0</v>
      </c>
      <c r="AB70" s="277">
        <f t="shared" si="11"/>
        <v>1</v>
      </c>
      <c r="AC70" s="272">
        <f t="shared" si="11"/>
        <v>0</v>
      </c>
      <c r="AD70" s="275">
        <f t="shared" si="11"/>
        <v>0</v>
      </c>
    </row>
    <row r="71" spans="2:30" ht="14" thickTop="1" thickBot="1" x14ac:dyDescent="0.35">
      <c r="O71" s="292">
        <f>O70/R70</f>
        <v>0.69227375906000854</v>
      </c>
      <c r="R71" s="280">
        <f>R70/O70</f>
        <v>1.4445152469130593</v>
      </c>
      <c r="U71" s="292">
        <f>U70/X70</f>
        <v>0.8272539408963232</v>
      </c>
      <c r="X71" s="280">
        <f>X70/U70</f>
        <v>1.2088186596204156</v>
      </c>
      <c r="AA71" s="292" t="e">
        <f>AA70/AD70</f>
        <v>#DIV/0!</v>
      </c>
      <c r="AD71" s="293" t="e">
        <f>AD70/AA70</f>
        <v>#DIV/0!</v>
      </c>
    </row>
    <row r="72" spans="2:30" ht="16" thickTop="1" x14ac:dyDescent="0.35">
      <c r="M72" s="389" t="s">
        <v>849</v>
      </c>
      <c r="N72" s="390"/>
      <c r="O72" s="390"/>
      <c r="P72" s="391"/>
      <c r="Q72" s="390"/>
      <c r="R72" s="392"/>
      <c r="S72" s="393" t="s">
        <v>850</v>
      </c>
      <c r="T72" s="390"/>
      <c r="U72" s="390"/>
      <c r="V72" s="391"/>
      <c r="W72" s="390"/>
      <c r="X72" s="392"/>
      <c r="Y72" s="393" t="s">
        <v>851</v>
      </c>
      <c r="Z72" s="390"/>
      <c r="AA72" s="390"/>
      <c r="AB72" s="391"/>
      <c r="AC72" s="390"/>
      <c r="AD72" s="394"/>
    </row>
    <row r="73" spans="2:30" ht="13" x14ac:dyDescent="0.3">
      <c r="B73" s="395" t="s">
        <v>852</v>
      </c>
      <c r="C73" s="370"/>
      <c r="D73" s="370"/>
      <c r="E73" s="283"/>
      <c r="F73" s="284"/>
      <c r="G73" s="155"/>
      <c r="H73" s="155"/>
      <c r="I73" s="155"/>
      <c r="M73" s="384" t="s">
        <v>831</v>
      </c>
      <c r="N73" s="370"/>
      <c r="O73" s="370"/>
      <c r="P73" s="385" t="s">
        <v>832</v>
      </c>
      <c r="Q73" s="370"/>
      <c r="R73" s="386"/>
      <c r="S73" s="384" t="s">
        <v>831</v>
      </c>
      <c r="T73" s="370"/>
      <c r="U73" s="370"/>
      <c r="V73" s="385" t="s">
        <v>832</v>
      </c>
      <c r="W73" s="370"/>
      <c r="X73" s="386"/>
      <c r="Y73" s="384" t="s">
        <v>831</v>
      </c>
      <c r="Z73" s="370"/>
      <c r="AA73" s="370"/>
      <c r="AB73" s="385" t="s">
        <v>832</v>
      </c>
      <c r="AC73" s="370"/>
      <c r="AD73" s="386"/>
    </row>
    <row r="74" spans="2:30" ht="13.5" thickBot="1" x14ac:dyDescent="0.35">
      <c r="B74" s="387" t="s">
        <v>853</v>
      </c>
      <c r="C74" s="378"/>
      <c r="D74" s="378"/>
      <c r="E74" s="378"/>
      <c r="F74" s="286"/>
      <c r="G74" s="155"/>
      <c r="H74" s="155"/>
      <c r="I74" s="155"/>
      <c r="M74" s="256" t="s">
        <v>833</v>
      </c>
      <c r="N74" s="257" t="s">
        <v>834</v>
      </c>
      <c r="O74" s="258" t="s">
        <v>835</v>
      </c>
      <c r="P74" s="259" t="s">
        <v>833</v>
      </c>
      <c r="Q74" s="257" t="s">
        <v>834</v>
      </c>
      <c r="R74" s="260" t="s">
        <v>835</v>
      </c>
      <c r="S74" s="261" t="s">
        <v>833</v>
      </c>
      <c r="T74" s="257" t="s">
        <v>834</v>
      </c>
      <c r="U74" s="258" t="s">
        <v>835</v>
      </c>
      <c r="V74" s="259" t="s">
        <v>833</v>
      </c>
      <c r="W74" s="257" t="s">
        <v>834</v>
      </c>
      <c r="X74" s="260" t="s">
        <v>835</v>
      </c>
      <c r="Y74" s="261" t="s">
        <v>833</v>
      </c>
      <c r="Z74" s="257" t="s">
        <v>834</v>
      </c>
      <c r="AA74" s="258" t="s">
        <v>835</v>
      </c>
      <c r="AB74" s="259" t="s">
        <v>833</v>
      </c>
      <c r="AC74" s="257" t="s">
        <v>834</v>
      </c>
      <c r="AD74" s="262" t="s">
        <v>835</v>
      </c>
    </row>
    <row r="75" spans="2:30" ht="13.5" thickBot="1" x14ac:dyDescent="0.35">
      <c r="B75" s="287"/>
      <c r="F75" s="286"/>
      <c r="G75" s="294"/>
      <c r="H75" s="294"/>
      <c r="I75" s="294"/>
      <c r="L75" s="263" t="s">
        <v>836</v>
      </c>
      <c r="M75" s="264">
        <v>0.1</v>
      </c>
      <c r="N75" s="265">
        <f>M75*$G$28</f>
        <v>1488.9632107023415</v>
      </c>
      <c r="O75" s="265">
        <f>N75*D65</f>
        <v>721.58879598662224</v>
      </c>
      <c r="P75" s="266">
        <v>0.35</v>
      </c>
      <c r="Q75" s="265">
        <f>P75*$G$28</f>
        <v>5211.3712374581946</v>
      </c>
      <c r="R75" s="267">
        <f>Q75*D65</f>
        <v>2525.5607859531774</v>
      </c>
      <c r="S75" s="266">
        <v>0.35</v>
      </c>
      <c r="T75" s="265">
        <f>$G$29*S75</f>
        <v>579.04124860646607</v>
      </c>
      <c r="U75" s="265">
        <f>T75*D65</f>
        <v>280.61786510590861</v>
      </c>
      <c r="V75" s="266">
        <v>0.5</v>
      </c>
      <c r="W75" s="265">
        <f>$G$29*V75</f>
        <v>827.20178372352302</v>
      </c>
      <c r="X75" s="267">
        <f>W75*D65</f>
        <v>400.88266443701229</v>
      </c>
      <c r="Y75" s="266">
        <v>0.5</v>
      </c>
      <c r="Z75" s="265">
        <f>$G$30*Y75</f>
        <v>0</v>
      </c>
      <c r="AA75" s="268">
        <f>Z75*D65</f>
        <v>0</v>
      </c>
      <c r="AB75" s="266">
        <v>0.2</v>
      </c>
      <c r="AC75" s="265">
        <f>$G$30*AB75</f>
        <v>0</v>
      </c>
      <c r="AD75" s="269">
        <f>AC75*D65</f>
        <v>0</v>
      </c>
    </row>
    <row r="76" spans="2:30" ht="13.5" thickBot="1" x14ac:dyDescent="0.35">
      <c r="B76" s="287"/>
      <c r="D76" s="388" t="s">
        <v>854</v>
      </c>
      <c r="E76" s="378"/>
      <c r="F76" s="376"/>
      <c r="G76" s="295"/>
      <c r="H76" s="295"/>
      <c r="I76" s="295"/>
      <c r="L76" s="263" t="s">
        <v>837</v>
      </c>
      <c r="M76" s="264">
        <v>0.05</v>
      </c>
      <c r="N76" s="265">
        <f>M76*$G$28</f>
        <v>744.48160535117074</v>
      </c>
      <c r="O76" s="265">
        <f>N76*D66</f>
        <v>562.41862876254186</v>
      </c>
      <c r="P76" s="266">
        <v>0.2</v>
      </c>
      <c r="Q76" s="265">
        <f>P76*$G$28</f>
        <v>2977.926421404683</v>
      </c>
      <c r="R76" s="267">
        <f>Q76*D66</f>
        <v>2249.6745150501674</v>
      </c>
      <c r="S76" s="266">
        <v>0.25</v>
      </c>
      <c r="T76" s="265">
        <f t="shared" ref="T76:T79" si="12">$G$29*S76</f>
        <v>413.60089186176151</v>
      </c>
      <c r="U76" s="265">
        <f>T76*D66</f>
        <v>312.45479375696772</v>
      </c>
      <c r="V76" s="266">
        <v>0.4</v>
      </c>
      <c r="W76" s="265">
        <f t="shared" ref="W76:W79" si="13">$G$29*V76</f>
        <v>661.76142697881846</v>
      </c>
      <c r="X76" s="267">
        <f>W76*D66</f>
        <v>499.92767001114839</v>
      </c>
      <c r="Y76" s="266">
        <v>0.25</v>
      </c>
      <c r="Z76" s="265">
        <f t="shared" ref="Z76:Z79" si="14">$G$30*Y76</f>
        <v>0</v>
      </c>
      <c r="AA76" s="268">
        <f>Z76*D66</f>
        <v>0</v>
      </c>
      <c r="AB76" s="266">
        <v>0.3</v>
      </c>
      <c r="AC76" s="265">
        <f t="shared" ref="AC76:AC79" si="15">$G$30*AB76</f>
        <v>0</v>
      </c>
      <c r="AD76" s="269">
        <f>AC76*D66</f>
        <v>0</v>
      </c>
    </row>
    <row r="77" spans="2:30" ht="13.5" thickBot="1" x14ac:dyDescent="0.35">
      <c r="B77" s="296" t="s">
        <v>855</v>
      </c>
      <c r="D77" s="297"/>
      <c r="E77" s="298" t="s">
        <v>856</v>
      </c>
      <c r="F77" s="299"/>
      <c r="G77" s="155"/>
      <c r="H77" s="155"/>
      <c r="I77" s="155"/>
      <c r="L77" s="263" t="s">
        <v>838</v>
      </c>
      <c r="M77" s="264">
        <v>0</v>
      </c>
      <c r="N77" s="265">
        <f>M77*$G$28</f>
        <v>0</v>
      </c>
      <c r="O77" s="265">
        <f>N77*D67</f>
        <v>0</v>
      </c>
      <c r="P77" s="266">
        <v>0</v>
      </c>
      <c r="Q77" s="265">
        <f>P77*$G$28</f>
        <v>0</v>
      </c>
      <c r="R77" s="267">
        <f>Q77*D67</f>
        <v>0</v>
      </c>
      <c r="S77" s="266">
        <v>0</v>
      </c>
      <c r="T77" s="265">
        <f t="shared" si="12"/>
        <v>0</v>
      </c>
      <c r="U77" s="265">
        <f>T77*D67</f>
        <v>0</v>
      </c>
      <c r="V77" s="266">
        <v>0</v>
      </c>
      <c r="W77" s="265">
        <f t="shared" si="13"/>
        <v>0</v>
      </c>
      <c r="X77" s="267">
        <f>W77*D67</f>
        <v>0</v>
      </c>
      <c r="Y77" s="266">
        <v>0.15</v>
      </c>
      <c r="Z77" s="265">
        <f t="shared" si="14"/>
        <v>0</v>
      </c>
      <c r="AA77" s="268">
        <f>Z77*D67</f>
        <v>0</v>
      </c>
      <c r="AB77" s="266">
        <v>0.5</v>
      </c>
      <c r="AC77" s="265">
        <f t="shared" si="15"/>
        <v>0</v>
      </c>
      <c r="AD77" s="269">
        <f>AC77*D67</f>
        <v>0</v>
      </c>
    </row>
    <row r="78" spans="2:30" ht="13.5" thickBot="1" x14ac:dyDescent="0.35">
      <c r="B78" s="287" t="s">
        <v>763</v>
      </c>
      <c r="E78" s="300">
        <v>251.71</v>
      </c>
      <c r="F78" s="286"/>
      <c r="G78" s="155"/>
      <c r="H78" s="155"/>
      <c r="I78" s="155"/>
      <c r="L78" s="263" t="s">
        <v>839</v>
      </c>
      <c r="M78" s="264">
        <v>0.8</v>
      </c>
      <c r="N78" s="265">
        <f>M78*$G$28</f>
        <v>11911.705685618732</v>
      </c>
      <c r="O78" s="265">
        <f>N78*D68</f>
        <v>2836.7727090301009</v>
      </c>
      <c r="P78" s="266">
        <v>0.45</v>
      </c>
      <c r="Q78" s="265">
        <f>P78*$G$28</f>
        <v>6700.3344481605363</v>
      </c>
      <c r="R78" s="267">
        <f>Q78*D68</f>
        <v>1595.6846488294318</v>
      </c>
      <c r="S78" s="266">
        <v>0.25</v>
      </c>
      <c r="T78" s="265">
        <f t="shared" si="12"/>
        <v>413.60089186176151</v>
      </c>
      <c r="U78" s="265">
        <f>T78*D68</f>
        <v>98.499052396878497</v>
      </c>
      <c r="V78" s="266">
        <v>0.05</v>
      </c>
      <c r="W78" s="265">
        <f t="shared" si="13"/>
        <v>82.720178372352308</v>
      </c>
      <c r="X78" s="267">
        <f>W78*D68</f>
        <v>19.699810479375703</v>
      </c>
      <c r="Y78" s="266">
        <v>0</v>
      </c>
      <c r="Z78" s="265">
        <f t="shared" si="14"/>
        <v>0</v>
      </c>
      <c r="AA78" s="268">
        <f>Z78*D68</f>
        <v>0</v>
      </c>
      <c r="AB78" s="266">
        <v>0</v>
      </c>
      <c r="AC78" s="265">
        <f t="shared" si="15"/>
        <v>0</v>
      </c>
      <c r="AD78" s="269">
        <f>AC78*D68</f>
        <v>0</v>
      </c>
    </row>
    <row r="79" spans="2:30" ht="13.5" thickBot="1" x14ac:dyDescent="0.35">
      <c r="B79" s="287" t="s">
        <v>857</v>
      </c>
      <c r="E79" s="300">
        <v>304.49</v>
      </c>
      <c r="F79" s="286"/>
      <c r="G79" s="155"/>
      <c r="H79" s="155"/>
      <c r="I79" s="155"/>
      <c r="L79" s="263" t="s">
        <v>840</v>
      </c>
      <c r="M79" s="264">
        <v>0.05</v>
      </c>
      <c r="N79" s="265">
        <f>M79*$G$28</f>
        <v>744.48160535117074</v>
      </c>
      <c r="O79" s="265">
        <f>N79*D69</f>
        <v>289.64056856187301</v>
      </c>
      <c r="P79" s="266">
        <v>0</v>
      </c>
      <c r="Q79" s="265">
        <f>P79*$G$28</f>
        <v>0</v>
      </c>
      <c r="R79" s="267">
        <f>Q79*D69</f>
        <v>0</v>
      </c>
      <c r="S79" s="266">
        <v>0.15</v>
      </c>
      <c r="T79" s="265">
        <f t="shared" si="12"/>
        <v>248.1605351170569</v>
      </c>
      <c r="U79" s="265">
        <f>T79*D69</f>
        <v>96.546856187290985</v>
      </c>
      <c r="V79" s="266">
        <v>0.05</v>
      </c>
      <c r="W79" s="265">
        <f t="shared" si="13"/>
        <v>82.720178372352308</v>
      </c>
      <c r="X79" s="267">
        <f>W79*D69</f>
        <v>32.182285395763664</v>
      </c>
      <c r="Y79" s="266">
        <v>0.1</v>
      </c>
      <c r="Z79" s="265">
        <f t="shared" si="14"/>
        <v>0</v>
      </c>
      <c r="AA79" s="268">
        <f>Z79*D69</f>
        <v>0</v>
      </c>
      <c r="AB79" s="266">
        <v>0</v>
      </c>
      <c r="AC79" s="265">
        <f t="shared" si="15"/>
        <v>0</v>
      </c>
      <c r="AD79" s="269">
        <f>AC79*D69</f>
        <v>0</v>
      </c>
    </row>
    <row r="80" spans="2:30" ht="13.5" thickBot="1" x14ac:dyDescent="0.35">
      <c r="B80" s="287" t="s">
        <v>858</v>
      </c>
      <c r="E80" s="300">
        <v>320.62</v>
      </c>
      <c r="F80" s="286"/>
      <c r="G80" s="155"/>
      <c r="H80" s="155"/>
      <c r="I80" s="155"/>
      <c r="L80" s="270" t="s">
        <v>713</v>
      </c>
      <c r="M80" s="271">
        <f t="shared" ref="M80:AD80" si="16">SUM(M75:M79)</f>
        <v>1</v>
      </c>
      <c r="N80" s="272">
        <f t="shared" si="16"/>
        <v>14889.632107023415</v>
      </c>
      <c r="O80" s="273">
        <f t="shared" si="16"/>
        <v>4410.4207023411382</v>
      </c>
      <c r="P80" s="274">
        <f t="shared" si="16"/>
        <v>1</v>
      </c>
      <c r="Q80" s="272">
        <f t="shared" si="16"/>
        <v>14889.632107023413</v>
      </c>
      <c r="R80" s="275">
        <f t="shared" si="16"/>
        <v>6370.9199498327762</v>
      </c>
      <c r="S80" s="276">
        <f t="shared" si="16"/>
        <v>1</v>
      </c>
      <c r="T80" s="272">
        <f t="shared" si="16"/>
        <v>1654.403567447046</v>
      </c>
      <c r="U80" s="273">
        <f t="shared" si="16"/>
        <v>788.11856744704573</v>
      </c>
      <c r="V80" s="274">
        <f t="shared" si="16"/>
        <v>1</v>
      </c>
      <c r="W80" s="272">
        <f t="shared" si="16"/>
        <v>1654.4035674470463</v>
      </c>
      <c r="X80" s="275">
        <f t="shared" si="16"/>
        <v>952.69243032330007</v>
      </c>
      <c r="Y80" s="276">
        <f t="shared" si="16"/>
        <v>1</v>
      </c>
      <c r="Z80" s="272">
        <f t="shared" si="16"/>
        <v>0</v>
      </c>
      <c r="AA80" s="273">
        <f t="shared" si="16"/>
        <v>0</v>
      </c>
      <c r="AB80" s="274">
        <f t="shared" si="16"/>
        <v>1</v>
      </c>
      <c r="AC80" s="272">
        <f t="shared" si="16"/>
        <v>0</v>
      </c>
      <c r="AD80" s="278">
        <f t="shared" si="16"/>
        <v>0</v>
      </c>
    </row>
    <row r="81" spans="2:30" ht="14" thickTop="1" thickBot="1" x14ac:dyDescent="0.35">
      <c r="B81" s="287" t="s">
        <v>859</v>
      </c>
      <c r="E81" s="300">
        <v>370.64400000000001</v>
      </c>
      <c r="F81" s="286"/>
      <c r="G81" s="155"/>
      <c r="H81" s="155"/>
      <c r="I81" s="155"/>
      <c r="O81" s="292">
        <f>O80/R80</f>
        <v>0.69227375906000876</v>
      </c>
      <c r="R81" s="280">
        <f>R80/O80</f>
        <v>1.4445152469130589</v>
      </c>
      <c r="U81" s="279">
        <f>U80/X80</f>
        <v>0.82725394089632309</v>
      </c>
      <c r="X81" s="280">
        <f>X80/U80</f>
        <v>1.2088186596204158</v>
      </c>
      <c r="AA81" s="292" t="e">
        <f>AA80/AD80</f>
        <v>#DIV/0!</v>
      </c>
      <c r="AD81" s="281" t="e">
        <f>AD80/AA80</f>
        <v>#DIV/0!</v>
      </c>
    </row>
    <row r="82" spans="2:30" ht="16" thickTop="1" x14ac:dyDescent="0.35">
      <c r="G82" s="294"/>
      <c r="H82" s="294"/>
      <c r="I82" s="294"/>
      <c r="M82" s="389" t="s">
        <v>860</v>
      </c>
      <c r="N82" s="390"/>
      <c r="O82" s="390"/>
      <c r="P82" s="391"/>
      <c r="Q82" s="390"/>
      <c r="R82" s="392"/>
      <c r="S82" s="393" t="s">
        <v>861</v>
      </c>
      <c r="T82" s="390"/>
      <c r="U82" s="390"/>
      <c r="V82" s="391"/>
      <c r="W82" s="390"/>
      <c r="X82" s="392"/>
      <c r="Y82" s="393" t="s">
        <v>862</v>
      </c>
      <c r="Z82" s="390"/>
      <c r="AA82" s="390"/>
      <c r="AB82" s="391"/>
      <c r="AC82" s="390"/>
      <c r="AD82" s="394"/>
    </row>
    <row r="83" spans="2:30" ht="13" x14ac:dyDescent="0.3">
      <c r="G83" s="295"/>
      <c r="H83" s="295"/>
      <c r="I83" s="295"/>
      <c r="M83" s="384" t="s">
        <v>831</v>
      </c>
      <c r="N83" s="370"/>
      <c r="O83" s="370"/>
      <c r="P83" s="385" t="s">
        <v>832</v>
      </c>
      <c r="Q83" s="370"/>
      <c r="R83" s="386"/>
      <c r="S83" s="384" t="s">
        <v>831</v>
      </c>
      <c r="T83" s="370"/>
      <c r="U83" s="370"/>
      <c r="V83" s="385" t="s">
        <v>832</v>
      </c>
      <c r="W83" s="370"/>
      <c r="X83" s="386"/>
      <c r="Y83" s="384" t="s">
        <v>831</v>
      </c>
      <c r="Z83" s="370"/>
      <c r="AA83" s="370"/>
      <c r="AB83" s="385" t="s">
        <v>832</v>
      </c>
      <c r="AC83" s="370"/>
      <c r="AD83" s="386"/>
    </row>
    <row r="84" spans="2:30" ht="13.5" thickBot="1" x14ac:dyDescent="0.35">
      <c r="G84" s="155"/>
      <c r="H84" s="155"/>
      <c r="I84" s="155"/>
      <c r="M84" s="256" t="s">
        <v>833</v>
      </c>
      <c r="N84" s="257" t="s">
        <v>834</v>
      </c>
      <c r="O84" s="258" t="s">
        <v>835</v>
      </c>
      <c r="P84" s="259" t="s">
        <v>833</v>
      </c>
      <c r="Q84" s="257" t="s">
        <v>834</v>
      </c>
      <c r="R84" s="260" t="s">
        <v>835</v>
      </c>
      <c r="S84" s="261" t="s">
        <v>833</v>
      </c>
      <c r="T84" s="257" t="s">
        <v>834</v>
      </c>
      <c r="U84" s="258" t="s">
        <v>835</v>
      </c>
      <c r="V84" s="257" t="s">
        <v>833</v>
      </c>
      <c r="W84" s="257" t="s">
        <v>834</v>
      </c>
      <c r="X84" s="260" t="s">
        <v>835</v>
      </c>
      <c r="Y84" s="261" t="s">
        <v>833</v>
      </c>
      <c r="Z84" s="257" t="s">
        <v>834</v>
      </c>
      <c r="AA84" s="258" t="s">
        <v>835</v>
      </c>
      <c r="AB84" s="257" t="s">
        <v>833</v>
      </c>
      <c r="AC84" s="257" t="s">
        <v>834</v>
      </c>
      <c r="AD84" s="262" t="s">
        <v>835</v>
      </c>
    </row>
    <row r="85" spans="2:30" ht="13.5" thickBot="1" x14ac:dyDescent="0.35">
      <c r="G85" s="155"/>
      <c r="H85" s="155"/>
      <c r="I85" s="155"/>
      <c r="L85" s="263" t="s">
        <v>836</v>
      </c>
      <c r="M85" s="264">
        <v>0.1</v>
      </c>
      <c r="N85" s="265">
        <f>J$28*M85</f>
        <v>11078.595317725754</v>
      </c>
      <c r="O85" s="265">
        <f>N85*D65</f>
        <v>5368.9642558528431</v>
      </c>
      <c r="P85" s="266">
        <v>0.35</v>
      </c>
      <c r="Q85" s="265">
        <f>J$28*P85</f>
        <v>38775.083612040136</v>
      </c>
      <c r="R85" s="267">
        <f>Q85*D65</f>
        <v>18791.374895484951</v>
      </c>
      <c r="S85" s="266">
        <v>0.35</v>
      </c>
      <c r="T85" s="265">
        <f>J$29*S85</f>
        <v>4308.3426235600145</v>
      </c>
      <c r="U85" s="265">
        <f>T85*D65</f>
        <v>2087.9305439427721</v>
      </c>
      <c r="V85" s="266">
        <v>0.5</v>
      </c>
      <c r="W85" s="265">
        <f>J$29*V85</f>
        <v>6154.7751765143075</v>
      </c>
      <c r="X85" s="267">
        <f>W85*D65</f>
        <v>2982.757919918246</v>
      </c>
      <c r="Y85" s="266">
        <v>0.5</v>
      </c>
      <c r="Z85" s="265">
        <f>J$30*Y85</f>
        <v>0</v>
      </c>
      <c r="AA85" s="268">
        <f>Z85*D65</f>
        <v>0</v>
      </c>
      <c r="AB85" s="266">
        <v>0.2</v>
      </c>
      <c r="AC85" s="265">
        <f>J$30*AB85</f>
        <v>0</v>
      </c>
      <c r="AD85" s="269">
        <f>AC85*D65</f>
        <v>0</v>
      </c>
    </row>
    <row r="86" spans="2:30" ht="13.5" thickBot="1" x14ac:dyDescent="0.35">
      <c r="G86" s="155"/>
      <c r="H86" s="155"/>
      <c r="I86" s="155"/>
      <c r="L86" s="263" t="s">
        <v>837</v>
      </c>
      <c r="M86" s="264">
        <v>0.05</v>
      </c>
      <c r="N86" s="265">
        <f>J$28*M86</f>
        <v>5539.2976588628771</v>
      </c>
      <c r="O86" s="265">
        <f>N86*D66</f>
        <v>4184.6624163879605</v>
      </c>
      <c r="P86" s="266">
        <v>0.2</v>
      </c>
      <c r="Q86" s="265">
        <f>J$28*P86</f>
        <v>22157.190635451509</v>
      </c>
      <c r="R86" s="267">
        <f>Q86*D66</f>
        <v>16738.649665551842</v>
      </c>
      <c r="S86" s="266">
        <v>0.25</v>
      </c>
      <c r="T86" s="265">
        <f>J$29*S86</f>
        <v>3077.3875882571538</v>
      </c>
      <c r="U86" s="265">
        <f>T86*D66</f>
        <v>2324.8124535488669</v>
      </c>
      <c r="V86" s="266">
        <v>0.4</v>
      </c>
      <c r="W86" s="265">
        <f>J$29*V86</f>
        <v>4923.8201412114468</v>
      </c>
      <c r="X86" s="267">
        <f>W86*D66</f>
        <v>3719.6999256781874</v>
      </c>
      <c r="Y86" s="266">
        <v>0.25</v>
      </c>
      <c r="Z86" s="265">
        <f>J$30*Y86</f>
        <v>0</v>
      </c>
      <c r="AA86" s="268">
        <f>Z86*D66</f>
        <v>0</v>
      </c>
      <c r="AB86" s="266">
        <v>0.3</v>
      </c>
      <c r="AC86" s="265">
        <f>J$30*AB86</f>
        <v>0</v>
      </c>
      <c r="AD86" s="269">
        <f>AC86*D66</f>
        <v>0</v>
      </c>
    </row>
    <row r="87" spans="2:30" ht="13.5" thickBot="1" x14ac:dyDescent="0.35">
      <c r="G87" s="155"/>
      <c r="H87" s="155"/>
      <c r="I87" s="155"/>
      <c r="L87" s="263" t="s">
        <v>838</v>
      </c>
      <c r="M87" s="264">
        <v>0</v>
      </c>
      <c r="N87" s="265">
        <f>J$28*M87</f>
        <v>0</v>
      </c>
      <c r="O87" s="265">
        <f>N87*D67</f>
        <v>0</v>
      </c>
      <c r="P87" s="266">
        <v>0</v>
      </c>
      <c r="Q87" s="265">
        <f>J$28*P87</f>
        <v>0</v>
      </c>
      <c r="R87" s="267">
        <f>Q87*D67</f>
        <v>0</v>
      </c>
      <c r="S87" s="266">
        <v>0</v>
      </c>
      <c r="T87" s="265">
        <f>J$29*S87</f>
        <v>0</v>
      </c>
      <c r="U87" s="265">
        <f>T87*D67</f>
        <v>0</v>
      </c>
      <c r="V87" s="266">
        <v>0</v>
      </c>
      <c r="W87" s="265">
        <f>J$29*V87</f>
        <v>0</v>
      </c>
      <c r="X87" s="267">
        <f>W87*D67</f>
        <v>0</v>
      </c>
      <c r="Y87" s="266">
        <v>0.15</v>
      </c>
      <c r="Z87" s="265">
        <f>J$30*Y87</f>
        <v>0</v>
      </c>
      <c r="AA87" s="268">
        <f>Z87*D67</f>
        <v>0</v>
      </c>
      <c r="AB87" s="266">
        <v>0.5</v>
      </c>
      <c r="AC87" s="265">
        <f>J$30*AB87</f>
        <v>0</v>
      </c>
      <c r="AD87" s="269">
        <f>AC87*D67</f>
        <v>0</v>
      </c>
    </row>
    <row r="88" spans="2:30" ht="13.5" thickBot="1" x14ac:dyDescent="0.35">
      <c r="G88" s="155"/>
      <c r="H88" s="155"/>
      <c r="I88" s="155"/>
      <c r="L88" s="263" t="s">
        <v>839</v>
      </c>
      <c r="M88" s="264">
        <v>0.8</v>
      </c>
      <c r="N88" s="265">
        <f>J$28*M88</f>
        <v>88628.762541806034</v>
      </c>
      <c r="O88" s="265">
        <f>N88*D68</f>
        <v>21106.939799331107</v>
      </c>
      <c r="P88" s="266">
        <v>0.45</v>
      </c>
      <c r="Q88" s="265">
        <f>J$28*P88</f>
        <v>49853.678929765898</v>
      </c>
      <c r="R88" s="267">
        <f>Q88*D68</f>
        <v>11872.653637123749</v>
      </c>
      <c r="S88" s="266">
        <v>0.25</v>
      </c>
      <c r="T88" s="265">
        <f>J$29*S88</f>
        <v>3077.3875882571538</v>
      </c>
      <c r="U88" s="265">
        <f>T88*D68</f>
        <v>732.87985414344121</v>
      </c>
      <c r="V88" s="266">
        <v>0.05</v>
      </c>
      <c r="W88" s="265">
        <f>J$29*V88</f>
        <v>615.47751765143084</v>
      </c>
      <c r="X88" s="267">
        <f>W88*D68</f>
        <v>146.57597082868827</v>
      </c>
      <c r="Y88" s="266">
        <v>0</v>
      </c>
      <c r="Z88" s="265">
        <f>J$30*Y88</f>
        <v>0</v>
      </c>
      <c r="AA88" s="268">
        <f>Z88*D68</f>
        <v>0</v>
      </c>
      <c r="AB88" s="266">
        <v>0</v>
      </c>
      <c r="AC88" s="265">
        <f>J$30*AB88</f>
        <v>0</v>
      </c>
      <c r="AD88" s="269">
        <f>AC88*D68</f>
        <v>0</v>
      </c>
    </row>
    <row r="89" spans="2:30" ht="13.5" thickBot="1" x14ac:dyDescent="0.35">
      <c r="G89" s="294"/>
      <c r="H89" s="294"/>
      <c r="I89" s="294"/>
      <c r="L89" s="263" t="s">
        <v>840</v>
      </c>
      <c r="M89" s="264">
        <v>0.05</v>
      </c>
      <c r="N89" s="265">
        <f>J$28*M89</f>
        <v>5539.2976588628771</v>
      </c>
      <c r="O89" s="265">
        <f>N89*D69</f>
        <v>2155.0637541806022</v>
      </c>
      <c r="P89" s="266">
        <v>0</v>
      </c>
      <c r="Q89" s="265">
        <f>J$28*P89</f>
        <v>0</v>
      </c>
      <c r="R89" s="267">
        <f>Q89*D69</f>
        <v>0</v>
      </c>
      <c r="S89" s="266">
        <v>0.15</v>
      </c>
      <c r="T89" s="265">
        <f>J$29*S89</f>
        <v>1846.4325529542921</v>
      </c>
      <c r="U89" s="265">
        <f>T89*D69</f>
        <v>718.3545847268673</v>
      </c>
      <c r="V89" s="266">
        <v>0.05</v>
      </c>
      <c r="W89" s="265">
        <f>J$29*V89</f>
        <v>615.47751765143084</v>
      </c>
      <c r="X89" s="267">
        <f>W89*D69</f>
        <v>239.45152824228919</v>
      </c>
      <c r="Y89" s="266">
        <v>0.1</v>
      </c>
      <c r="Z89" s="265">
        <f>J$30*Y89</f>
        <v>0</v>
      </c>
      <c r="AA89" s="268">
        <f>Z89*D69</f>
        <v>0</v>
      </c>
      <c r="AB89" s="266">
        <v>0</v>
      </c>
      <c r="AC89" s="265">
        <f>J$30*AB89</f>
        <v>0</v>
      </c>
      <c r="AD89" s="269">
        <f>AC89*D69</f>
        <v>0</v>
      </c>
    </row>
    <row r="90" spans="2:30" ht="13.5" thickBot="1" x14ac:dyDescent="0.35">
      <c r="G90" s="295"/>
      <c r="H90" s="295"/>
      <c r="I90" s="295"/>
      <c r="L90" s="270" t="s">
        <v>713</v>
      </c>
      <c r="M90" s="271">
        <f t="shared" ref="M90:AD90" si="17">SUM(M85:M89)</f>
        <v>1</v>
      </c>
      <c r="N90" s="272">
        <f t="shared" si="17"/>
        <v>110785.95317725754</v>
      </c>
      <c r="O90" s="273">
        <f t="shared" si="17"/>
        <v>32815.630225752509</v>
      </c>
      <c r="P90" s="274">
        <f t="shared" si="17"/>
        <v>1</v>
      </c>
      <c r="Q90" s="272">
        <f t="shared" si="17"/>
        <v>110785.95317725754</v>
      </c>
      <c r="R90" s="275">
        <f t="shared" si="17"/>
        <v>47402.678198160545</v>
      </c>
      <c r="S90" s="276">
        <f t="shared" si="17"/>
        <v>1</v>
      </c>
      <c r="T90" s="272">
        <f t="shared" si="17"/>
        <v>12309.550353028615</v>
      </c>
      <c r="U90" s="273">
        <f t="shared" si="17"/>
        <v>5863.9774363619472</v>
      </c>
      <c r="V90" s="277">
        <f t="shared" si="17"/>
        <v>1</v>
      </c>
      <c r="W90" s="272">
        <f t="shared" si="17"/>
        <v>12309.550353028615</v>
      </c>
      <c r="X90" s="273">
        <f t="shared" si="17"/>
        <v>7088.4853446674106</v>
      </c>
      <c r="Y90" s="276">
        <f t="shared" si="17"/>
        <v>1</v>
      </c>
      <c r="Z90" s="272">
        <f t="shared" si="17"/>
        <v>0</v>
      </c>
      <c r="AA90" s="273">
        <f t="shared" si="17"/>
        <v>0</v>
      </c>
      <c r="AB90" s="277">
        <f t="shared" si="17"/>
        <v>1</v>
      </c>
      <c r="AC90" s="272">
        <f t="shared" si="17"/>
        <v>0</v>
      </c>
      <c r="AD90" s="275">
        <f t="shared" si="17"/>
        <v>0</v>
      </c>
    </row>
    <row r="91" spans="2:30" ht="14" thickTop="1" thickBot="1" x14ac:dyDescent="0.35">
      <c r="G91" s="155"/>
      <c r="H91" s="155"/>
      <c r="I91" s="155"/>
      <c r="O91" s="292">
        <f>O90/R90</f>
        <v>0.69227375906000843</v>
      </c>
      <c r="R91" s="280">
        <f>R90/O90</f>
        <v>1.4445152469130595</v>
      </c>
      <c r="U91" s="292">
        <f>U90/X90</f>
        <v>0.8272539408963232</v>
      </c>
      <c r="X91" s="280">
        <f>X90/U90</f>
        <v>1.2088186596204158</v>
      </c>
      <c r="AA91" s="292" t="e">
        <f>AA90/AD90</f>
        <v>#DIV/0!</v>
      </c>
      <c r="AD91" s="293" t="e">
        <f>AD90/AA90</f>
        <v>#DIV/0!</v>
      </c>
    </row>
    <row r="92" spans="2:30" ht="16" thickTop="1" x14ac:dyDescent="0.35">
      <c r="G92" s="155"/>
      <c r="H92" s="155"/>
      <c r="I92" s="155"/>
      <c r="L92" s="301"/>
      <c r="M92" s="380" t="s">
        <v>863</v>
      </c>
      <c r="N92" s="381"/>
      <c r="O92" s="381"/>
      <c r="P92" s="382"/>
      <c r="Q92" s="381"/>
      <c r="R92" s="383"/>
    </row>
    <row r="93" spans="2:30" ht="13" x14ac:dyDescent="0.3">
      <c r="G93" s="155"/>
      <c r="H93" s="155"/>
      <c r="I93" s="155"/>
      <c r="L93" s="301"/>
      <c r="M93" s="377" t="s">
        <v>831</v>
      </c>
      <c r="N93" s="378"/>
      <c r="O93" s="376"/>
      <c r="P93" s="377" t="s">
        <v>832</v>
      </c>
      <c r="Q93" s="378"/>
      <c r="R93" s="379"/>
    </row>
    <row r="94" spans="2:30" ht="13.5" thickBot="1" x14ac:dyDescent="0.35">
      <c r="G94" s="155"/>
      <c r="H94" s="155"/>
      <c r="I94" s="155"/>
      <c r="L94" s="301"/>
      <c r="M94" s="302" t="s">
        <v>833</v>
      </c>
      <c r="N94" s="303" t="s">
        <v>834</v>
      </c>
      <c r="O94" s="304" t="s">
        <v>835</v>
      </c>
      <c r="P94" s="302" t="s">
        <v>833</v>
      </c>
      <c r="Q94" s="303" t="s">
        <v>834</v>
      </c>
      <c r="R94" s="305" t="s">
        <v>835</v>
      </c>
    </row>
    <row r="95" spans="2:30" ht="13.5" thickBot="1" x14ac:dyDescent="0.35">
      <c r="L95" s="306" t="s">
        <v>836</v>
      </c>
      <c r="M95" s="307">
        <v>0</v>
      </c>
      <c r="N95" s="308">
        <f>$G$20*M96</f>
        <v>0</v>
      </c>
      <c r="O95" s="308">
        <f>N95*D65</f>
        <v>0</v>
      </c>
      <c r="P95" s="309">
        <v>0.05</v>
      </c>
      <c r="Q95" s="308">
        <f>$G$20*P95</f>
        <v>0</v>
      </c>
      <c r="R95" s="267">
        <f>$D65*Q95</f>
        <v>0</v>
      </c>
    </row>
    <row r="96" spans="2:30" ht="13.5" thickBot="1" x14ac:dyDescent="0.35">
      <c r="L96" s="306" t="s">
        <v>837</v>
      </c>
      <c r="M96" s="307">
        <v>0</v>
      </c>
      <c r="N96" s="308">
        <f t="shared" ref="N96:N99" si="18">$G$20*M97</f>
        <v>0</v>
      </c>
      <c r="O96" s="308">
        <f t="shared" ref="O96:O99" si="19">N96*D66</f>
        <v>0</v>
      </c>
      <c r="P96" s="310">
        <v>0.05</v>
      </c>
      <c r="Q96" s="308">
        <f t="shared" ref="Q96:Q99" si="20">$G$20*P96</f>
        <v>0</v>
      </c>
      <c r="R96" s="267">
        <f>$D66*Q96</f>
        <v>0</v>
      </c>
    </row>
    <row r="97" spans="2:23" ht="13.5" thickBot="1" x14ac:dyDescent="0.35">
      <c r="L97" s="306" t="s">
        <v>838</v>
      </c>
      <c r="M97" s="307">
        <v>0</v>
      </c>
      <c r="N97" s="308">
        <f t="shared" si="18"/>
        <v>0</v>
      </c>
      <c r="O97" s="308">
        <f t="shared" si="19"/>
        <v>0</v>
      </c>
      <c r="P97" s="309">
        <v>0</v>
      </c>
      <c r="Q97" s="308">
        <f t="shared" si="20"/>
        <v>0</v>
      </c>
      <c r="R97" s="267">
        <f>$D67*Q97</f>
        <v>0</v>
      </c>
    </row>
    <row r="98" spans="2:23" ht="13.5" thickBot="1" x14ac:dyDescent="0.35">
      <c r="L98" s="306" t="s">
        <v>839</v>
      </c>
      <c r="M98" s="307">
        <v>1</v>
      </c>
      <c r="N98" s="308">
        <f t="shared" si="18"/>
        <v>0</v>
      </c>
      <c r="O98" s="308">
        <f t="shared" si="19"/>
        <v>0</v>
      </c>
      <c r="P98" s="309">
        <v>0.9</v>
      </c>
      <c r="Q98" s="308">
        <f t="shared" si="20"/>
        <v>0</v>
      </c>
      <c r="R98" s="267">
        <f>$D68*Q98</f>
        <v>0</v>
      </c>
    </row>
    <row r="99" spans="2:23" ht="13.5" thickBot="1" x14ac:dyDescent="0.35">
      <c r="L99" s="306" t="s">
        <v>840</v>
      </c>
      <c r="M99" s="307">
        <v>0</v>
      </c>
      <c r="N99" s="308">
        <f t="shared" si="18"/>
        <v>0</v>
      </c>
      <c r="O99" s="308">
        <f t="shared" si="19"/>
        <v>0</v>
      </c>
      <c r="P99" s="309">
        <v>0</v>
      </c>
      <c r="Q99" s="308">
        <f t="shared" si="20"/>
        <v>0</v>
      </c>
      <c r="R99" s="267">
        <f>$D69*Q99</f>
        <v>0</v>
      </c>
    </row>
    <row r="100" spans="2:23" ht="13.5" thickBot="1" x14ac:dyDescent="0.35">
      <c r="L100" s="311" t="s">
        <v>713</v>
      </c>
      <c r="M100" s="312">
        <f t="shared" ref="M100:R100" si="21">SUM(M95:M99)</f>
        <v>1</v>
      </c>
      <c r="N100" s="313">
        <f>SUM(N95:N99)</f>
        <v>0</v>
      </c>
      <c r="O100" s="314">
        <f>SUM(O95:O99)</f>
        <v>0</v>
      </c>
      <c r="P100" s="312">
        <f t="shared" si="21"/>
        <v>1</v>
      </c>
      <c r="Q100" s="313">
        <f>SUM(Q95:Q99)</f>
        <v>0</v>
      </c>
      <c r="R100" s="315">
        <f t="shared" si="21"/>
        <v>0</v>
      </c>
    </row>
    <row r="101" spans="2:23" ht="14" thickTop="1" thickBot="1" x14ac:dyDescent="0.35">
      <c r="L101" s="316"/>
      <c r="M101" s="317"/>
      <c r="N101" s="317"/>
      <c r="O101" s="318" t="e">
        <f>O100/R100</f>
        <v>#DIV/0!</v>
      </c>
      <c r="P101" s="317"/>
      <c r="Q101" s="317"/>
      <c r="R101" s="319" t="e">
        <f>R100/O100</f>
        <v>#DIV/0!</v>
      </c>
    </row>
    <row r="102" spans="2:23" ht="16" thickTop="1" x14ac:dyDescent="0.35">
      <c r="L102" s="301"/>
      <c r="M102" s="380" t="s">
        <v>864</v>
      </c>
      <c r="N102" s="381"/>
      <c r="O102" s="381"/>
      <c r="P102" s="382"/>
      <c r="Q102" s="381"/>
      <c r="R102" s="383"/>
    </row>
    <row r="103" spans="2:23" ht="13" x14ac:dyDescent="0.3">
      <c r="L103" s="301"/>
      <c r="M103" s="377" t="s">
        <v>831</v>
      </c>
      <c r="N103" s="378"/>
      <c r="O103" s="376"/>
      <c r="P103" s="377" t="s">
        <v>832</v>
      </c>
      <c r="Q103" s="378"/>
      <c r="R103" s="379"/>
    </row>
    <row r="104" spans="2:23" ht="13.5" thickBot="1" x14ac:dyDescent="0.35">
      <c r="L104" s="301"/>
      <c r="M104" s="302" t="s">
        <v>833</v>
      </c>
      <c r="N104" s="303" t="s">
        <v>834</v>
      </c>
      <c r="O104" s="304" t="s">
        <v>835</v>
      </c>
      <c r="P104" s="302" t="s">
        <v>833</v>
      </c>
      <c r="Q104" s="303" t="s">
        <v>834</v>
      </c>
      <c r="R104" s="305" t="s">
        <v>835</v>
      </c>
    </row>
    <row r="105" spans="2:23" ht="13.5" thickBot="1" x14ac:dyDescent="0.35">
      <c r="L105" s="306" t="s">
        <v>836</v>
      </c>
      <c r="M105" s="307">
        <v>0</v>
      </c>
      <c r="N105" s="308">
        <f>$J$21*M105</f>
        <v>0</v>
      </c>
      <c r="O105" s="308">
        <f>$D65*N105</f>
        <v>0</v>
      </c>
      <c r="P105" s="309">
        <v>0.05</v>
      </c>
      <c r="Q105" s="308">
        <f>$J$21*P105</f>
        <v>0</v>
      </c>
      <c r="R105" s="267">
        <f>$D65*Q105</f>
        <v>0</v>
      </c>
    </row>
    <row r="106" spans="2:23" ht="13.5" thickBot="1" x14ac:dyDescent="0.35">
      <c r="L106" s="306" t="s">
        <v>837</v>
      </c>
      <c r="M106" s="307">
        <v>0</v>
      </c>
      <c r="N106" s="308">
        <f t="shared" ref="N106:N109" si="22">$J$21*M106</f>
        <v>0</v>
      </c>
      <c r="O106" s="308">
        <f>$D66*N106</f>
        <v>0</v>
      </c>
      <c r="P106" s="310">
        <v>0.05</v>
      </c>
      <c r="Q106" s="308">
        <f>$J$21*P106</f>
        <v>0</v>
      </c>
      <c r="R106" s="267">
        <f>$D66*Q106</f>
        <v>0</v>
      </c>
    </row>
    <row r="107" spans="2:23" ht="13.5" thickBot="1" x14ac:dyDescent="0.35">
      <c r="L107" s="306" t="s">
        <v>838</v>
      </c>
      <c r="M107" s="307">
        <v>0</v>
      </c>
      <c r="N107" s="308">
        <f t="shared" si="22"/>
        <v>0</v>
      </c>
      <c r="O107" s="308">
        <f>$D67*N107</f>
        <v>0</v>
      </c>
      <c r="P107" s="309">
        <v>0</v>
      </c>
      <c r="Q107" s="308">
        <f>$J$21*P107</f>
        <v>0</v>
      </c>
      <c r="R107" s="267">
        <f>$D67*Q107</f>
        <v>0</v>
      </c>
    </row>
    <row r="108" spans="2:23" ht="13.5" thickBot="1" x14ac:dyDescent="0.35">
      <c r="L108" s="306" t="s">
        <v>839</v>
      </c>
      <c r="M108" s="307">
        <v>1</v>
      </c>
      <c r="N108" s="308">
        <f t="shared" si="22"/>
        <v>0</v>
      </c>
      <c r="O108" s="308">
        <f>$D68*N108</f>
        <v>0</v>
      </c>
      <c r="P108" s="309">
        <v>0.9</v>
      </c>
      <c r="Q108" s="308">
        <f>$J$21*P108</f>
        <v>0</v>
      </c>
      <c r="R108" s="267">
        <f>$D68*Q108</f>
        <v>0</v>
      </c>
    </row>
    <row r="109" spans="2:23" ht="13.5" thickBot="1" x14ac:dyDescent="0.35">
      <c r="L109" s="306" t="s">
        <v>840</v>
      </c>
      <c r="M109" s="307">
        <v>0</v>
      </c>
      <c r="N109" s="308">
        <f t="shared" si="22"/>
        <v>0</v>
      </c>
      <c r="O109" s="308">
        <f>$D69*N109</f>
        <v>0</v>
      </c>
      <c r="P109" s="309">
        <v>0</v>
      </c>
      <c r="Q109" s="308">
        <f>$J$21*P109</f>
        <v>0</v>
      </c>
      <c r="R109" s="267">
        <f>$D69*Q109</f>
        <v>0</v>
      </c>
    </row>
    <row r="110" spans="2:23" ht="13.5" thickBot="1" x14ac:dyDescent="0.35">
      <c r="L110" s="311" t="s">
        <v>713</v>
      </c>
      <c r="M110" s="312">
        <f t="shared" ref="M110:R110" si="23">SUM(M105:M109)</f>
        <v>1</v>
      </c>
      <c r="N110" s="313">
        <f t="shared" si="23"/>
        <v>0</v>
      </c>
      <c r="O110" s="314">
        <f t="shared" si="23"/>
        <v>0</v>
      </c>
      <c r="P110" s="312">
        <f t="shared" si="23"/>
        <v>1</v>
      </c>
      <c r="Q110" s="313">
        <f t="shared" si="23"/>
        <v>0</v>
      </c>
      <c r="R110" s="315">
        <f t="shared" si="23"/>
        <v>0</v>
      </c>
    </row>
    <row r="111" spans="2:23" ht="13.5" thickTop="1" x14ac:dyDescent="0.3">
      <c r="B111" s="320" t="s">
        <v>865</v>
      </c>
      <c r="C111" s="179"/>
      <c r="L111" s="316"/>
      <c r="M111" s="316"/>
      <c r="N111" s="316"/>
      <c r="O111" s="321" t="e">
        <f>O110/R110</f>
        <v>#DIV/0!</v>
      </c>
      <c r="P111" s="316"/>
      <c r="Q111" s="316"/>
      <c r="R111" s="322" t="e">
        <f>R110/O110</f>
        <v>#DIV/0!</v>
      </c>
    </row>
    <row r="112" spans="2:23" ht="15.5" x14ac:dyDescent="0.35">
      <c r="B112" s="179"/>
      <c r="C112" s="320" t="s">
        <v>866</v>
      </c>
      <c r="M112" s="374"/>
      <c r="N112" s="373"/>
      <c r="O112" s="373"/>
      <c r="P112" s="374"/>
      <c r="Q112" s="373"/>
      <c r="R112" s="373"/>
      <c r="T112" s="323" t="s">
        <v>867</v>
      </c>
      <c r="U112" s="324"/>
      <c r="V112" s="324"/>
      <c r="W112" s="325"/>
    </row>
    <row r="113" spans="3:23" ht="13" x14ac:dyDescent="0.3">
      <c r="C113" s="326">
        <v>0</v>
      </c>
      <c r="M113" s="372"/>
      <c r="N113" s="373"/>
      <c r="O113" s="373"/>
      <c r="P113" s="372"/>
      <c r="Q113" s="373"/>
      <c r="R113" s="373"/>
      <c r="T113" s="296" t="s">
        <v>868</v>
      </c>
      <c r="U113" s="254" t="s">
        <v>777</v>
      </c>
      <c r="V113" s="375" t="s">
        <v>869</v>
      </c>
      <c r="W113" s="376"/>
    </row>
    <row r="114" spans="3:23" ht="13" x14ac:dyDescent="0.3">
      <c r="C114" s="326">
        <v>0.1</v>
      </c>
      <c r="M114" s="257"/>
      <c r="N114" s="257"/>
      <c r="O114" s="257"/>
      <c r="P114" s="257"/>
      <c r="Q114" s="257"/>
      <c r="R114" s="257"/>
      <c r="T114" s="154" t="s">
        <v>870</v>
      </c>
      <c r="U114" s="327" t="s">
        <v>871</v>
      </c>
      <c r="V114" s="280">
        <f>R81</f>
        <v>1.4445152469130589</v>
      </c>
      <c r="W114" s="328"/>
    </row>
    <row r="115" spans="3:23" ht="13" x14ac:dyDescent="0.3">
      <c r="C115" s="326">
        <v>0.2</v>
      </c>
      <c r="L115" s="263"/>
      <c r="M115" s="292"/>
      <c r="N115" s="265"/>
      <c r="O115" s="265"/>
      <c r="P115" s="292"/>
      <c r="Q115" s="265"/>
      <c r="R115" s="265"/>
      <c r="T115" s="287" t="s">
        <v>870</v>
      </c>
      <c r="U115" s="327" t="s">
        <v>872</v>
      </c>
      <c r="V115" s="280">
        <f>X81</f>
        <v>1.2088186596204158</v>
      </c>
      <c r="W115" s="328"/>
    </row>
    <row r="116" spans="3:23" ht="13" x14ac:dyDescent="0.3">
      <c r="C116" s="326">
        <v>0.3</v>
      </c>
      <c r="L116" s="263"/>
      <c r="M116" s="292"/>
      <c r="N116" s="265"/>
      <c r="O116" s="265"/>
      <c r="P116" s="292"/>
      <c r="Q116" s="265"/>
      <c r="R116" s="265"/>
      <c r="T116" s="287" t="s">
        <v>870</v>
      </c>
      <c r="U116" s="327" t="s">
        <v>873</v>
      </c>
      <c r="V116" s="280" t="e">
        <f>AD81</f>
        <v>#DIV/0!</v>
      </c>
      <c r="W116" s="328"/>
    </row>
    <row r="117" spans="3:23" ht="13" x14ac:dyDescent="0.3">
      <c r="C117" s="326">
        <v>0.4</v>
      </c>
      <c r="L117" s="263"/>
      <c r="M117" s="292"/>
      <c r="N117" s="265"/>
      <c r="O117" s="265"/>
      <c r="P117" s="292"/>
      <c r="Q117" s="265"/>
      <c r="R117" s="265"/>
    </row>
    <row r="118" spans="3:23" ht="13" x14ac:dyDescent="0.3">
      <c r="C118" s="326">
        <v>0.5</v>
      </c>
      <c r="L118" s="263"/>
      <c r="M118" s="292"/>
      <c r="N118" s="265"/>
      <c r="O118" s="265"/>
      <c r="P118" s="292"/>
      <c r="Q118" s="265"/>
      <c r="R118" s="265"/>
    </row>
    <row r="119" spans="3:23" ht="13" x14ac:dyDescent="0.3">
      <c r="C119" s="326">
        <v>0.6</v>
      </c>
      <c r="L119" s="263"/>
      <c r="M119" s="292"/>
      <c r="N119" s="265"/>
      <c r="O119" s="265"/>
      <c r="P119" s="292"/>
      <c r="Q119" s="265"/>
      <c r="R119" s="265"/>
    </row>
    <row r="120" spans="3:23" ht="13" x14ac:dyDescent="0.3">
      <c r="L120" s="270"/>
      <c r="M120" s="292"/>
      <c r="N120" s="265"/>
      <c r="O120" s="329"/>
      <c r="P120" s="292"/>
      <c r="Q120" s="265"/>
      <c r="R120" s="329"/>
    </row>
    <row r="121" spans="3:23" ht="13" x14ac:dyDescent="0.3">
      <c r="O121" s="292"/>
      <c r="R121" s="280"/>
    </row>
    <row r="122" spans="3:23" ht="15.5" x14ac:dyDescent="0.35">
      <c r="M122" s="374"/>
      <c r="N122" s="373"/>
      <c r="O122" s="373"/>
      <c r="P122" s="374"/>
      <c r="Q122" s="373"/>
      <c r="R122" s="373"/>
    </row>
    <row r="123" spans="3:23" ht="13" x14ac:dyDescent="0.3">
      <c r="M123" s="372"/>
      <c r="N123" s="373"/>
      <c r="O123" s="373"/>
      <c r="P123" s="372"/>
      <c r="Q123" s="373"/>
      <c r="R123" s="373"/>
    </row>
    <row r="124" spans="3:23" ht="13" x14ac:dyDescent="0.3">
      <c r="K124" s="254"/>
      <c r="M124" s="257"/>
      <c r="N124" s="257"/>
      <c r="O124" s="257"/>
      <c r="P124" s="257"/>
      <c r="Q124" s="257"/>
      <c r="R124" s="257"/>
    </row>
    <row r="125" spans="3:23" ht="13" x14ac:dyDescent="0.3">
      <c r="L125" s="263"/>
      <c r="M125" s="292"/>
      <c r="N125" s="265"/>
      <c r="O125" s="265"/>
      <c r="P125" s="292"/>
      <c r="Q125" s="265"/>
      <c r="R125" s="265"/>
    </row>
    <row r="126" spans="3:23" ht="13" x14ac:dyDescent="0.3">
      <c r="L126" s="263"/>
      <c r="M126" s="292"/>
      <c r="N126" s="265"/>
      <c r="O126" s="265"/>
      <c r="P126" s="292"/>
      <c r="Q126" s="265"/>
      <c r="R126" s="265"/>
    </row>
    <row r="127" spans="3:23" ht="13" x14ac:dyDescent="0.3">
      <c r="J127" s="270"/>
      <c r="L127" s="263"/>
      <c r="M127" s="292"/>
      <c r="N127" s="265"/>
      <c r="O127" s="265"/>
      <c r="P127" s="292"/>
      <c r="Q127" s="265"/>
      <c r="R127" s="265"/>
    </row>
    <row r="128" spans="3:23" ht="13" x14ac:dyDescent="0.3">
      <c r="J128" s="270"/>
      <c r="L128" s="263"/>
      <c r="M128" s="292"/>
      <c r="N128" s="265"/>
      <c r="O128" s="265"/>
      <c r="P128" s="292"/>
      <c r="Q128" s="265"/>
      <c r="R128" s="265"/>
    </row>
    <row r="129" spans="10:18" ht="13" x14ac:dyDescent="0.3">
      <c r="J129" s="270"/>
      <c r="L129" s="263"/>
      <c r="M129" s="292"/>
      <c r="N129" s="265"/>
      <c r="O129" s="265"/>
      <c r="P129" s="292"/>
      <c r="Q129" s="265"/>
      <c r="R129" s="265"/>
    </row>
    <row r="130" spans="10:18" ht="13" x14ac:dyDescent="0.3">
      <c r="J130" s="270"/>
      <c r="L130" s="270"/>
      <c r="M130" s="292"/>
      <c r="N130" s="265"/>
      <c r="O130" s="329"/>
      <c r="P130" s="292"/>
      <c r="Q130" s="265"/>
      <c r="R130" s="329"/>
    </row>
    <row r="131" spans="10:18" ht="13" x14ac:dyDescent="0.3">
      <c r="J131" s="270"/>
      <c r="O131" s="292"/>
      <c r="R131" s="280"/>
    </row>
    <row r="132" spans="10:18" ht="15.5" x14ac:dyDescent="0.35">
      <c r="J132" s="270"/>
      <c r="M132" s="374"/>
      <c r="N132" s="373"/>
      <c r="O132" s="373"/>
      <c r="P132" s="374"/>
      <c r="Q132" s="373"/>
      <c r="R132" s="373"/>
    </row>
    <row r="133" spans="10:18" ht="13" x14ac:dyDescent="0.3">
      <c r="M133" s="372"/>
      <c r="N133" s="373"/>
      <c r="O133" s="373"/>
      <c r="P133" s="372"/>
      <c r="Q133" s="373"/>
      <c r="R133" s="373"/>
    </row>
    <row r="134" spans="10:18" ht="13" x14ac:dyDescent="0.3">
      <c r="M134" s="257"/>
      <c r="N134" s="257"/>
      <c r="O134" s="257"/>
      <c r="P134" s="257"/>
      <c r="Q134" s="257"/>
      <c r="R134" s="257"/>
    </row>
    <row r="135" spans="10:18" ht="13" x14ac:dyDescent="0.3">
      <c r="L135" s="263"/>
      <c r="M135" s="292"/>
      <c r="N135" s="265"/>
      <c r="O135" s="265"/>
      <c r="P135" s="292"/>
      <c r="Q135" s="265"/>
      <c r="R135" s="265"/>
    </row>
    <row r="136" spans="10:18" ht="13" x14ac:dyDescent="0.3">
      <c r="L136" s="263"/>
      <c r="M136" s="292"/>
      <c r="N136" s="265"/>
      <c r="O136" s="265"/>
      <c r="P136" s="292"/>
      <c r="Q136" s="265"/>
      <c r="R136" s="265"/>
    </row>
    <row r="137" spans="10:18" ht="13" x14ac:dyDescent="0.3">
      <c r="J137" s="270"/>
      <c r="L137" s="263"/>
      <c r="M137" s="292"/>
      <c r="N137" s="265"/>
      <c r="O137" s="265"/>
      <c r="P137" s="292"/>
      <c r="Q137" s="265"/>
      <c r="R137" s="265"/>
    </row>
    <row r="138" spans="10:18" ht="13" x14ac:dyDescent="0.3">
      <c r="J138" s="270"/>
      <c r="L138" s="263"/>
      <c r="M138" s="292"/>
      <c r="N138" s="265"/>
      <c r="O138" s="265"/>
      <c r="P138" s="292"/>
      <c r="Q138" s="265"/>
      <c r="R138" s="265"/>
    </row>
    <row r="139" spans="10:18" ht="13" x14ac:dyDescent="0.3">
      <c r="J139" s="270"/>
      <c r="L139" s="263"/>
      <c r="M139" s="292"/>
      <c r="N139" s="265"/>
      <c r="O139" s="265"/>
      <c r="P139" s="292"/>
      <c r="Q139" s="265"/>
      <c r="R139" s="265"/>
    </row>
    <row r="140" spans="10:18" ht="13" x14ac:dyDescent="0.3">
      <c r="J140" s="270"/>
      <c r="L140" s="270"/>
      <c r="M140" s="292"/>
      <c r="N140" s="265"/>
      <c r="O140" s="329"/>
      <c r="P140" s="292"/>
      <c r="Q140" s="265"/>
      <c r="R140" s="329"/>
    </row>
    <row r="141" spans="10:18" ht="13" x14ac:dyDescent="0.3">
      <c r="J141" s="270"/>
      <c r="O141" s="292"/>
      <c r="R141" s="280"/>
    </row>
    <row r="142" spans="10:18" ht="15.5" x14ac:dyDescent="0.35">
      <c r="J142" s="270"/>
      <c r="M142" s="374"/>
      <c r="N142" s="373"/>
      <c r="O142" s="373"/>
      <c r="P142" s="374"/>
      <c r="Q142" s="373"/>
      <c r="R142" s="373"/>
    </row>
    <row r="143" spans="10:18" ht="13" x14ac:dyDescent="0.3">
      <c r="M143" s="372"/>
      <c r="N143" s="373"/>
      <c r="O143" s="373"/>
      <c r="P143" s="372"/>
      <c r="Q143" s="373"/>
      <c r="R143" s="373"/>
    </row>
    <row r="144" spans="10:18" ht="13" x14ac:dyDescent="0.3">
      <c r="M144" s="257"/>
      <c r="N144" s="257"/>
      <c r="O144" s="257"/>
      <c r="P144" s="257"/>
      <c r="Q144" s="257"/>
      <c r="R144" s="257"/>
    </row>
    <row r="145" spans="4:18" ht="13" x14ac:dyDescent="0.3">
      <c r="L145" s="263"/>
      <c r="M145" s="292"/>
      <c r="N145" s="265"/>
      <c r="O145" s="265"/>
      <c r="P145" s="292"/>
      <c r="Q145" s="265"/>
      <c r="R145" s="265"/>
    </row>
    <row r="146" spans="4:18" ht="13" x14ac:dyDescent="0.3">
      <c r="J146" s="270"/>
      <c r="L146" s="263"/>
      <c r="M146" s="292"/>
      <c r="N146" s="265"/>
      <c r="O146" s="265"/>
      <c r="P146" s="292"/>
      <c r="Q146" s="265"/>
      <c r="R146" s="265"/>
    </row>
    <row r="147" spans="4:18" ht="13" x14ac:dyDescent="0.3">
      <c r="J147" s="270"/>
      <c r="L147" s="263"/>
      <c r="M147" s="292"/>
      <c r="N147" s="265"/>
      <c r="O147" s="265"/>
      <c r="P147" s="292"/>
      <c r="Q147" s="265"/>
      <c r="R147" s="265"/>
    </row>
    <row r="148" spans="4:18" ht="13" x14ac:dyDescent="0.3">
      <c r="J148" s="270"/>
      <c r="L148" s="263"/>
      <c r="M148" s="292"/>
      <c r="N148" s="265"/>
      <c r="O148" s="265"/>
      <c r="P148" s="292"/>
      <c r="Q148" s="265"/>
      <c r="R148" s="265"/>
    </row>
    <row r="149" spans="4:18" ht="13" x14ac:dyDescent="0.3">
      <c r="J149" s="270"/>
      <c r="L149" s="263"/>
      <c r="M149" s="292"/>
      <c r="N149" s="265"/>
      <c r="O149" s="265"/>
      <c r="P149" s="292"/>
      <c r="Q149" s="265"/>
      <c r="R149" s="265"/>
    </row>
    <row r="150" spans="4:18" ht="13" x14ac:dyDescent="0.3">
      <c r="J150" s="270"/>
      <c r="L150" s="270"/>
      <c r="M150" s="292"/>
      <c r="N150" s="265"/>
      <c r="O150" s="329"/>
      <c r="P150" s="292"/>
      <c r="Q150" s="265"/>
      <c r="R150" s="329"/>
    </row>
    <row r="151" spans="4:18" ht="13" x14ac:dyDescent="0.3">
      <c r="J151" s="270"/>
      <c r="O151" s="292"/>
      <c r="R151" s="280"/>
    </row>
    <row r="152" spans="4:18" ht="13" x14ac:dyDescent="0.3"/>
    <row r="153" spans="4:18" ht="13" x14ac:dyDescent="0.3"/>
    <row r="154" spans="4:18" ht="13" x14ac:dyDescent="0.3"/>
    <row r="155" spans="4:18" ht="13" x14ac:dyDescent="0.3"/>
    <row r="156" spans="4:18" ht="13" x14ac:dyDescent="0.3"/>
    <row r="157" spans="4:18" ht="13" x14ac:dyDescent="0.3"/>
    <row r="158" spans="4:18" ht="13" x14ac:dyDescent="0.3"/>
    <row r="159" spans="4:18" ht="13" x14ac:dyDescent="0.3">
      <c r="D159" s="298" t="s">
        <v>874</v>
      </c>
      <c r="E159" s="298" t="s">
        <v>875</v>
      </c>
      <c r="F159" s="298" t="s">
        <v>834</v>
      </c>
    </row>
    <row r="160" spans="4:18" ht="15.5" x14ac:dyDescent="0.35">
      <c r="D160" s="254" t="s">
        <v>876</v>
      </c>
      <c r="E160" s="155" t="s">
        <v>877</v>
      </c>
      <c r="F160" s="265">
        <v>22477</v>
      </c>
      <c r="J160" s="330" t="s">
        <v>878</v>
      </c>
      <c r="K160" s="331"/>
      <c r="L160" s="331"/>
      <c r="M160" s="332"/>
      <c r="N160" s="369" t="s">
        <v>879</v>
      </c>
      <c r="O160" s="370"/>
      <c r="P160" s="371"/>
    </row>
    <row r="161" spans="4:23" ht="15.75" customHeight="1" x14ac:dyDescent="0.3">
      <c r="D161" s="254" t="s">
        <v>880</v>
      </c>
      <c r="E161" s="155" t="s">
        <v>877</v>
      </c>
      <c r="F161" s="265">
        <v>14887</v>
      </c>
      <c r="J161" s="333" t="s">
        <v>881</v>
      </c>
      <c r="K161" s="298"/>
      <c r="L161" s="334" t="s">
        <v>882</v>
      </c>
      <c r="M161" s="286"/>
      <c r="N161" s="333" t="s">
        <v>881</v>
      </c>
      <c r="O161" s="334" t="s">
        <v>882</v>
      </c>
      <c r="P161" s="286"/>
      <c r="W161" s="155" t="s">
        <v>883</v>
      </c>
    </row>
    <row r="162" spans="4:23" ht="15.75" customHeight="1" x14ac:dyDescent="0.3">
      <c r="D162" s="254" t="s">
        <v>884</v>
      </c>
      <c r="E162" s="155" t="s">
        <v>877</v>
      </c>
      <c r="F162" s="265">
        <v>31913</v>
      </c>
      <c r="G162" s="298"/>
      <c r="H162" s="298"/>
      <c r="I162" s="298"/>
      <c r="J162" s="335" t="s">
        <v>885</v>
      </c>
      <c r="K162" s="298" t="s">
        <v>886</v>
      </c>
      <c r="L162" s="336" t="s">
        <v>887</v>
      </c>
      <c r="M162" s="337" t="s">
        <v>888</v>
      </c>
      <c r="N162" s="335" t="s">
        <v>889</v>
      </c>
      <c r="O162" s="336" t="s">
        <v>889</v>
      </c>
      <c r="P162" s="337" t="s">
        <v>888</v>
      </c>
      <c r="W162" s="155" t="s">
        <v>890</v>
      </c>
    </row>
    <row r="163" spans="4:23" ht="15.75" customHeight="1" x14ac:dyDescent="0.3">
      <c r="D163" s="254" t="s">
        <v>891</v>
      </c>
      <c r="E163" s="155" t="s">
        <v>877</v>
      </c>
      <c r="F163" s="265">
        <v>17285</v>
      </c>
      <c r="G163" s="265"/>
      <c r="H163" s="265"/>
      <c r="I163" s="265"/>
      <c r="J163" s="338">
        <f>F160*D65</f>
        <v>10892.916125</v>
      </c>
      <c r="K163" s="265">
        <f t="shared" ref="K163:K169" si="24">J163/1.308</f>
        <v>8327.9175267584087</v>
      </c>
      <c r="L163" s="265">
        <v>5541.83</v>
      </c>
      <c r="M163" s="339">
        <f t="shared" ref="M163:M169" si="25">1-(L163/K163)</f>
        <v>0.33454792483312168</v>
      </c>
      <c r="N163" s="338">
        <f>J163*E79</f>
        <v>3316784.03090125</v>
      </c>
      <c r="O163" s="265">
        <v>2532180</v>
      </c>
      <c r="P163" s="339">
        <f t="shared" ref="P163:P169" si="26">1-(O163/N163)</f>
        <v>0.23655565861128869</v>
      </c>
    </row>
    <row r="164" spans="4:23" ht="15.75" customHeight="1" x14ac:dyDescent="0.3">
      <c r="D164" s="254" t="s">
        <v>892</v>
      </c>
      <c r="E164" s="155" t="s">
        <v>877</v>
      </c>
      <c r="F164" s="265">
        <v>20509</v>
      </c>
      <c r="G164" s="265"/>
      <c r="H164" s="265"/>
      <c r="I164" s="265"/>
      <c r="J164" s="338">
        <f>F161*D65</f>
        <v>7214.6123749999997</v>
      </c>
      <c r="K164" s="265">
        <f t="shared" si="24"/>
        <v>5515.7586964831798</v>
      </c>
      <c r="L164" s="265">
        <v>4730.2700000000004</v>
      </c>
      <c r="M164" s="339">
        <f t="shared" si="25"/>
        <v>0.14240809645715702</v>
      </c>
      <c r="N164" s="338">
        <f>J164*E80</f>
        <v>2313149.0196725</v>
      </c>
      <c r="O164" s="265">
        <v>2171198</v>
      </c>
      <c r="P164" s="339">
        <f t="shared" si="26"/>
        <v>6.1367001635111995E-2</v>
      </c>
    </row>
    <row r="165" spans="4:23" ht="15.75" customHeight="1" x14ac:dyDescent="0.3">
      <c r="D165" s="254" t="s">
        <v>893</v>
      </c>
      <c r="E165" s="155" t="s">
        <v>877</v>
      </c>
      <c r="F165" s="265">
        <v>30658</v>
      </c>
      <c r="G165" s="265"/>
      <c r="H165" s="265"/>
      <c r="I165" s="265"/>
      <c r="J165" s="338">
        <f>F162*D65</f>
        <v>15465.837624999998</v>
      </c>
      <c r="K165" s="265">
        <f t="shared" si="24"/>
        <v>11824.03488149847</v>
      </c>
      <c r="L165" s="265">
        <v>7365.77</v>
      </c>
      <c r="M165" s="339">
        <f t="shared" si="25"/>
        <v>0.37705105965768848</v>
      </c>
      <c r="N165" s="338">
        <f>J165*E79</f>
        <v>4709192.8984362492</v>
      </c>
      <c r="O165" s="265">
        <v>3260490</v>
      </c>
      <c r="P165" s="339">
        <f t="shared" si="26"/>
        <v>0.30763294893214299</v>
      </c>
    </row>
    <row r="166" spans="4:23" ht="15.75" customHeight="1" x14ac:dyDescent="0.3">
      <c r="D166" s="254" t="s">
        <v>894</v>
      </c>
      <c r="E166" s="155" t="s">
        <v>895</v>
      </c>
      <c r="F166" s="265">
        <v>21300</v>
      </c>
      <c r="G166" s="265"/>
      <c r="H166" s="265"/>
      <c r="I166" s="265"/>
      <c r="J166" s="338">
        <f>F163*D65</f>
        <v>8376.7431249999991</v>
      </c>
      <c r="K166" s="265">
        <f t="shared" si="24"/>
        <v>6404.2378631498459</v>
      </c>
      <c r="L166" s="265">
        <v>4146.79</v>
      </c>
      <c r="M166" s="339">
        <f t="shared" si="25"/>
        <v>0.35249281981533831</v>
      </c>
      <c r="N166" s="338">
        <f>J166*E80</f>
        <v>2685751.3807374998</v>
      </c>
      <c r="O166" s="265">
        <v>2083211</v>
      </c>
      <c r="P166" s="339">
        <f t="shared" si="26"/>
        <v>0.22434704308782438</v>
      </c>
    </row>
    <row r="167" spans="4:23" ht="15.75" customHeight="1" x14ac:dyDescent="0.3">
      <c r="D167" s="167"/>
      <c r="E167" s="165"/>
      <c r="F167" s="340"/>
      <c r="G167" s="265"/>
      <c r="H167" s="265"/>
      <c r="I167" s="265"/>
      <c r="J167" s="338">
        <f>F164*D65</f>
        <v>9939.1741249999995</v>
      </c>
      <c r="K167" s="265">
        <f t="shared" si="24"/>
        <v>7598.7569762996936</v>
      </c>
      <c r="L167" s="265">
        <v>8322.09</v>
      </c>
      <c r="M167" s="339">
        <f t="shared" si="25"/>
        <v>-9.5190966885289496E-2</v>
      </c>
      <c r="N167" s="338">
        <f>J167*E79</f>
        <v>3026379.1293212501</v>
      </c>
      <c r="O167" s="265">
        <v>4409007</v>
      </c>
      <c r="P167" s="339">
        <f t="shared" si="26"/>
        <v>-0.45685877796442598</v>
      </c>
    </row>
    <row r="168" spans="4:23" ht="15.75" customHeight="1" x14ac:dyDescent="0.3">
      <c r="D168" s="254" t="s">
        <v>896</v>
      </c>
      <c r="E168" s="155" t="s">
        <v>837</v>
      </c>
      <c r="F168" s="265">
        <v>33777</v>
      </c>
      <c r="G168" s="265"/>
      <c r="H168" s="265"/>
      <c r="I168" s="265"/>
      <c r="J168" s="338">
        <f>F165*D65</f>
        <v>14857.633249999999</v>
      </c>
      <c r="K168" s="265">
        <f t="shared" si="24"/>
        <v>11359.046827217124</v>
      </c>
      <c r="L168" s="265">
        <v>8002.21</v>
      </c>
      <c r="M168" s="339">
        <f t="shared" si="25"/>
        <v>0.29552099557983091</v>
      </c>
      <c r="N168" s="338" t="e">
        <f>J168*#REF!</f>
        <v>#REF!</v>
      </c>
      <c r="O168" s="265">
        <v>4074523</v>
      </c>
      <c r="P168" s="339" t="e">
        <f t="shared" si="26"/>
        <v>#REF!</v>
      </c>
    </row>
    <row r="169" spans="4:23" ht="13" x14ac:dyDescent="0.3">
      <c r="D169" s="254" t="s">
        <v>897</v>
      </c>
      <c r="E169" s="155" t="s">
        <v>837</v>
      </c>
      <c r="F169" s="265">
        <v>10311</v>
      </c>
      <c r="G169" s="265"/>
      <c r="H169" s="265"/>
      <c r="I169" s="265"/>
      <c r="J169" s="338">
        <f>F166*D65</f>
        <v>10322.512499999999</v>
      </c>
      <c r="K169" s="265">
        <f t="shared" si="24"/>
        <v>7891.8291284403658</v>
      </c>
      <c r="L169" s="265">
        <v>9223.4599999999991</v>
      </c>
      <c r="M169" s="339">
        <f t="shared" si="25"/>
        <v>-0.16873539072972799</v>
      </c>
      <c r="N169" s="338" t="e">
        <f>J169*#REF!</f>
        <v>#REF!</v>
      </c>
      <c r="O169" s="265">
        <v>5051638</v>
      </c>
      <c r="P169" s="339" t="e">
        <f t="shared" si="26"/>
        <v>#REF!</v>
      </c>
      <c r="W169" s="155" t="s">
        <v>898</v>
      </c>
    </row>
    <row r="170" spans="4:23" ht="13" x14ac:dyDescent="0.3">
      <c r="D170" s="254" t="s">
        <v>899</v>
      </c>
      <c r="E170" s="155" t="s">
        <v>837</v>
      </c>
      <c r="F170" s="265">
        <v>15846</v>
      </c>
      <c r="G170" s="340"/>
      <c r="H170" s="340"/>
      <c r="I170" s="340"/>
      <c r="J170" s="341"/>
      <c r="K170" s="340"/>
      <c r="L170" s="340"/>
      <c r="M170" s="342">
        <f>AVERAGE(M163:M169)</f>
        <v>0.17687064838973127</v>
      </c>
      <c r="N170" s="341"/>
      <c r="O170" s="340"/>
      <c r="P170" s="342" t="e">
        <f>AVERAGE(P163:P169)</f>
        <v>#REF!</v>
      </c>
      <c r="W170" s="155" t="s">
        <v>900</v>
      </c>
    </row>
    <row r="171" spans="4:23" ht="13" x14ac:dyDescent="0.3">
      <c r="D171" s="254" t="s">
        <v>901</v>
      </c>
      <c r="E171" s="155" t="s">
        <v>837</v>
      </c>
      <c r="F171" s="265">
        <v>88967</v>
      </c>
      <c r="G171" s="265"/>
      <c r="H171" s="265"/>
      <c r="I171" s="265"/>
      <c r="J171" s="338">
        <f>F168*D66</f>
        <v>25516.834649999997</v>
      </c>
      <c r="K171" s="265">
        <f t="shared" ref="K171:K177" si="27">J171/1.308</f>
        <v>19508.283371559632</v>
      </c>
      <c r="L171" s="265">
        <v>16207.36</v>
      </c>
      <c r="M171" s="339">
        <f t="shared" ref="M171:M177" si="28">1-(L171/K171)</f>
        <v>0.16920624478788937</v>
      </c>
      <c r="N171" s="338">
        <f>J171*E79</f>
        <v>7769620.9825784992</v>
      </c>
      <c r="O171" s="265">
        <v>6224349</v>
      </c>
      <c r="P171" s="339">
        <f t="shared" ref="P171:P177" si="29">1-(O171/N171)</f>
        <v>0.19888640463201468</v>
      </c>
    </row>
    <row r="172" spans="4:23" ht="13" x14ac:dyDescent="0.3">
      <c r="D172" s="254" t="s">
        <v>902</v>
      </c>
      <c r="E172" s="155" t="s">
        <v>837</v>
      </c>
      <c r="F172" s="265">
        <v>19904</v>
      </c>
      <c r="G172" s="265"/>
      <c r="H172" s="265"/>
      <c r="I172" s="265"/>
      <c r="J172" s="265">
        <f>F169*D66</f>
        <v>7789.4449499999992</v>
      </c>
      <c r="K172" s="265">
        <f t="shared" si="27"/>
        <v>5955.2331422018342</v>
      </c>
      <c r="L172" s="265">
        <v>6488.39</v>
      </c>
      <c r="M172" s="339">
        <f t="shared" si="28"/>
        <v>-8.9527453429143478E-2</v>
      </c>
      <c r="N172" s="265">
        <f>J172*E79</f>
        <v>2371808.0928254998</v>
      </c>
      <c r="O172" s="265">
        <v>3010023</v>
      </c>
      <c r="P172" s="339">
        <f t="shared" si="29"/>
        <v>-0.26908370416014749</v>
      </c>
    </row>
    <row r="173" spans="4:23" ht="13" x14ac:dyDescent="0.3">
      <c r="D173" s="254" t="s">
        <v>903</v>
      </c>
      <c r="E173" s="155" t="s">
        <v>837</v>
      </c>
      <c r="F173" s="265">
        <v>33145</v>
      </c>
      <c r="G173" s="265"/>
      <c r="H173" s="265"/>
      <c r="I173" s="265"/>
      <c r="J173" s="338">
        <f>F170*D66</f>
        <v>11970.860699999999</v>
      </c>
      <c r="K173" s="265">
        <f t="shared" si="27"/>
        <v>9152.0341743119261</v>
      </c>
      <c r="L173" s="265">
        <v>9430.83</v>
      </c>
      <c r="M173" s="339">
        <f t="shared" si="28"/>
        <v>-3.0462716853768113E-2</v>
      </c>
      <c r="N173" s="338" t="e">
        <f>J173*#REF!</f>
        <v>#REF!</v>
      </c>
      <c r="O173" s="265">
        <v>3511211</v>
      </c>
      <c r="P173" s="339" t="e">
        <f t="shared" si="29"/>
        <v>#REF!</v>
      </c>
    </row>
    <row r="174" spans="4:23" ht="13" x14ac:dyDescent="0.3">
      <c r="D174" s="254" t="s">
        <v>904</v>
      </c>
      <c r="E174" s="155" t="s">
        <v>837</v>
      </c>
      <c r="F174" s="265">
        <v>37136</v>
      </c>
      <c r="G174" s="265"/>
      <c r="H174" s="265"/>
      <c r="I174" s="265"/>
      <c r="J174" s="265">
        <f>F171*D66</f>
        <v>67210.120150000002</v>
      </c>
      <c r="K174" s="265">
        <f t="shared" si="27"/>
        <v>51383.883906727831</v>
      </c>
      <c r="L174" s="265">
        <v>37309.43</v>
      </c>
      <c r="M174" s="339">
        <f t="shared" si="28"/>
        <v>0.27390794226991133</v>
      </c>
      <c r="N174" s="265">
        <f>J174*E80</f>
        <v>21548908.722493</v>
      </c>
      <c r="O174" s="265">
        <v>16897526</v>
      </c>
      <c r="P174" s="339">
        <f t="shared" si="29"/>
        <v>0.21585235625588006</v>
      </c>
    </row>
    <row r="175" spans="4:23" ht="13" x14ac:dyDescent="0.3">
      <c r="D175" s="167"/>
      <c r="E175" s="165"/>
      <c r="F175" s="340"/>
      <c r="G175" s="265"/>
      <c r="H175" s="265"/>
      <c r="I175" s="265"/>
      <c r="J175" s="265">
        <f>F172*D66</f>
        <v>15036.476799999999</v>
      </c>
      <c r="K175" s="265">
        <f t="shared" si="27"/>
        <v>11495.777370030579</v>
      </c>
      <c r="L175" s="265">
        <v>8780.09</v>
      </c>
      <c r="M175" s="339">
        <f t="shared" si="28"/>
        <v>0.23623346926588529</v>
      </c>
      <c r="N175" s="265">
        <f>J175*E79</f>
        <v>4578456.8208320001</v>
      </c>
      <c r="O175" s="265">
        <v>4966373</v>
      </c>
      <c r="P175" s="339">
        <f t="shared" si="29"/>
        <v>-8.4726403316283116E-2</v>
      </c>
    </row>
    <row r="176" spans="4:23" ht="13" x14ac:dyDescent="0.3">
      <c r="D176" s="254" t="s">
        <v>905</v>
      </c>
      <c r="E176" s="155" t="s">
        <v>906</v>
      </c>
      <c r="F176" s="265">
        <v>17243</v>
      </c>
      <c r="G176" s="265"/>
      <c r="H176" s="265"/>
      <c r="I176" s="265"/>
      <c r="J176" s="265">
        <f>F173*D66</f>
        <v>25039.390249999997</v>
      </c>
      <c r="K176" s="265">
        <f t="shared" si="27"/>
        <v>19143.264717125378</v>
      </c>
      <c r="L176" s="265">
        <v>10988.61</v>
      </c>
      <c r="M176" s="343">
        <f t="shared" si="28"/>
        <v>0.42598035589145367</v>
      </c>
      <c r="N176" s="265">
        <f>J176*E80</f>
        <v>8028129.3019549986</v>
      </c>
      <c r="O176" s="265">
        <v>5828574</v>
      </c>
      <c r="P176" s="343">
        <f t="shared" si="29"/>
        <v>0.27398105078095414</v>
      </c>
    </row>
    <row r="177" spans="4:23" ht="13" x14ac:dyDescent="0.3">
      <c r="D177" s="254" t="s">
        <v>907</v>
      </c>
      <c r="E177" s="155" t="s">
        <v>906</v>
      </c>
      <c r="F177" s="265">
        <v>15252</v>
      </c>
      <c r="G177" s="265"/>
      <c r="H177" s="265"/>
      <c r="I177" s="265"/>
      <c r="J177" s="265">
        <f>F174*D66</f>
        <v>28054.391199999998</v>
      </c>
      <c r="K177" s="265">
        <f t="shared" si="27"/>
        <v>21448.311314984709</v>
      </c>
      <c r="L177" s="265">
        <v>24190.62</v>
      </c>
      <c r="M177" s="343">
        <f t="shared" si="28"/>
        <v>-0.12785662445599599</v>
      </c>
      <c r="N177" s="265">
        <f>J177*E81</f>
        <v>10398191.771932799</v>
      </c>
      <c r="O177" s="265">
        <v>13893514</v>
      </c>
      <c r="P177" s="343">
        <f t="shared" si="29"/>
        <v>-0.33614712103136135</v>
      </c>
    </row>
    <row r="178" spans="4:23" ht="13" x14ac:dyDescent="0.3">
      <c r="D178" s="254" t="s">
        <v>908</v>
      </c>
      <c r="E178" s="155" t="s">
        <v>906</v>
      </c>
      <c r="F178" s="265">
        <v>55413</v>
      </c>
      <c r="G178" s="340"/>
      <c r="H178" s="340"/>
      <c r="I178" s="340"/>
      <c r="J178" s="340"/>
      <c r="K178" s="340"/>
      <c r="L178" s="340"/>
      <c r="M178" s="344">
        <f>AVERAGE(M171:M177)</f>
        <v>0.12249731678231887</v>
      </c>
      <c r="N178" s="340"/>
      <c r="O178" s="340"/>
      <c r="P178" s="344" t="e">
        <f>AVERAGE(P171:P177)</f>
        <v>#REF!</v>
      </c>
      <c r="W178" s="155" t="s">
        <v>909</v>
      </c>
    </row>
    <row r="179" spans="4:23" ht="13" x14ac:dyDescent="0.3">
      <c r="D179" s="254" t="s">
        <v>910</v>
      </c>
      <c r="E179" s="155" t="s">
        <v>906</v>
      </c>
      <c r="F179" s="265">
        <v>33235</v>
      </c>
      <c r="G179" s="265"/>
      <c r="H179" s="265"/>
      <c r="I179" s="265"/>
      <c r="J179" s="265">
        <f>F176*D68</f>
        <v>4106.4204499999996</v>
      </c>
      <c r="K179" s="265">
        <f t="shared" ref="K179:K185" si="30">J179/1.308</f>
        <v>3139.4651758409782</v>
      </c>
      <c r="L179" s="265">
        <v>3677.4</v>
      </c>
      <c r="M179" s="343">
        <f t="shared" ref="M179:M185" si="31">1-(L179/K179)</f>
        <v>-0.17134600768900832</v>
      </c>
      <c r="N179" s="265">
        <f>J179*E79</f>
        <v>1250363.9628204999</v>
      </c>
      <c r="O179" s="265">
        <v>1470532</v>
      </c>
      <c r="P179" s="343">
        <f t="shared" ref="P179:P185" si="32">1-(O179/N179)</f>
        <v>-0.17608315956488196</v>
      </c>
      <c r="W179" s="155" t="s">
        <v>911</v>
      </c>
    </row>
    <row r="180" spans="4:23" ht="13" x14ac:dyDescent="0.3">
      <c r="D180" s="254" t="s">
        <v>912</v>
      </c>
      <c r="E180" s="155" t="s">
        <v>906</v>
      </c>
      <c r="F180" s="265">
        <v>29880</v>
      </c>
      <c r="G180" s="265"/>
      <c r="H180" s="265"/>
      <c r="I180" s="265"/>
      <c r="J180" s="265">
        <f>F177*D68</f>
        <v>3632.2638000000002</v>
      </c>
      <c r="K180" s="265">
        <f t="shared" si="30"/>
        <v>2776.9600917431194</v>
      </c>
      <c r="L180" s="265">
        <v>2167.81</v>
      </c>
      <c r="M180" s="343">
        <f t="shared" si="31"/>
        <v>0.21935860495595072</v>
      </c>
      <c r="N180" s="265">
        <f>J180*E79</f>
        <v>1105988.004462</v>
      </c>
      <c r="O180" s="265">
        <v>1136976</v>
      </c>
      <c r="P180" s="343">
        <f t="shared" si="32"/>
        <v>-2.8018383032168526E-2</v>
      </c>
    </row>
    <row r="181" spans="4:23" ht="13" x14ac:dyDescent="0.3">
      <c r="D181" s="254" t="s">
        <v>913</v>
      </c>
      <c r="E181" s="155" t="s">
        <v>906</v>
      </c>
      <c r="F181" s="265">
        <v>6520</v>
      </c>
      <c r="G181" s="265"/>
      <c r="H181" s="265"/>
      <c r="I181" s="265"/>
      <c r="J181" s="265">
        <f>F178*D68</f>
        <v>13196.605949999999</v>
      </c>
      <c r="K181" s="265">
        <f t="shared" si="30"/>
        <v>10089.148279816513</v>
      </c>
      <c r="L181" s="265">
        <v>13433.6</v>
      </c>
      <c r="M181" s="343">
        <f t="shared" si="31"/>
        <v>-0.33148999572878823</v>
      </c>
      <c r="N181" s="265">
        <f>J181*E79</f>
        <v>4018234.5457154997</v>
      </c>
      <c r="O181" s="265">
        <v>8000780</v>
      </c>
      <c r="P181" s="343">
        <f t="shared" si="32"/>
        <v>-0.99111821596649863</v>
      </c>
    </row>
    <row r="182" spans="4:23" ht="13" x14ac:dyDescent="0.3">
      <c r="D182" s="254" t="s">
        <v>914</v>
      </c>
      <c r="E182" s="155" t="s">
        <v>906</v>
      </c>
      <c r="F182" s="265">
        <v>65879</v>
      </c>
      <c r="G182" s="265"/>
      <c r="H182" s="265"/>
      <c r="I182" s="265"/>
      <c r="J182" s="265">
        <f>F179*D68</f>
        <v>7914.91525</v>
      </c>
      <c r="K182" s="265">
        <f t="shared" si="30"/>
        <v>6051.1584480122319</v>
      </c>
      <c r="L182" s="265">
        <v>5603.72</v>
      </c>
      <c r="M182" s="343">
        <f t="shared" si="31"/>
        <v>7.3942609808740456E-2</v>
      </c>
      <c r="N182" s="265">
        <f>J182*E79</f>
        <v>2410012.5444725002</v>
      </c>
      <c r="O182" s="265">
        <v>2920738</v>
      </c>
      <c r="P182" s="343">
        <f t="shared" si="32"/>
        <v>-0.21191817308124694</v>
      </c>
    </row>
    <row r="183" spans="4:23" ht="13" x14ac:dyDescent="0.3">
      <c r="D183" s="167"/>
      <c r="E183" s="165"/>
      <c r="F183" s="340"/>
      <c r="G183" s="265"/>
      <c r="H183" s="265"/>
      <c r="I183" s="265"/>
      <c r="J183" s="265">
        <f>F180*D68</f>
        <v>7115.9219999999996</v>
      </c>
      <c r="K183" s="265">
        <f t="shared" si="30"/>
        <v>5440.3073394495405</v>
      </c>
      <c r="L183" s="265">
        <v>5135.08</v>
      </c>
      <c r="M183" s="343">
        <f t="shared" si="31"/>
        <v>5.6104797101485859E-2</v>
      </c>
      <c r="N183" s="265">
        <f>J183*E79</f>
        <v>2166727.08978</v>
      </c>
      <c r="O183" s="265">
        <v>2842719</v>
      </c>
      <c r="P183" s="343">
        <f t="shared" si="32"/>
        <v>-0.31198756567382802</v>
      </c>
    </row>
    <row r="184" spans="4:23" ht="13" x14ac:dyDescent="0.3">
      <c r="G184" s="265"/>
      <c r="H184" s="265"/>
      <c r="I184" s="265"/>
      <c r="J184" s="265">
        <f>F181*D68</f>
        <v>1552.7380000000001</v>
      </c>
      <c r="K184" s="265">
        <f t="shared" si="30"/>
        <v>1187.1085626911315</v>
      </c>
      <c r="L184" s="265">
        <v>610.14</v>
      </c>
      <c r="M184" s="343">
        <f t="shared" si="31"/>
        <v>0.48602847357377743</v>
      </c>
      <c r="N184" s="265">
        <f>J184*E79</f>
        <v>472793.19362000003</v>
      </c>
      <c r="O184" s="265">
        <v>306978</v>
      </c>
      <c r="P184" s="343">
        <f t="shared" si="32"/>
        <v>0.35071400319961321</v>
      </c>
    </row>
    <row r="185" spans="4:23" ht="13" x14ac:dyDescent="0.3">
      <c r="G185" s="265"/>
      <c r="H185" s="265"/>
      <c r="I185" s="265"/>
      <c r="J185" s="265">
        <f>F182*D68</f>
        <v>15689.083850000001</v>
      </c>
      <c r="K185" s="265">
        <f t="shared" si="30"/>
        <v>11994.7124235474</v>
      </c>
      <c r="L185" s="265">
        <v>7291.88</v>
      </c>
      <c r="M185" s="343">
        <f t="shared" si="31"/>
        <v>0.39207546271097271</v>
      </c>
      <c r="N185" s="265">
        <f>J185*E79</f>
        <v>4777169.1414865004</v>
      </c>
      <c r="O185" s="265">
        <v>3906054</v>
      </c>
      <c r="P185" s="343">
        <f t="shared" si="32"/>
        <v>0.18234965430079741</v>
      </c>
    </row>
    <row r="186" spans="4:23" ht="13" x14ac:dyDescent="0.3">
      <c r="G186" s="340"/>
      <c r="H186" s="340"/>
      <c r="I186" s="340"/>
      <c r="J186" s="340"/>
      <c r="K186" s="340"/>
      <c r="L186" s="340"/>
      <c r="M186" s="344">
        <f>AVERAGE(M179:M185)</f>
        <v>0.10352484924759009</v>
      </c>
      <c r="N186" s="340"/>
      <c r="O186" s="340"/>
      <c r="P186" s="344">
        <f>AVERAGE(P179:P185)</f>
        <v>-0.16943740568831619</v>
      </c>
    </row>
    <row r="187" spans="4:23" ht="13" x14ac:dyDescent="0.3"/>
    <row r="188" spans="4:23" ht="13" x14ac:dyDescent="0.3"/>
    <row r="189" spans="4:23" ht="13" x14ac:dyDescent="0.3"/>
    <row r="190" spans="4:23" ht="13" x14ac:dyDescent="0.3"/>
    <row r="191" spans="4:23" ht="13" x14ac:dyDescent="0.3"/>
    <row r="192" spans="4:23" ht="13" x14ac:dyDescent="0.3"/>
    <row r="193" ht="13" x14ac:dyDescent="0.3"/>
    <row r="194" ht="13" x14ac:dyDescent="0.3"/>
    <row r="195" ht="13" x14ac:dyDescent="0.3"/>
  </sheetData>
  <mergeCells count="88">
    <mergeCell ref="C13:D13"/>
    <mergeCell ref="J13:K13"/>
    <mergeCell ref="A1:R1"/>
    <mergeCell ref="F2:L2"/>
    <mergeCell ref="B4:B6"/>
    <mergeCell ref="C12:D12"/>
    <mergeCell ref="J12:K12"/>
    <mergeCell ref="M16:Q16"/>
    <mergeCell ref="R16:V16"/>
    <mergeCell ref="X16:AB16"/>
    <mergeCell ref="AC16:AG16"/>
    <mergeCell ref="M52:O52"/>
    <mergeCell ref="P52:R52"/>
    <mergeCell ref="S52:U52"/>
    <mergeCell ref="V52:X52"/>
    <mergeCell ref="Y52:AA52"/>
    <mergeCell ref="AB52:AD52"/>
    <mergeCell ref="AB62:AD62"/>
    <mergeCell ref="M53:O53"/>
    <mergeCell ref="P53:R53"/>
    <mergeCell ref="S53:U53"/>
    <mergeCell ref="V53:X53"/>
    <mergeCell ref="Y53:AA53"/>
    <mergeCell ref="AB53:AD53"/>
    <mergeCell ref="M62:O62"/>
    <mergeCell ref="P62:R62"/>
    <mergeCell ref="S62:U62"/>
    <mergeCell ref="V62:X62"/>
    <mergeCell ref="Y62:AA62"/>
    <mergeCell ref="AB72:AD72"/>
    <mergeCell ref="M63:O63"/>
    <mergeCell ref="P63:R63"/>
    <mergeCell ref="S63:U63"/>
    <mergeCell ref="V63:X63"/>
    <mergeCell ref="Y63:AA63"/>
    <mergeCell ref="AB63:AD63"/>
    <mergeCell ref="M72:O72"/>
    <mergeCell ref="P72:R72"/>
    <mergeCell ref="S72:U72"/>
    <mergeCell ref="V72:X72"/>
    <mergeCell ref="Y72:AA72"/>
    <mergeCell ref="AB83:AD83"/>
    <mergeCell ref="AB73:AD73"/>
    <mergeCell ref="B74:E74"/>
    <mergeCell ref="D76:F76"/>
    <mergeCell ref="M82:O82"/>
    <mergeCell ref="P82:R82"/>
    <mergeCell ref="S82:U82"/>
    <mergeCell ref="V82:X82"/>
    <mergeCell ref="Y82:AA82"/>
    <mergeCell ref="AB82:AD82"/>
    <mergeCell ref="B73:D73"/>
    <mergeCell ref="M73:O73"/>
    <mergeCell ref="P73:R73"/>
    <mergeCell ref="S73:U73"/>
    <mergeCell ref="V73:X73"/>
    <mergeCell ref="Y73:AA73"/>
    <mergeCell ref="M83:O83"/>
    <mergeCell ref="P83:R83"/>
    <mergeCell ref="S83:U83"/>
    <mergeCell ref="V83:X83"/>
    <mergeCell ref="Y83:AA83"/>
    <mergeCell ref="M92:O92"/>
    <mergeCell ref="P92:R92"/>
    <mergeCell ref="M93:O93"/>
    <mergeCell ref="P93:R93"/>
    <mergeCell ref="M102:O102"/>
    <mergeCell ref="P102:R102"/>
    <mergeCell ref="M132:O132"/>
    <mergeCell ref="P132:R132"/>
    <mergeCell ref="M103:O103"/>
    <mergeCell ref="P103:R103"/>
    <mergeCell ref="M112:O112"/>
    <mergeCell ref="P112:R112"/>
    <mergeCell ref="M113:O113"/>
    <mergeCell ref="P113:R113"/>
    <mergeCell ref="V113:W113"/>
    <mergeCell ref="M122:O122"/>
    <mergeCell ref="P122:R122"/>
    <mergeCell ref="M123:O123"/>
    <mergeCell ref="P123:R123"/>
    <mergeCell ref="N160:P160"/>
    <mergeCell ref="M133:O133"/>
    <mergeCell ref="P133:R133"/>
    <mergeCell ref="M142:O142"/>
    <mergeCell ref="P142:R142"/>
    <mergeCell ref="M143:O143"/>
    <mergeCell ref="P143:R143"/>
  </mergeCells>
  <dataValidations count="1">
    <dataValidation type="list" allowBlank="1" sqref="R20 R23:R25 R28:R30 AC20 AC23:AC25 AC28:AC30" xr:uid="{4B757251-FABB-4CA0-B713-CFF979C9BF21}">
      <formula1>$C$113:$C$119</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D7689-BE70-47C6-B604-AA4E4CB3A8CA}">
  <sheetPr>
    <tabColor rgb="FF0000FF"/>
    <outlinePr summaryBelow="0" summaryRight="0"/>
  </sheetPr>
  <dimension ref="A1:AG196"/>
  <sheetViews>
    <sheetView topLeftCell="A22" workbookViewId="0">
      <selection activeCell="E56" sqref="E56"/>
    </sheetView>
  </sheetViews>
  <sheetFormatPr defaultColWidth="12.54296875" defaultRowHeight="15.75" customHeight="1" x14ac:dyDescent="0.3"/>
  <cols>
    <col min="1" max="1" width="6.453125" style="154" customWidth="1"/>
    <col min="2" max="2" width="10.453125" style="154" customWidth="1"/>
    <col min="3" max="3" width="9.81640625" style="154" customWidth="1"/>
    <col min="4" max="4" width="17.54296875" style="154" customWidth="1"/>
    <col min="5" max="9" width="13.81640625" style="154" customWidth="1"/>
    <col min="10" max="10" width="17.54296875" style="154" customWidth="1"/>
    <col min="11" max="11" width="19.1796875" style="154" customWidth="1"/>
    <col min="12" max="12" width="19" style="154" customWidth="1"/>
    <col min="13" max="13" width="13.81640625" style="154" customWidth="1"/>
    <col min="14" max="14" width="14.7265625" style="154" customWidth="1"/>
    <col min="15" max="15" width="20" style="154" customWidth="1"/>
    <col min="16" max="16" width="14.26953125" style="154" customWidth="1"/>
    <col min="17" max="17" width="16.1796875" style="154" customWidth="1"/>
    <col min="18" max="21" width="13.81640625" style="154" customWidth="1"/>
    <col min="22" max="22" width="13" style="154" customWidth="1"/>
    <col min="23" max="23" width="12.54296875" style="154" customWidth="1"/>
    <col min="24" max="24" width="13.81640625" style="154" customWidth="1"/>
    <col min="25" max="16384" width="12.54296875" style="154"/>
  </cols>
  <sheetData>
    <row r="1" spans="1:33" ht="64.5" customHeight="1" x14ac:dyDescent="0.7">
      <c r="A1" s="410" t="s">
        <v>745</v>
      </c>
      <c r="B1" s="410"/>
      <c r="C1" s="410"/>
      <c r="D1" s="410"/>
      <c r="E1" s="410"/>
      <c r="F1" s="410"/>
      <c r="G1" s="410"/>
      <c r="H1" s="410"/>
      <c r="I1" s="410"/>
      <c r="J1" s="410"/>
      <c r="K1" s="410"/>
      <c r="L1" s="410"/>
      <c r="M1" s="410"/>
      <c r="N1" s="410"/>
      <c r="O1" s="410"/>
      <c r="P1" s="410"/>
      <c r="Q1" s="410"/>
      <c r="R1" s="410"/>
    </row>
    <row r="2" spans="1:33" ht="13" x14ac:dyDescent="0.3">
      <c r="F2" s="372" t="s">
        <v>746</v>
      </c>
      <c r="G2" s="372"/>
      <c r="H2" s="372"/>
      <c r="I2" s="372"/>
      <c r="J2" s="378"/>
      <c r="K2" s="378"/>
      <c r="L2" s="378"/>
    </row>
    <row r="3" spans="1:33" ht="36" x14ac:dyDescent="0.3">
      <c r="B3" s="155"/>
      <c r="C3" s="155"/>
      <c r="D3" s="155"/>
      <c r="F3" s="156" t="s">
        <v>747</v>
      </c>
      <c r="G3" s="156"/>
      <c r="H3" s="156"/>
      <c r="I3" s="156"/>
      <c r="J3" s="157" t="s">
        <v>748</v>
      </c>
      <c r="K3" s="158" t="s">
        <v>749</v>
      </c>
      <c r="L3" s="159" t="s">
        <v>750</v>
      </c>
    </row>
    <row r="4" spans="1:33" ht="13" x14ac:dyDescent="0.3">
      <c r="B4" s="411" t="s">
        <v>751</v>
      </c>
      <c r="C4" s="160" t="s">
        <v>752</v>
      </c>
      <c r="D4" s="155" t="s">
        <v>753</v>
      </c>
      <c r="F4" s="161" t="s">
        <v>754</v>
      </c>
      <c r="G4" s="161"/>
      <c r="H4" s="161"/>
      <c r="I4" s="161"/>
      <c r="J4" s="161" t="s">
        <v>755</v>
      </c>
      <c r="K4" s="161" t="s">
        <v>756</v>
      </c>
      <c r="L4" s="161" t="s">
        <v>755</v>
      </c>
    </row>
    <row r="5" spans="1:33" ht="13" x14ac:dyDescent="0.3">
      <c r="B5" s="378"/>
      <c r="C5" s="162" t="s">
        <v>752</v>
      </c>
      <c r="D5" s="155" t="s">
        <v>757</v>
      </c>
    </row>
    <row r="6" spans="1:33" ht="13" x14ac:dyDescent="0.3">
      <c r="B6" s="378"/>
      <c r="C6" s="163" t="s">
        <v>752</v>
      </c>
      <c r="D6" s="155" t="s">
        <v>758</v>
      </c>
    </row>
    <row r="8" spans="1:33" ht="15.5" x14ac:dyDescent="0.35">
      <c r="B8" s="164"/>
      <c r="C8" s="164"/>
      <c r="D8" s="164"/>
      <c r="E8" s="165"/>
      <c r="F8" s="165"/>
      <c r="G8" s="165"/>
      <c r="H8" s="165"/>
      <c r="I8" s="165"/>
      <c r="J8" s="165"/>
      <c r="K8" s="165"/>
      <c r="L8" s="165"/>
      <c r="M8" s="165"/>
      <c r="N8" s="165"/>
      <c r="O8" s="165"/>
      <c r="P8" s="165"/>
    </row>
    <row r="9" spans="1:33" ht="15.5" x14ac:dyDescent="0.35">
      <c r="B9" s="164"/>
      <c r="C9" s="164" t="s">
        <v>915</v>
      </c>
      <c r="D9" s="164"/>
      <c r="E9" s="165"/>
      <c r="F9" s="165"/>
      <c r="G9" s="165"/>
      <c r="H9" s="165"/>
      <c r="I9" s="165"/>
      <c r="J9" s="165"/>
      <c r="K9" s="165"/>
      <c r="L9" s="165"/>
      <c r="M9" s="165"/>
      <c r="N9" s="165"/>
      <c r="O9" s="165"/>
      <c r="P9" s="165"/>
    </row>
    <row r="10" spans="1:33" ht="15.75" customHeight="1" x14ac:dyDescent="0.3">
      <c r="B10" s="165"/>
      <c r="C10" s="166" t="s">
        <v>760</v>
      </c>
      <c r="D10" s="166"/>
      <c r="E10" s="167"/>
      <c r="F10" s="165"/>
      <c r="G10" s="165"/>
      <c r="H10" s="165"/>
      <c r="I10" s="165"/>
      <c r="J10" s="165"/>
      <c r="K10" s="165"/>
      <c r="L10" s="165"/>
      <c r="M10" s="165"/>
      <c r="N10" s="165"/>
      <c r="O10" s="165"/>
      <c r="P10" s="165"/>
    </row>
    <row r="11" spans="1:33" ht="36" customHeight="1" x14ac:dyDescent="0.3">
      <c r="B11" s="165"/>
      <c r="C11" s="168" t="s">
        <v>761</v>
      </c>
      <c r="D11" s="169" t="s">
        <v>916</v>
      </c>
      <c r="E11" s="169" t="s">
        <v>763</v>
      </c>
      <c r="F11" s="169" t="s">
        <v>764</v>
      </c>
      <c r="G11" s="170" t="s">
        <v>737</v>
      </c>
      <c r="H11" s="170"/>
      <c r="I11" s="165"/>
      <c r="J11" s="168" t="s">
        <v>765</v>
      </c>
      <c r="K11" s="169" t="s">
        <v>916</v>
      </c>
      <c r="L11" s="169" t="s">
        <v>767</v>
      </c>
      <c r="M11" s="169" t="s">
        <v>764</v>
      </c>
      <c r="N11" s="169" t="s">
        <v>737</v>
      </c>
      <c r="O11" s="165"/>
      <c r="P11" s="171"/>
    </row>
    <row r="12" spans="1:33" ht="15.75" customHeight="1" thickBot="1" x14ac:dyDescent="0.35">
      <c r="B12" s="165"/>
      <c r="C12" s="412" t="s">
        <v>768</v>
      </c>
      <c r="D12" s="378"/>
      <c r="E12" s="172" t="s">
        <v>474</v>
      </c>
      <c r="F12" s="172">
        <f>5330000</f>
        <v>5330000</v>
      </c>
      <c r="G12" s="172">
        <v>10287000</v>
      </c>
      <c r="H12" s="173"/>
      <c r="I12" s="165"/>
      <c r="J12" s="412" t="s">
        <v>768</v>
      </c>
      <c r="K12" s="378"/>
      <c r="L12" s="172"/>
      <c r="M12" s="172">
        <v>26660000</v>
      </c>
      <c r="N12" s="172">
        <v>76300000</v>
      </c>
      <c r="O12" s="165"/>
      <c r="P12" s="171"/>
    </row>
    <row r="13" spans="1:33" ht="26.25" customHeight="1" x14ac:dyDescent="0.3">
      <c r="B13" s="165"/>
      <c r="C13" s="413" t="s">
        <v>769</v>
      </c>
      <c r="D13" s="414"/>
      <c r="E13" s="174">
        <v>0</v>
      </c>
      <c r="F13" s="174">
        <f>F12/10.764</f>
        <v>495169.08212560392</v>
      </c>
      <c r="G13" s="175">
        <f>G12/10.764</f>
        <v>955685.61872909707</v>
      </c>
      <c r="H13" s="175"/>
      <c r="I13" s="165"/>
      <c r="J13" s="413" t="s">
        <v>770</v>
      </c>
      <c r="K13" s="414"/>
      <c r="L13" s="174">
        <f>L12/10.764</f>
        <v>0</v>
      </c>
      <c r="M13" s="174">
        <f>M12/10.764</f>
        <v>2476774.4332961724</v>
      </c>
      <c r="N13" s="175">
        <f>N12/10.764</f>
        <v>7088442.9580081757</v>
      </c>
      <c r="O13" s="165"/>
      <c r="P13" s="171"/>
    </row>
    <row r="14" spans="1:33" ht="15.75" customHeight="1" thickBot="1" x14ac:dyDescent="0.35">
      <c r="B14" s="176"/>
      <c r="C14" s="177"/>
      <c r="D14" s="177"/>
      <c r="E14" s="177"/>
      <c r="F14" s="177"/>
      <c r="G14" s="177"/>
      <c r="H14" s="177"/>
      <c r="I14" s="177"/>
      <c r="J14" s="177"/>
      <c r="K14" s="178"/>
      <c r="L14" s="178"/>
      <c r="M14" s="178"/>
      <c r="N14" s="178"/>
      <c r="O14" s="178"/>
      <c r="P14" s="178"/>
    </row>
    <row r="15" spans="1:33" ht="15.75" customHeight="1" x14ac:dyDescent="0.3">
      <c r="B15" s="179"/>
      <c r="C15" s="180"/>
      <c r="D15" s="180"/>
      <c r="E15" s="180"/>
      <c r="F15" s="180"/>
      <c r="G15" s="180"/>
      <c r="H15" s="180"/>
      <c r="I15" s="180"/>
      <c r="J15" s="180"/>
      <c r="K15" s="181"/>
      <c r="L15" s="181"/>
      <c r="M15" s="181"/>
      <c r="N15" s="181"/>
      <c r="O15" s="181"/>
      <c r="P15" s="181"/>
      <c r="Q15" s="181"/>
      <c r="R15" s="181"/>
      <c r="S15" s="181"/>
      <c r="T15" s="181"/>
      <c r="U15" s="181"/>
      <c r="V15" s="181"/>
      <c r="W15" s="181"/>
      <c r="X15" s="181"/>
    </row>
    <row r="16" spans="1:33" ht="17.25" customHeight="1" x14ac:dyDescent="0.3">
      <c r="B16" s="179"/>
      <c r="C16" s="180"/>
      <c r="D16" s="180"/>
      <c r="E16" s="180"/>
      <c r="F16" s="180"/>
      <c r="G16" s="180"/>
      <c r="H16" s="180"/>
      <c r="I16" s="180"/>
      <c r="J16" s="180"/>
      <c r="K16" s="180"/>
      <c r="L16" s="180"/>
      <c r="M16" s="403" t="s">
        <v>771</v>
      </c>
      <c r="N16" s="404"/>
      <c r="O16" s="404"/>
      <c r="P16" s="404"/>
      <c r="Q16" s="405"/>
      <c r="R16" s="409" t="s">
        <v>772</v>
      </c>
      <c r="S16" s="370"/>
      <c r="T16" s="370"/>
      <c r="U16" s="370"/>
      <c r="V16" s="371"/>
      <c r="W16" s="182"/>
      <c r="X16" s="403" t="s">
        <v>773</v>
      </c>
      <c r="Y16" s="404"/>
      <c r="Z16" s="404"/>
      <c r="AA16" s="404"/>
      <c r="AB16" s="405"/>
      <c r="AC16" s="409" t="s">
        <v>774</v>
      </c>
      <c r="AD16" s="370"/>
      <c r="AE16" s="370"/>
      <c r="AF16" s="370"/>
      <c r="AG16" s="371"/>
    </row>
    <row r="17" spans="2:33" ht="64.5" customHeight="1" x14ac:dyDescent="0.3">
      <c r="B17" s="179"/>
      <c r="C17" s="156" t="s">
        <v>775</v>
      </c>
      <c r="D17" s="156" t="s">
        <v>776</v>
      </c>
      <c r="E17" s="156" t="s">
        <v>777</v>
      </c>
      <c r="F17" s="159" t="s">
        <v>778</v>
      </c>
      <c r="G17" s="158" t="s">
        <v>779</v>
      </c>
      <c r="H17" s="159" t="s">
        <v>780</v>
      </c>
      <c r="I17" s="159" t="s">
        <v>781</v>
      </c>
      <c r="J17" s="158" t="s">
        <v>782</v>
      </c>
      <c r="K17" s="159" t="s">
        <v>780</v>
      </c>
      <c r="L17" s="159" t="s">
        <v>781</v>
      </c>
      <c r="M17" s="183" t="s">
        <v>783</v>
      </c>
      <c r="N17" s="184" t="s">
        <v>784</v>
      </c>
      <c r="O17" s="158" t="s">
        <v>785</v>
      </c>
      <c r="P17" s="184" t="s">
        <v>786</v>
      </c>
      <c r="Q17" s="185" t="s">
        <v>787</v>
      </c>
      <c r="R17" s="186" t="s">
        <v>783</v>
      </c>
      <c r="S17" s="184" t="s">
        <v>788</v>
      </c>
      <c r="T17" s="184" t="s">
        <v>789</v>
      </c>
      <c r="U17" s="184" t="s">
        <v>790</v>
      </c>
      <c r="V17" s="185" t="s">
        <v>791</v>
      </c>
      <c r="W17" s="182"/>
      <c r="X17" s="183" t="s">
        <v>783</v>
      </c>
      <c r="Y17" s="184" t="s">
        <v>784</v>
      </c>
      <c r="Z17" s="158" t="s">
        <v>785</v>
      </c>
      <c r="AA17" s="184" t="s">
        <v>786</v>
      </c>
      <c r="AB17" s="185" t="s">
        <v>787</v>
      </c>
      <c r="AC17" s="186" t="s">
        <v>783</v>
      </c>
      <c r="AD17" s="184" t="s">
        <v>788</v>
      </c>
      <c r="AE17" s="184" t="s">
        <v>789</v>
      </c>
      <c r="AF17" s="184" t="s">
        <v>790</v>
      </c>
      <c r="AG17" s="185" t="s">
        <v>791</v>
      </c>
    </row>
    <row r="18" spans="2:33" ht="57" x14ac:dyDescent="0.3">
      <c r="B18" s="187" t="s">
        <v>792</v>
      </c>
      <c r="C18" s="188"/>
      <c r="D18" s="188"/>
      <c r="E18" s="189" t="s">
        <v>793</v>
      </c>
      <c r="F18" s="189" t="s">
        <v>794</v>
      </c>
      <c r="G18" s="189"/>
      <c r="H18" s="189"/>
      <c r="I18" s="189"/>
      <c r="J18" s="189" t="s">
        <v>795</v>
      </c>
      <c r="K18" s="189" t="s">
        <v>796</v>
      </c>
      <c r="L18" s="189" t="s">
        <v>797</v>
      </c>
      <c r="M18" s="190" t="s">
        <v>798</v>
      </c>
      <c r="N18" s="188" t="s">
        <v>799</v>
      </c>
      <c r="O18" s="188" t="s">
        <v>800</v>
      </c>
      <c r="P18" s="188" t="s">
        <v>801</v>
      </c>
      <c r="Q18" s="191" t="s">
        <v>800</v>
      </c>
      <c r="R18" s="190" t="s">
        <v>802</v>
      </c>
      <c r="S18" s="188" t="s">
        <v>803</v>
      </c>
      <c r="T18" s="188" t="s">
        <v>804</v>
      </c>
      <c r="U18" s="188" t="s">
        <v>803</v>
      </c>
      <c r="V18" s="191" t="s">
        <v>804</v>
      </c>
      <c r="W18" s="182"/>
      <c r="X18" s="190" t="s">
        <v>798</v>
      </c>
      <c r="Y18" s="188" t="s">
        <v>799</v>
      </c>
      <c r="Z18" s="188" t="s">
        <v>800</v>
      </c>
      <c r="AA18" s="188" t="s">
        <v>801</v>
      </c>
      <c r="AB18" s="191" t="s">
        <v>800</v>
      </c>
      <c r="AC18" s="190" t="s">
        <v>802</v>
      </c>
      <c r="AD18" s="188" t="s">
        <v>803</v>
      </c>
      <c r="AE18" s="188" t="s">
        <v>804</v>
      </c>
      <c r="AF18" s="188" t="s">
        <v>803</v>
      </c>
      <c r="AG18" s="191" t="s">
        <v>804</v>
      </c>
    </row>
    <row r="19" spans="2:33" ht="13" x14ac:dyDescent="0.3">
      <c r="B19" s="187" t="s">
        <v>805</v>
      </c>
      <c r="C19" s="192"/>
      <c r="D19" s="189"/>
      <c r="E19" s="189"/>
      <c r="F19" s="189"/>
      <c r="G19" s="189"/>
      <c r="H19" s="189"/>
      <c r="I19" s="189"/>
      <c r="J19" s="189"/>
      <c r="K19" s="189"/>
      <c r="L19" s="189"/>
      <c r="M19" s="193"/>
      <c r="N19" s="189"/>
      <c r="O19" s="189"/>
      <c r="P19" s="189"/>
      <c r="Q19" s="194"/>
      <c r="R19" s="193"/>
      <c r="S19" s="189"/>
      <c r="T19" s="189"/>
      <c r="U19" s="189"/>
      <c r="V19" s="194"/>
      <c r="W19" s="182"/>
      <c r="X19" s="193" t="s">
        <v>806</v>
      </c>
      <c r="Y19" s="189"/>
      <c r="Z19" s="189"/>
      <c r="AA19" s="189"/>
      <c r="AB19" s="194"/>
      <c r="AC19" s="193"/>
      <c r="AD19" s="189"/>
      <c r="AE19" s="189"/>
      <c r="AF19" s="189"/>
      <c r="AG19" s="194"/>
    </row>
    <row r="20" spans="2:33" ht="15.75" customHeight="1" x14ac:dyDescent="0.3">
      <c r="B20" s="179"/>
      <c r="C20" s="182" t="s">
        <v>916</v>
      </c>
      <c r="D20" s="182" t="s">
        <v>808</v>
      </c>
      <c r="E20" s="182" t="s">
        <v>808</v>
      </c>
      <c r="F20" s="195">
        <v>1</v>
      </c>
      <c r="G20" s="196">
        <f>E13*F20</f>
        <v>0</v>
      </c>
      <c r="H20" s="197">
        <f>O100</f>
        <v>0</v>
      </c>
      <c r="I20" s="197">
        <f>R100</f>
        <v>0</v>
      </c>
      <c r="J20" s="196">
        <f>$L$13*F20</f>
        <v>0</v>
      </c>
      <c r="K20" s="196">
        <f>O110</f>
        <v>0</v>
      </c>
      <c r="L20" s="196">
        <f>R110</f>
        <v>0</v>
      </c>
      <c r="M20" s="198">
        <f>E78</f>
        <v>251.71</v>
      </c>
      <c r="N20" s="199">
        <f>H20*M20</f>
        <v>0</v>
      </c>
      <c r="O20" s="199">
        <f>N20/1000</f>
        <v>0</v>
      </c>
      <c r="P20" s="199">
        <f>I20*M20</f>
        <v>0</v>
      </c>
      <c r="Q20" s="200">
        <f>P20/1000</f>
        <v>0</v>
      </c>
      <c r="R20" s="201">
        <v>0</v>
      </c>
      <c r="S20" s="202">
        <f>O20*R20</f>
        <v>0</v>
      </c>
      <c r="T20" s="202">
        <f>O20-S20</f>
        <v>0</v>
      </c>
      <c r="U20" s="202">
        <f>Q20*R20</f>
        <v>0</v>
      </c>
      <c r="V20" s="203">
        <f>Q20-U20</f>
        <v>0</v>
      </c>
      <c r="W20" s="182"/>
      <c r="X20" s="198">
        <f>$E$79</f>
        <v>304.49</v>
      </c>
      <c r="Y20" s="199">
        <f>K20*X20</f>
        <v>0</v>
      </c>
      <c r="Z20" s="199">
        <f>Y20/1000</f>
        <v>0</v>
      </c>
      <c r="AA20" s="199">
        <f>L20*X20</f>
        <v>0</v>
      </c>
      <c r="AB20" s="200">
        <f>AA20/1000</f>
        <v>0</v>
      </c>
      <c r="AC20" s="201">
        <v>0.2</v>
      </c>
      <c r="AD20" s="202">
        <f>Z20*AC20</f>
        <v>0</v>
      </c>
      <c r="AE20" s="202">
        <f>Z20-AD20</f>
        <v>0</v>
      </c>
      <c r="AF20" s="202">
        <f>AB20*AC20</f>
        <v>0</v>
      </c>
      <c r="AG20" s="203">
        <f>AB20-AF20</f>
        <v>0</v>
      </c>
    </row>
    <row r="21" spans="2:33" ht="15.75" customHeight="1" x14ac:dyDescent="0.3">
      <c r="B21" s="179"/>
      <c r="C21" s="179"/>
      <c r="D21" s="204" t="s">
        <v>809</v>
      </c>
      <c r="E21" s="204"/>
      <c r="F21" s="204"/>
      <c r="G21" s="204"/>
      <c r="H21" s="204"/>
      <c r="I21" s="204"/>
      <c r="J21" s="172">
        <f>SUM(J20)</f>
        <v>0</v>
      </c>
      <c r="K21" s="172">
        <f>SUM(K20)</f>
        <v>0</v>
      </c>
      <c r="L21" s="172">
        <f>SUM(L20)</f>
        <v>0</v>
      </c>
      <c r="M21" s="205"/>
      <c r="N21" s="172">
        <f>SUM(N20)</f>
        <v>0</v>
      </c>
      <c r="O21" s="172">
        <f>SUM(O20)</f>
        <v>0</v>
      </c>
      <c r="P21" s="172">
        <f>SUM(P20)</f>
        <v>0</v>
      </c>
      <c r="Q21" s="173">
        <f>SUM(Q20)</f>
        <v>0</v>
      </c>
      <c r="R21" s="205"/>
      <c r="S21" s="172">
        <f>SUM(S20)</f>
        <v>0</v>
      </c>
      <c r="T21" s="172">
        <f>SUM(T20)</f>
        <v>0</v>
      </c>
      <c r="U21" s="172">
        <f>SUM(U20)</f>
        <v>0</v>
      </c>
      <c r="V21" s="173">
        <f>SUM(V20)</f>
        <v>0</v>
      </c>
      <c r="W21" s="182"/>
      <c r="X21" s="205"/>
      <c r="Y21" s="172">
        <f>SUM(Y20)</f>
        <v>0</v>
      </c>
      <c r="Z21" s="172">
        <f>SUM(Z20)</f>
        <v>0</v>
      </c>
      <c r="AA21" s="172">
        <f>SUM(AA20)</f>
        <v>0</v>
      </c>
      <c r="AB21" s="173">
        <f>SUM(AB20)</f>
        <v>0</v>
      </c>
      <c r="AC21" s="205"/>
      <c r="AD21" s="172">
        <f>SUM(AD20)</f>
        <v>0</v>
      </c>
      <c r="AE21" s="172">
        <f>SUM(AE20)</f>
        <v>0</v>
      </c>
      <c r="AF21" s="172">
        <f>SUM(AF20)</f>
        <v>0</v>
      </c>
      <c r="AG21" s="173">
        <f>SUM(AG20)</f>
        <v>0</v>
      </c>
    </row>
    <row r="22" spans="2:33" ht="15.75" customHeight="1" x14ac:dyDescent="0.3">
      <c r="B22" s="179"/>
      <c r="C22" s="182"/>
      <c r="D22" s="182"/>
      <c r="E22" s="182"/>
      <c r="F22" s="182"/>
      <c r="G22" s="182"/>
      <c r="H22" s="182"/>
      <c r="I22" s="182"/>
      <c r="J22" s="182"/>
      <c r="K22" s="182"/>
      <c r="L22" s="182"/>
      <c r="M22" s="206"/>
      <c r="N22" s="182"/>
      <c r="O22" s="182"/>
      <c r="P22" s="182"/>
      <c r="Q22" s="207"/>
      <c r="R22" s="208"/>
      <c r="S22" s="179"/>
      <c r="T22" s="179"/>
      <c r="U22" s="179"/>
      <c r="V22" s="209"/>
      <c r="W22" s="182"/>
      <c r="X22" s="206"/>
      <c r="Y22" s="182"/>
      <c r="Z22" s="182"/>
      <c r="AA22" s="182"/>
      <c r="AB22" s="207"/>
      <c r="AC22" s="208"/>
      <c r="AD22" s="179"/>
      <c r="AE22" s="179"/>
      <c r="AF22" s="179"/>
      <c r="AG22" s="209"/>
    </row>
    <row r="23" spans="2:33" ht="15.75" customHeight="1" x14ac:dyDescent="0.3">
      <c r="B23" s="179"/>
      <c r="C23" s="182" t="s">
        <v>916</v>
      </c>
      <c r="D23" s="182" t="s">
        <v>764</v>
      </c>
      <c r="E23" s="182" t="s">
        <v>810</v>
      </c>
      <c r="F23" s="195">
        <v>0.6</v>
      </c>
      <c r="G23" s="196">
        <f>F13*F23</f>
        <v>297101.44927536236</v>
      </c>
      <c r="H23" s="196">
        <f>O60</f>
        <v>196374.77355072464</v>
      </c>
      <c r="I23" s="196">
        <f>R60</f>
        <v>392749.54710144928</v>
      </c>
      <c r="J23" s="196">
        <f>M$13*F23</f>
        <v>1486064.6599777034</v>
      </c>
      <c r="K23" s="196">
        <f>O70</f>
        <v>440183.4977703456</v>
      </c>
      <c r="L23" s="196">
        <f>R70</f>
        <v>635851.77396878484</v>
      </c>
      <c r="M23" s="210">
        <f>E78</f>
        <v>251.71</v>
      </c>
      <c r="N23" s="211">
        <f>H23*M23</f>
        <v>49429494.250452898</v>
      </c>
      <c r="O23" s="211">
        <f>N23/1000</f>
        <v>49429.494250452895</v>
      </c>
      <c r="P23" s="211">
        <f>I23*M23</f>
        <v>98858988.500905797</v>
      </c>
      <c r="Q23" s="212">
        <f>P23/1000</f>
        <v>98858.988500905791</v>
      </c>
      <c r="R23" s="213">
        <v>0.2</v>
      </c>
      <c r="S23" s="196">
        <f>O23*R23</f>
        <v>9885.8988500905798</v>
      </c>
      <c r="T23" s="196">
        <f>O23-S23</f>
        <v>39543.595400362319</v>
      </c>
      <c r="U23" s="196">
        <f>Q23*R23</f>
        <v>19771.79770018116</v>
      </c>
      <c r="V23" s="214">
        <f>Q23-U23</f>
        <v>79087.190800724638</v>
      </c>
      <c r="W23" s="182"/>
      <c r="X23" s="210">
        <f>E79</f>
        <v>304.49</v>
      </c>
      <c r="Y23" s="211">
        <f>K23*X23</f>
        <v>134031473.23609254</v>
      </c>
      <c r="Z23" s="211">
        <f>Y23/1000</f>
        <v>134031.47323609254</v>
      </c>
      <c r="AA23" s="211">
        <f>L23*X23</f>
        <v>193610506.65575531</v>
      </c>
      <c r="AB23" s="212">
        <f>AA23/1000</f>
        <v>193610.50665575531</v>
      </c>
      <c r="AC23" s="213">
        <v>0.4</v>
      </c>
      <c r="AD23" s="196">
        <f>Z23*AC23</f>
        <v>53612.589294437021</v>
      </c>
      <c r="AE23" s="196">
        <f>Z23-AD23</f>
        <v>80418.883941655513</v>
      </c>
      <c r="AF23" s="196">
        <f>AB23*AC23</f>
        <v>77444.202662302123</v>
      </c>
      <c r="AG23" s="214">
        <f>AB23-AF23</f>
        <v>116166.30399345318</v>
      </c>
    </row>
    <row r="24" spans="2:33" ht="15.75" customHeight="1" x14ac:dyDescent="0.3">
      <c r="B24" s="179"/>
      <c r="C24" s="182" t="s">
        <v>916</v>
      </c>
      <c r="D24" s="182" t="s">
        <v>764</v>
      </c>
      <c r="E24" s="182" t="s">
        <v>811</v>
      </c>
      <c r="F24" s="195">
        <v>0.3</v>
      </c>
      <c r="G24" s="196">
        <f>F24*G13</f>
        <v>286705.6856187291</v>
      </c>
      <c r="H24" s="196">
        <f>U60</f>
        <v>158128.57869983275</v>
      </c>
      <c r="I24" s="196">
        <f>X60</f>
        <v>193904.07253344479</v>
      </c>
      <c r="J24" s="196">
        <f>M$13*F24</f>
        <v>743032.32998885168</v>
      </c>
      <c r="K24" s="196">
        <f>U70</f>
        <v>353962.95498885168</v>
      </c>
      <c r="L24" s="196">
        <f>X70</f>
        <v>427877.02480490517</v>
      </c>
      <c r="M24" s="198">
        <f>E80</f>
        <v>320.62</v>
      </c>
      <c r="N24" s="211">
        <f t="shared" ref="N24:N25" si="0">H24*M24</f>
        <v>50699184.902740382</v>
      </c>
      <c r="O24" s="211">
        <f>N24/1000</f>
        <v>50699.18490274038</v>
      </c>
      <c r="P24" s="211">
        <f t="shared" ref="P24:P25" si="1">I24*M24</f>
        <v>62169523.73567307</v>
      </c>
      <c r="Q24" s="212">
        <f>P24/1000</f>
        <v>62169.523735673072</v>
      </c>
      <c r="R24" s="201">
        <v>0.2</v>
      </c>
      <c r="S24" s="196">
        <f>O24*R24</f>
        <v>10139.836980548076</v>
      </c>
      <c r="T24" s="196">
        <f>O24-S24</f>
        <v>40559.347922192304</v>
      </c>
      <c r="U24" s="196">
        <f>Q24*R24</f>
        <v>12433.904747134615</v>
      </c>
      <c r="V24" s="214">
        <f>Q24-U24</f>
        <v>49735.618988538459</v>
      </c>
      <c r="W24" s="182"/>
      <c r="X24" s="210">
        <f>E80</f>
        <v>320.62</v>
      </c>
      <c r="Y24" s="211">
        <f>K24*X24</f>
        <v>113487602.62852563</v>
      </c>
      <c r="Z24" s="211">
        <f>Y24/1000</f>
        <v>113487.60262852562</v>
      </c>
      <c r="AA24" s="211">
        <f>L24*X24</f>
        <v>137185931.6929487</v>
      </c>
      <c r="AB24" s="212">
        <f>AA24/1000</f>
        <v>137185.93169294871</v>
      </c>
      <c r="AC24" s="201">
        <v>0.4</v>
      </c>
      <c r="AD24" s="196">
        <f>Z24*AC24</f>
        <v>45395.041051410255</v>
      </c>
      <c r="AE24" s="196">
        <f>Z24-AD24</f>
        <v>68092.561577115368</v>
      </c>
      <c r="AF24" s="196">
        <f>AB24*AC24</f>
        <v>54874.37267717949</v>
      </c>
      <c r="AG24" s="214">
        <f>AB24-AF24</f>
        <v>82311.55901576922</v>
      </c>
    </row>
    <row r="25" spans="2:33" ht="15.75" customHeight="1" x14ac:dyDescent="0.3">
      <c r="B25" s="179"/>
      <c r="C25" s="182" t="s">
        <v>916</v>
      </c>
      <c r="D25" s="182" t="s">
        <v>764</v>
      </c>
      <c r="E25" s="182" t="s">
        <v>812</v>
      </c>
      <c r="F25" s="195">
        <v>0.1</v>
      </c>
      <c r="G25" s="196">
        <f>F25</f>
        <v>0.1</v>
      </c>
      <c r="H25" s="196">
        <f>AA60</f>
        <v>6.2532500000000005E-2</v>
      </c>
      <c r="I25" s="196">
        <f>AD60</f>
        <v>7.7660000000000007E-2</v>
      </c>
      <c r="J25" s="196">
        <f>M$13*F25</f>
        <v>247677.44332961726</v>
      </c>
      <c r="K25" s="196">
        <f>AA70</f>
        <v>145280.1579338536</v>
      </c>
      <c r="L25" s="196">
        <f>AD70</f>
        <v>176311.66480862134</v>
      </c>
      <c r="M25" s="198">
        <f>E$81</f>
        <v>370.64400000000001</v>
      </c>
      <c r="N25" s="211">
        <f t="shared" si="0"/>
        <v>23.177295930000003</v>
      </c>
      <c r="O25" s="211">
        <f>N25/1000</f>
        <v>2.3177295930000005E-2</v>
      </c>
      <c r="P25" s="211">
        <f t="shared" si="1"/>
        <v>28.784213040000004</v>
      </c>
      <c r="Q25" s="212">
        <f>P25/1000</f>
        <v>2.8784213040000003E-2</v>
      </c>
      <c r="R25" s="201">
        <v>0.2</v>
      </c>
      <c r="S25" s="196">
        <f>O25*R25</f>
        <v>4.6354591860000008E-3</v>
      </c>
      <c r="T25" s="196">
        <f>O25-S25</f>
        <v>1.8541836744000003E-2</v>
      </c>
      <c r="U25" s="196">
        <f>Q25*R25</f>
        <v>5.7568426080000009E-3</v>
      </c>
      <c r="V25" s="214">
        <f>Q25-U25</f>
        <v>2.3027370432000004E-2</v>
      </c>
      <c r="W25" s="182"/>
      <c r="X25" s="210">
        <f>E81</f>
        <v>370.64400000000001</v>
      </c>
      <c r="Y25" s="211">
        <f>K25*X25</f>
        <v>53847218.857235231</v>
      </c>
      <c r="Z25" s="211">
        <f>Y25/1000</f>
        <v>53847.218857235232</v>
      </c>
      <c r="AA25" s="211">
        <f>L25*X25</f>
        <v>65348860.691326648</v>
      </c>
      <c r="AB25" s="212">
        <f>AA25/1000</f>
        <v>65348.860691326649</v>
      </c>
      <c r="AC25" s="201">
        <v>0.4</v>
      </c>
      <c r="AD25" s="196">
        <f>Z25*AC25</f>
        <v>21538.887542894096</v>
      </c>
      <c r="AE25" s="196">
        <f>Z25-AD25</f>
        <v>32308.331314341136</v>
      </c>
      <c r="AF25" s="196">
        <f>AB25*AC25</f>
        <v>26139.544276530662</v>
      </c>
      <c r="AG25" s="214">
        <f>AB25-AF25</f>
        <v>39209.316414795991</v>
      </c>
    </row>
    <row r="26" spans="2:33" ht="15.75" customHeight="1" x14ac:dyDescent="0.3">
      <c r="B26" s="179"/>
      <c r="C26" s="182"/>
      <c r="D26" s="204" t="s">
        <v>813</v>
      </c>
      <c r="E26" s="204"/>
      <c r="F26" s="215"/>
      <c r="G26" s="215"/>
      <c r="H26" s="215"/>
      <c r="I26" s="215"/>
      <c r="J26" s="172">
        <f>SUM(J23:J25)</f>
        <v>2476774.4332961724</v>
      </c>
      <c r="K26" s="172">
        <f>SUM(K23:K25)</f>
        <v>939426.61069305078</v>
      </c>
      <c r="L26" s="172"/>
      <c r="M26" s="216"/>
      <c r="N26" s="172">
        <f>SUM(N23:N25)</f>
        <v>100128702.3304892</v>
      </c>
      <c r="O26" s="172">
        <f>N26/1000</f>
        <v>100128.70233048921</v>
      </c>
      <c r="P26" s="172">
        <f>SUM(P23:P25)</f>
        <v>161028541.02079192</v>
      </c>
      <c r="Q26" s="173">
        <f>P26/1000</f>
        <v>161028.54102079192</v>
      </c>
      <c r="R26" s="205"/>
      <c r="S26" s="172">
        <f>SUM(S23:S25)</f>
        <v>20025.740466097843</v>
      </c>
      <c r="T26" s="172">
        <f>SUM(T23:T25)</f>
        <v>80102.961864391371</v>
      </c>
      <c r="U26" s="172">
        <f>SUM(U23:U25)</f>
        <v>32205.708204158382</v>
      </c>
      <c r="V26" s="173">
        <f>SUM(V23:V25)</f>
        <v>128822.83281663353</v>
      </c>
      <c r="W26" s="182"/>
      <c r="X26" s="216"/>
      <c r="Y26" s="172">
        <f>SUM(Y23:Y25)</f>
        <v>301366294.72185344</v>
      </c>
      <c r="Z26" s="172">
        <f>Y26/1000</f>
        <v>301366.29472185345</v>
      </c>
      <c r="AA26" s="172">
        <f>SUM(AA23:AA25)</f>
        <v>396145299.0400306</v>
      </c>
      <c r="AB26" s="173">
        <f>AA26/1000</f>
        <v>396145.29904003057</v>
      </c>
      <c r="AC26" s="205"/>
      <c r="AD26" s="172">
        <f>SUM(AD23:AD25)</f>
        <v>120546.51788874138</v>
      </c>
      <c r="AE26" s="172">
        <f>SUM(AE23:AE25)</f>
        <v>180819.77683311203</v>
      </c>
      <c r="AF26" s="172">
        <f>SUM(AF23:AF25)</f>
        <v>158458.11961601226</v>
      </c>
      <c r="AG26" s="173">
        <f>SUM(AG23:AG25)</f>
        <v>237687.1794240184</v>
      </c>
    </row>
    <row r="27" spans="2:33" ht="15.75" customHeight="1" x14ac:dyDescent="0.3">
      <c r="B27" s="179"/>
      <c r="C27" s="182"/>
      <c r="D27" s="182"/>
      <c r="E27" s="182"/>
      <c r="F27" s="182"/>
      <c r="G27" s="182"/>
      <c r="H27" s="182"/>
      <c r="I27" s="182"/>
      <c r="J27" s="182"/>
      <c r="K27" s="182"/>
      <c r="L27" s="182"/>
      <c r="M27" s="206"/>
      <c r="N27" s="217"/>
      <c r="O27" s="217"/>
      <c r="P27" s="217"/>
      <c r="Q27" s="218"/>
      <c r="R27" s="208"/>
      <c r="S27" s="196"/>
      <c r="T27" s="196"/>
      <c r="U27" s="196"/>
      <c r="V27" s="214"/>
      <c r="W27" s="182"/>
      <c r="X27" s="206"/>
      <c r="Y27" s="217"/>
      <c r="Z27" s="217"/>
      <c r="AA27" s="217"/>
      <c r="AB27" s="218"/>
      <c r="AC27" s="208"/>
      <c r="AD27" s="196"/>
      <c r="AE27" s="196"/>
      <c r="AF27" s="196"/>
      <c r="AG27" s="214"/>
    </row>
    <row r="28" spans="2:33" ht="15.75" customHeight="1" x14ac:dyDescent="0.3">
      <c r="B28" s="179"/>
      <c r="C28" s="182" t="s">
        <v>916</v>
      </c>
      <c r="D28" s="182" t="s">
        <v>737</v>
      </c>
      <c r="E28" s="182" t="s">
        <v>810</v>
      </c>
      <c r="F28" s="195">
        <v>0.6</v>
      </c>
      <c r="G28" s="196">
        <f>$G$13*F28</f>
        <v>573411.3712374582</v>
      </c>
      <c r="H28" s="196">
        <f>O80</f>
        <v>169848.74874581941</v>
      </c>
      <c r="I28" s="196">
        <f>R80</f>
        <v>245349.10723244146</v>
      </c>
      <c r="J28" s="196">
        <f>N$13*F28</f>
        <v>4253065.7748049051</v>
      </c>
      <c r="K28" s="196">
        <f>O90</f>
        <v>1259789.9804905243</v>
      </c>
      <c r="L28" s="196">
        <f>R90</f>
        <v>1819785.8347268673</v>
      </c>
      <c r="M28" s="198">
        <f>E$79</f>
        <v>304.49</v>
      </c>
      <c r="N28" s="211">
        <f>H28*M28</f>
        <v>51717245.505614556</v>
      </c>
      <c r="O28" s="211">
        <f>N28/1000</f>
        <v>51717.245505614555</v>
      </c>
      <c r="P28" s="211">
        <f>I28*M28</f>
        <v>74706349.661206096</v>
      </c>
      <c r="Q28" s="212">
        <f>P28/1000</f>
        <v>74706.349661206099</v>
      </c>
      <c r="R28" s="201">
        <v>0.2</v>
      </c>
      <c r="S28" s="196">
        <f>O28*R28</f>
        <v>10343.449101122911</v>
      </c>
      <c r="T28" s="196">
        <f>O28-S28</f>
        <v>41373.796404491644</v>
      </c>
      <c r="U28" s="196">
        <f>Q28*R28</f>
        <v>14941.269932241221</v>
      </c>
      <c r="V28" s="214">
        <f>Q28-U28</f>
        <v>59765.079728964876</v>
      </c>
      <c r="W28" s="182"/>
      <c r="X28" s="198">
        <f>E$79</f>
        <v>304.49</v>
      </c>
      <c r="Y28" s="211">
        <f>K28*X28</f>
        <v>383593451.15955979</v>
      </c>
      <c r="Z28" s="211">
        <f>Y28/1000</f>
        <v>383593.45115955977</v>
      </c>
      <c r="AA28" s="211">
        <f>L28*X28</f>
        <v>554106588.81598377</v>
      </c>
      <c r="AB28" s="212">
        <f>AA28/1000</f>
        <v>554106.58881598373</v>
      </c>
      <c r="AC28" s="201">
        <v>0.4</v>
      </c>
      <c r="AD28" s="196">
        <f>Z28*AC28</f>
        <v>153437.38046382391</v>
      </c>
      <c r="AE28" s="196">
        <f>Z28-AD28</f>
        <v>230156.07069573586</v>
      </c>
      <c r="AF28" s="196">
        <f>AB28*AC28</f>
        <v>221642.63552639351</v>
      </c>
      <c r="AG28" s="214">
        <f>AB28-AF28</f>
        <v>332463.95328959019</v>
      </c>
    </row>
    <row r="29" spans="2:33" ht="15.75" customHeight="1" x14ac:dyDescent="0.3">
      <c r="B29" s="179"/>
      <c r="C29" s="182" t="s">
        <v>916</v>
      </c>
      <c r="D29" s="182" t="s">
        <v>737</v>
      </c>
      <c r="E29" s="182" t="s">
        <v>811</v>
      </c>
      <c r="F29" s="195">
        <v>0.3</v>
      </c>
      <c r="G29" s="196">
        <f>F29*G13</f>
        <v>286705.6856187291</v>
      </c>
      <c r="H29" s="196">
        <f>U80</f>
        <v>136579.7793687291</v>
      </c>
      <c r="I29" s="196">
        <f>X80</f>
        <v>165100.18582775918</v>
      </c>
      <c r="J29" s="196">
        <f>N$13*F29</f>
        <v>2126532.8874024525</v>
      </c>
      <c r="K29" s="196">
        <f>U90</f>
        <v>1013029.7624024524</v>
      </c>
      <c r="L29" s="196">
        <f>X90</f>
        <v>1224569.2795429209</v>
      </c>
      <c r="M29" s="198">
        <f>E$80</f>
        <v>320.62</v>
      </c>
      <c r="N29" s="211">
        <f>H29*M29</f>
        <v>43790208.861201927</v>
      </c>
      <c r="O29" s="211">
        <f>N29/1000</f>
        <v>43790.208861201929</v>
      </c>
      <c r="P29" s="211">
        <f>I29*M29</f>
        <v>52934421.580096148</v>
      </c>
      <c r="Q29" s="212">
        <f>P29/1000</f>
        <v>52934.421580096146</v>
      </c>
      <c r="R29" s="201">
        <v>0.2</v>
      </c>
      <c r="S29" s="196">
        <f>O29*R29</f>
        <v>8758.0417722403854</v>
      </c>
      <c r="T29" s="196">
        <f>O29-S29</f>
        <v>35032.167088961542</v>
      </c>
      <c r="U29" s="196">
        <f>Q29*R29</f>
        <v>10586.88431601923</v>
      </c>
      <c r="V29" s="214">
        <f>Q29-U29</f>
        <v>42347.53726407692</v>
      </c>
      <c r="W29" s="182"/>
      <c r="X29" s="198">
        <f>E$80</f>
        <v>320.62</v>
      </c>
      <c r="Y29" s="211">
        <f>K29*X29</f>
        <v>324797602.42147428</v>
      </c>
      <c r="Z29" s="211">
        <f>Y29/1000</f>
        <v>324797.60242147429</v>
      </c>
      <c r="AA29" s="211">
        <f>L29*X29</f>
        <v>392621402.40705132</v>
      </c>
      <c r="AB29" s="212">
        <f>AA29/1000</f>
        <v>392621.4024070513</v>
      </c>
      <c r="AC29" s="201">
        <v>0.4</v>
      </c>
      <c r="AD29" s="196">
        <f>Z29*AC29</f>
        <v>129919.04096858972</v>
      </c>
      <c r="AE29" s="196">
        <f>Z29-AD29</f>
        <v>194878.56145288458</v>
      </c>
      <c r="AF29" s="196">
        <f>AB29*AC29</f>
        <v>157048.56096282051</v>
      </c>
      <c r="AG29" s="214">
        <f>AB29-AF29</f>
        <v>235572.84144423078</v>
      </c>
    </row>
    <row r="30" spans="2:33" ht="15.75" customHeight="1" x14ac:dyDescent="0.3">
      <c r="B30" s="179"/>
      <c r="C30" s="182" t="s">
        <v>916</v>
      </c>
      <c r="D30" s="182" t="s">
        <v>737</v>
      </c>
      <c r="E30" s="182" t="s">
        <v>812</v>
      </c>
      <c r="F30" s="195">
        <v>0.1</v>
      </c>
      <c r="G30" s="196">
        <f>$G$13*F30</f>
        <v>95568.561872909719</v>
      </c>
      <c r="H30" s="196">
        <f>AA80</f>
        <v>56057.651337792646</v>
      </c>
      <c r="I30" s="196">
        <f>AD80</f>
        <v>68031.436454849521</v>
      </c>
      <c r="J30" s="196">
        <f>N$13*F30</f>
        <v>708844.29580081766</v>
      </c>
      <c r="K30" s="196">
        <f>AA90</f>
        <v>415786.79858788563</v>
      </c>
      <c r="L30" s="196">
        <f>AD90</f>
        <v>504597.90040877007</v>
      </c>
      <c r="M30" s="198">
        <f>E$81</f>
        <v>370.64400000000001</v>
      </c>
      <c r="N30" s="211">
        <f>H30*M30</f>
        <v>20777432.122444816</v>
      </c>
      <c r="O30" s="211">
        <f>N30/1000</f>
        <v>20777.432122444818</v>
      </c>
      <c r="P30" s="211">
        <f>I30*M30</f>
        <v>25215443.733371247</v>
      </c>
      <c r="Q30" s="212">
        <f>P30/1000</f>
        <v>25215.443733371245</v>
      </c>
      <c r="R30" s="201">
        <v>0.2</v>
      </c>
      <c r="S30" s="196">
        <f>O30*R30</f>
        <v>4155.4864244889641</v>
      </c>
      <c r="T30" s="196">
        <f>O30-S30</f>
        <v>16621.945697955853</v>
      </c>
      <c r="U30" s="196">
        <f>Q30*R30</f>
        <v>5043.0887466742497</v>
      </c>
      <c r="V30" s="214">
        <f>Q30-U30</f>
        <v>20172.354986696995</v>
      </c>
      <c r="W30" s="182"/>
      <c r="X30" s="198">
        <f>E$81</f>
        <v>370.64400000000001</v>
      </c>
      <c r="Y30" s="211">
        <f>K30*X30</f>
        <v>154108882.17580828</v>
      </c>
      <c r="Z30" s="211">
        <f>Y30/1000</f>
        <v>154108.88217580828</v>
      </c>
      <c r="AA30" s="211">
        <f>L30*X30</f>
        <v>187026184.19910818</v>
      </c>
      <c r="AB30" s="212">
        <f>AA30/1000</f>
        <v>187026.18419910819</v>
      </c>
      <c r="AC30" s="201">
        <v>0.4</v>
      </c>
      <c r="AD30" s="196">
        <f>Z30*AC30</f>
        <v>61643.552870323314</v>
      </c>
      <c r="AE30" s="196">
        <f>Z30-AD30</f>
        <v>92465.329305484964</v>
      </c>
      <c r="AF30" s="196">
        <f>AB30*AC30</f>
        <v>74810.473679643284</v>
      </c>
      <c r="AG30" s="214">
        <f>AB30-AF30</f>
        <v>112215.7105194649</v>
      </c>
    </row>
    <row r="31" spans="2:33" ht="15.75" customHeight="1" x14ac:dyDescent="0.3">
      <c r="B31" s="179"/>
      <c r="C31" s="182"/>
      <c r="D31" s="204" t="s">
        <v>814</v>
      </c>
      <c r="E31" s="204"/>
      <c r="F31" s="215"/>
      <c r="G31" s="215"/>
      <c r="H31" s="215"/>
      <c r="I31" s="215"/>
      <c r="J31" s="172">
        <f>SUM(J28:J30)</f>
        <v>7088442.9580081757</v>
      </c>
      <c r="K31" s="172">
        <f>SUM(K28:K30)</f>
        <v>2688606.5414808625</v>
      </c>
      <c r="L31" s="172">
        <f>SUM(L28:L30)</f>
        <v>3548953.0146785583</v>
      </c>
      <c r="M31" s="216"/>
      <c r="N31" s="172">
        <f>SUM(N28:N30)</f>
        <v>116284886.4892613</v>
      </c>
      <c r="O31" s="172">
        <f>N31/1000</f>
        <v>116284.88648926131</v>
      </c>
      <c r="P31" s="172">
        <f>SUM(P28:P30)</f>
        <v>152856214.97467351</v>
      </c>
      <c r="Q31" s="173">
        <f>P31/1000</f>
        <v>152856.21497467352</v>
      </c>
      <c r="R31" s="205"/>
      <c r="S31" s="172">
        <f>SUM(S28:S30)</f>
        <v>23256.977297852263</v>
      </c>
      <c r="T31" s="172">
        <f>SUM(T28:T30)</f>
        <v>93027.909191409039</v>
      </c>
      <c r="U31" s="172">
        <f>SUM(U28:U30)</f>
        <v>30571.242994934699</v>
      </c>
      <c r="V31" s="173">
        <f>SUM(V28:V30)</f>
        <v>122284.9719797388</v>
      </c>
      <c r="W31" s="182"/>
      <c r="X31" s="216"/>
      <c r="Y31" s="172">
        <f>SUM(Y28:Y30)</f>
        <v>862499935.75684237</v>
      </c>
      <c r="Z31" s="172">
        <f>Y31/1000</f>
        <v>862499.93575684237</v>
      </c>
      <c r="AA31" s="172">
        <f>SUM(AA28:AA30)</f>
        <v>1133754175.4221432</v>
      </c>
      <c r="AB31" s="173">
        <f>AA31/1000</f>
        <v>1133754.1754221432</v>
      </c>
      <c r="AC31" s="205"/>
      <c r="AD31" s="172">
        <f>SUM(AD28:AD30)</f>
        <v>344999.97430273693</v>
      </c>
      <c r="AE31" s="172">
        <f>SUM(AE28:AE30)</f>
        <v>517499.96145410539</v>
      </c>
      <c r="AF31" s="172">
        <f>SUM(AF28:AF30)</f>
        <v>453501.67016885732</v>
      </c>
      <c r="AG31" s="173">
        <f>SUM(AG28:AG30)</f>
        <v>680252.50525328587</v>
      </c>
    </row>
    <row r="32" spans="2:33" ht="15.75" customHeight="1" thickBot="1" x14ac:dyDescent="0.35">
      <c r="B32" s="179"/>
      <c r="C32" s="219" t="s">
        <v>815</v>
      </c>
      <c r="D32" s="219"/>
      <c r="E32" s="220"/>
      <c r="F32" s="221"/>
      <c r="G32" s="221"/>
      <c r="H32" s="221"/>
      <c r="I32" s="221"/>
      <c r="J32" s="222">
        <f>SUM(J31,J26,J21)</f>
        <v>9565217.3913043477</v>
      </c>
      <c r="K32" s="222">
        <f>SUM(K31,K26,K21)</f>
        <v>3628033.1521739131</v>
      </c>
      <c r="L32" s="222">
        <f>SUM(L31,L26,L21)</f>
        <v>3548953.0146785583</v>
      </c>
      <c r="M32" s="223"/>
      <c r="N32" s="222">
        <f>SUM(N31,N26,N21)</f>
        <v>216413588.81975049</v>
      </c>
      <c r="O32" s="222">
        <f>SUM(O31,O26,O21)</f>
        <v>216413.58881975053</v>
      </c>
      <c r="P32" s="222">
        <f>SUM(P31,P26,P21)</f>
        <v>313884755.9954654</v>
      </c>
      <c r="Q32" s="224">
        <f>SUM(Q31,Q26,Q21)</f>
        <v>313884.75599546544</v>
      </c>
      <c r="R32" s="225"/>
      <c r="S32" s="222">
        <f>SUM(S31,S26,S21)</f>
        <v>43282.717763950102</v>
      </c>
      <c r="T32" s="226">
        <f>SUM(T31,T26,T21)</f>
        <v>173130.87105580041</v>
      </c>
      <c r="U32" s="222">
        <f>SUM(U31,U26,U21)</f>
        <v>62776.951199093077</v>
      </c>
      <c r="V32" s="227">
        <f>SUM(V31,V26,V21)</f>
        <v>251107.80479637231</v>
      </c>
      <c r="W32" s="182"/>
      <c r="X32" s="223"/>
      <c r="Y32" s="222">
        <f>SUM(Y31,Y26,Y21)</f>
        <v>1163866230.4786959</v>
      </c>
      <c r="Z32" s="222">
        <f>SUM(Z31,Z26,Z21)</f>
        <v>1163866.2304786958</v>
      </c>
      <c r="AA32" s="222">
        <f>SUM(AA31,AA26,AA21)</f>
        <v>1529899474.4621739</v>
      </c>
      <c r="AB32" s="224">
        <f>SUM(AB31,AB26,AB21)</f>
        <v>1529899.4744621739</v>
      </c>
      <c r="AC32" s="225"/>
      <c r="AD32" s="222">
        <f>SUM(AD31,AD26,AD21)</f>
        <v>465546.49219147832</v>
      </c>
      <c r="AE32" s="226">
        <f>SUM(AE31,AE26,AE21)</f>
        <v>698319.73828721745</v>
      </c>
      <c r="AF32" s="222">
        <f>SUM(AF31,AF26,AF21)</f>
        <v>611959.78978486964</v>
      </c>
      <c r="AG32" s="227">
        <f>SUM(AG31,AG26,AG21)</f>
        <v>917939.68467730423</v>
      </c>
    </row>
    <row r="33" spans="2:33" ht="15.75" customHeight="1" x14ac:dyDescent="0.3">
      <c r="B33" s="179"/>
      <c r="C33" s="182"/>
      <c r="D33" s="182"/>
      <c r="E33" s="182"/>
      <c r="F33" s="182"/>
      <c r="G33" s="182"/>
      <c r="H33" s="182"/>
      <c r="I33" s="182"/>
      <c r="J33" s="182"/>
      <c r="K33" s="182"/>
      <c r="L33" s="182"/>
      <c r="M33" s="228"/>
      <c r="N33" s="229"/>
      <c r="O33" s="229" t="s">
        <v>816</v>
      </c>
      <c r="P33" s="230"/>
      <c r="Q33" s="231">
        <f>O32</f>
        <v>216413.58881975053</v>
      </c>
      <c r="R33" s="232"/>
      <c r="S33" s="233"/>
      <c r="T33" s="234" t="s">
        <v>816</v>
      </c>
      <c r="U33" s="234"/>
      <c r="V33" s="235">
        <f>T32</f>
        <v>173130.87105580041</v>
      </c>
      <c r="W33" s="236" t="s">
        <v>817</v>
      </c>
      <c r="X33" s="228"/>
      <c r="Y33" s="229"/>
      <c r="Z33" s="229" t="s">
        <v>816</v>
      </c>
      <c r="AA33" s="230"/>
      <c r="AB33" s="231">
        <f>Z32</f>
        <v>1163866.2304786958</v>
      </c>
      <c r="AC33" s="232"/>
      <c r="AD33" s="233"/>
      <c r="AE33" s="234" t="s">
        <v>816</v>
      </c>
      <c r="AF33" s="234"/>
      <c r="AG33" s="235">
        <f>AE32</f>
        <v>698319.73828721745</v>
      </c>
    </row>
    <row r="34" spans="2:33" ht="15.75" customHeight="1" thickBot="1" x14ac:dyDescent="0.35">
      <c r="B34" s="179"/>
      <c r="C34" s="182"/>
      <c r="D34" s="182"/>
      <c r="E34" s="182"/>
      <c r="F34" s="182"/>
      <c r="G34" s="182"/>
      <c r="H34" s="182"/>
      <c r="I34" s="182"/>
      <c r="J34" s="182"/>
      <c r="K34" s="182"/>
      <c r="L34" s="182"/>
      <c r="M34" s="237"/>
      <c r="N34" s="238"/>
      <c r="O34" s="238" t="s">
        <v>818</v>
      </c>
      <c r="P34" s="238"/>
      <c r="Q34" s="239">
        <f>Q32</f>
        <v>313884.75599546544</v>
      </c>
      <c r="R34" s="240"/>
      <c r="S34" s="241"/>
      <c r="T34" s="242" t="s">
        <v>818</v>
      </c>
      <c r="U34" s="242"/>
      <c r="V34" s="243">
        <f>V32</f>
        <v>251107.80479637231</v>
      </c>
      <c r="W34" s="236" t="s">
        <v>817</v>
      </c>
      <c r="X34" s="237"/>
      <c r="Y34" s="238"/>
      <c r="Z34" s="238" t="s">
        <v>818</v>
      </c>
      <c r="AA34" s="238"/>
      <c r="AB34" s="239">
        <f>AB32</f>
        <v>1529899.4744621739</v>
      </c>
      <c r="AC34" s="240"/>
      <c r="AD34" s="241"/>
      <c r="AE34" s="242" t="s">
        <v>818</v>
      </c>
      <c r="AF34" s="242"/>
      <c r="AG34" s="243">
        <f>AG32</f>
        <v>917939.68467730423</v>
      </c>
    </row>
    <row r="35" spans="2:33" ht="15.75" customHeight="1" x14ac:dyDescent="0.3">
      <c r="B35" s="179"/>
      <c r="C35" s="182"/>
      <c r="D35" s="182"/>
      <c r="E35" s="182"/>
      <c r="F35" s="182"/>
      <c r="G35" s="182"/>
      <c r="H35" s="182"/>
      <c r="I35" s="182"/>
      <c r="J35" s="182"/>
      <c r="K35" s="182"/>
      <c r="L35" s="182"/>
      <c r="M35" s="244"/>
      <c r="N35" s="217"/>
      <c r="O35" s="182"/>
      <c r="P35" s="182"/>
      <c r="Q35" s="182"/>
      <c r="R35" s="245"/>
      <c r="S35" s="246"/>
      <c r="T35" s="247" t="s">
        <v>819</v>
      </c>
      <c r="U35" s="246"/>
      <c r="V35" s="248">
        <f>Q33-V33</f>
        <v>43282.717763950117</v>
      </c>
      <c r="W35" s="236" t="s">
        <v>817</v>
      </c>
      <c r="X35" s="244"/>
      <c r="Y35" s="217"/>
      <c r="Z35" s="182"/>
      <c r="AA35" s="182"/>
      <c r="AB35" s="182"/>
      <c r="AC35" s="245"/>
      <c r="AD35" s="246"/>
      <c r="AE35" s="247" t="s">
        <v>819</v>
      </c>
      <c r="AF35" s="246"/>
      <c r="AG35" s="248">
        <f>AB33-AG33</f>
        <v>465546.49219147838</v>
      </c>
    </row>
    <row r="36" spans="2:33" ht="15.75" customHeight="1" thickBot="1" x14ac:dyDescent="0.35">
      <c r="B36" s="179"/>
      <c r="C36" s="182"/>
      <c r="D36" s="182"/>
      <c r="E36" s="182"/>
      <c r="F36" s="182"/>
      <c r="G36" s="182"/>
      <c r="H36" s="182"/>
      <c r="I36" s="182"/>
      <c r="J36" s="182"/>
      <c r="K36" s="182"/>
      <c r="L36" s="182"/>
      <c r="M36" s="244"/>
      <c r="N36" s="217"/>
      <c r="O36" s="182"/>
      <c r="P36" s="182"/>
      <c r="Q36" s="182"/>
      <c r="R36" s="249"/>
      <c r="S36" s="250"/>
      <c r="T36" s="251" t="s">
        <v>820</v>
      </c>
      <c r="U36" s="250"/>
      <c r="V36" s="252">
        <f>Q34-V34</f>
        <v>62776.951199093135</v>
      </c>
      <c r="W36" s="236" t="s">
        <v>817</v>
      </c>
      <c r="X36" s="244"/>
      <c r="Y36" s="217"/>
      <c r="Z36" s="182"/>
      <c r="AA36" s="182"/>
      <c r="AB36" s="182"/>
      <c r="AC36" s="249"/>
      <c r="AD36" s="250"/>
      <c r="AE36" s="251" t="s">
        <v>820</v>
      </c>
      <c r="AF36" s="250"/>
      <c r="AG36" s="252">
        <f>AB34-AG34</f>
        <v>611959.78978486964</v>
      </c>
    </row>
    <row r="37" spans="2:33" ht="15.75" customHeight="1" x14ac:dyDescent="0.3">
      <c r="B37" s="179"/>
      <c r="C37" s="182"/>
      <c r="D37" s="182"/>
      <c r="E37" s="182"/>
      <c r="F37" s="182"/>
      <c r="G37" s="182"/>
      <c r="H37" s="182"/>
      <c r="I37" s="182"/>
      <c r="J37" s="182"/>
      <c r="K37" s="182"/>
      <c r="L37" s="182"/>
      <c r="M37" s="244"/>
      <c r="N37" s="217"/>
      <c r="O37" s="182"/>
      <c r="P37" s="182"/>
      <c r="Q37" s="182"/>
      <c r="R37" s="182"/>
      <c r="S37" s="182"/>
      <c r="T37" s="182"/>
      <c r="U37" s="182"/>
      <c r="V37" s="182"/>
      <c r="W37" s="182"/>
      <c r="X37" s="182"/>
    </row>
    <row r="39" spans="2:33" ht="13.5" thickBot="1" x14ac:dyDescent="0.35">
      <c r="B39" s="253"/>
      <c r="C39" s="253"/>
      <c r="D39" s="253"/>
      <c r="E39" s="253"/>
      <c r="F39" s="253"/>
      <c r="G39" s="253"/>
      <c r="H39" s="253"/>
      <c r="I39" s="253"/>
      <c r="J39" s="253"/>
      <c r="K39" s="253"/>
      <c r="L39" s="253"/>
      <c r="M39" s="253"/>
      <c r="N39" s="253"/>
      <c r="O39" s="253"/>
      <c r="P39" s="253"/>
      <c r="Q39" s="253"/>
      <c r="R39" s="253"/>
      <c r="S39" s="253"/>
      <c r="T39" s="253"/>
      <c r="U39" s="253"/>
    </row>
    <row r="40" spans="2:33" ht="15.75" customHeight="1" thickTop="1" x14ac:dyDescent="0.3"/>
    <row r="41" spans="2:33" ht="13" x14ac:dyDescent="0.3">
      <c r="C41" s="254" t="s">
        <v>821</v>
      </c>
    </row>
    <row r="43" spans="2:33" ht="13" x14ac:dyDescent="0.3">
      <c r="C43" s="155" t="s">
        <v>822</v>
      </c>
    </row>
    <row r="44" spans="2:33" ht="13" x14ac:dyDescent="0.3">
      <c r="C44" s="155" t="s">
        <v>823</v>
      </c>
    </row>
    <row r="45" spans="2:33" ht="13" x14ac:dyDescent="0.3">
      <c r="C45" s="155" t="s">
        <v>824</v>
      </c>
    </row>
    <row r="46" spans="2:33" ht="13" x14ac:dyDescent="0.3">
      <c r="C46" s="155" t="s">
        <v>825</v>
      </c>
    </row>
    <row r="48" spans="2:33" ht="13.5" thickBot="1" x14ac:dyDescent="0.35">
      <c r="B48" s="253"/>
      <c r="C48" s="253"/>
      <c r="D48" s="253"/>
      <c r="E48" s="253"/>
      <c r="F48" s="253"/>
      <c r="G48" s="253"/>
      <c r="H48" s="253"/>
      <c r="I48" s="253"/>
      <c r="J48" s="253"/>
      <c r="K48" s="253"/>
      <c r="L48" s="253"/>
      <c r="M48" s="253"/>
      <c r="N48" s="253"/>
      <c r="O48" s="253"/>
      <c r="P48" s="253"/>
      <c r="Q48" s="253"/>
      <c r="R48" s="253"/>
      <c r="S48" s="253"/>
      <c r="T48" s="253"/>
      <c r="U48" s="253"/>
    </row>
    <row r="49" spans="2:30" ht="15.75" customHeight="1" thickTop="1" x14ac:dyDescent="0.3"/>
    <row r="50" spans="2:30" ht="14.5" x14ac:dyDescent="0.35">
      <c r="M50" s="255" t="s">
        <v>826</v>
      </c>
    </row>
    <row r="51" spans="2:30" ht="13.5" thickBot="1" x14ac:dyDescent="0.35">
      <c r="M51" s="155" t="s">
        <v>827</v>
      </c>
    </row>
    <row r="52" spans="2:30" ht="30.75" customHeight="1" thickTop="1" x14ac:dyDescent="0.35">
      <c r="M52" s="396" t="s">
        <v>917</v>
      </c>
      <c r="N52" s="397"/>
      <c r="O52" s="397"/>
      <c r="P52" s="398"/>
      <c r="Q52" s="397"/>
      <c r="R52" s="399"/>
      <c r="S52" s="400" t="s">
        <v>918</v>
      </c>
      <c r="T52" s="397"/>
      <c r="U52" s="397"/>
      <c r="V52" s="398"/>
      <c r="W52" s="397"/>
      <c r="X52" s="399"/>
      <c r="Y52" s="400" t="s">
        <v>919</v>
      </c>
      <c r="Z52" s="397"/>
      <c r="AA52" s="397"/>
      <c r="AB52" s="398"/>
      <c r="AC52" s="397"/>
      <c r="AD52" s="401"/>
    </row>
    <row r="53" spans="2:30" ht="13" x14ac:dyDescent="0.3">
      <c r="M53" s="384" t="s">
        <v>831</v>
      </c>
      <c r="N53" s="370"/>
      <c r="O53" s="370"/>
      <c r="P53" s="385" t="s">
        <v>832</v>
      </c>
      <c r="Q53" s="370"/>
      <c r="R53" s="386"/>
      <c r="S53" s="402" t="s">
        <v>831</v>
      </c>
      <c r="T53" s="370"/>
      <c r="U53" s="370"/>
      <c r="V53" s="385" t="s">
        <v>832</v>
      </c>
      <c r="W53" s="370"/>
      <c r="X53" s="386"/>
      <c r="Y53" s="402" t="s">
        <v>831</v>
      </c>
      <c r="Z53" s="370"/>
      <c r="AA53" s="370"/>
      <c r="AB53" s="385" t="s">
        <v>832</v>
      </c>
      <c r="AC53" s="370"/>
      <c r="AD53" s="386"/>
    </row>
    <row r="54" spans="2:30" ht="13.5" thickBot="1" x14ac:dyDescent="0.35">
      <c r="M54" s="256" t="s">
        <v>833</v>
      </c>
      <c r="N54" s="257" t="s">
        <v>834</v>
      </c>
      <c r="O54" s="258" t="s">
        <v>835</v>
      </c>
      <c r="P54" s="259" t="s">
        <v>833</v>
      </c>
      <c r="Q54" s="257" t="s">
        <v>834</v>
      </c>
      <c r="R54" s="260" t="s">
        <v>835</v>
      </c>
      <c r="S54" s="261" t="s">
        <v>833</v>
      </c>
      <c r="T54" s="257" t="s">
        <v>834</v>
      </c>
      <c r="U54" s="258" t="s">
        <v>835</v>
      </c>
      <c r="V54" s="259" t="s">
        <v>833</v>
      </c>
      <c r="W54" s="257" t="s">
        <v>834</v>
      </c>
      <c r="X54" s="260" t="s">
        <v>835</v>
      </c>
      <c r="Y54" s="261" t="s">
        <v>833</v>
      </c>
      <c r="Z54" s="257" t="s">
        <v>834</v>
      </c>
      <c r="AA54" s="258" t="s">
        <v>835</v>
      </c>
      <c r="AB54" s="257" t="s">
        <v>833</v>
      </c>
      <c r="AC54" s="257" t="s">
        <v>834</v>
      </c>
      <c r="AD54" s="262" t="s">
        <v>835</v>
      </c>
    </row>
    <row r="55" spans="2:30" ht="13.5" thickBot="1" x14ac:dyDescent="0.35">
      <c r="L55" s="263" t="s">
        <v>836</v>
      </c>
      <c r="M55" s="264">
        <v>0.25</v>
      </c>
      <c r="N55" s="265">
        <f>$G$23*M$55</f>
        <v>74275.362318840591</v>
      </c>
      <c r="O55" s="265">
        <f>N$55*D$65</f>
        <v>35995.69746376812</v>
      </c>
      <c r="P55" s="266">
        <v>0.5</v>
      </c>
      <c r="Q55" s="265">
        <f>$G$23*P$55</f>
        <v>148550.72463768118</v>
      </c>
      <c r="R55" s="267">
        <f>Q55*D65</f>
        <v>71991.394927536239</v>
      </c>
      <c r="S55" s="266">
        <v>0.55000000000000004</v>
      </c>
      <c r="T55" s="265">
        <f>$G$24*S55</f>
        <v>157688.12709030102</v>
      </c>
      <c r="U55" s="268">
        <f>T55*D65</f>
        <v>76419.608591137119</v>
      </c>
      <c r="V55" s="266">
        <v>0.3</v>
      </c>
      <c r="W55" s="265">
        <f>$G$24*V55</f>
        <v>86011.705685618726</v>
      </c>
      <c r="X55" s="267">
        <f>W55*$D$65</f>
        <v>41683.422867892972</v>
      </c>
      <c r="Y55" s="266">
        <v>0.5</v>
      </c>
      <c r="Z55" s="265">
        <f>$G$25*Y55</f>
        <v>0.05</v>
      </c>
      <c r="AA55" s="268">
        <f>Z55*D65</f>
        <v>2.4231249999999999E-2</v>
      </c>
      <c r="AB55" s="266">
        <v>0</v>
      </c>
      <c r="AC55" s="265">
        <f>$G$25*AB55</f>
        <v>0</v>
      </c>
      <c r="AD55" s="269">
        <f>AC55*D65</f>
        <v>0</v>
      </c>
    </row>
    <row r="56" spans="2:30" ht="13.5" thickBot="1" x14ac:dyDescent="0.35">
      <c r="L56" s="263" t="s">
        <v>837</v>
      </c>
      <c r="M56" s="264">
        <v>0.2</v>
      </c>
      <c r="N56" s="265">
        <f t="shared" ref="N56:N59" si="2">$G$23*M$55</f>
        <v>74275.362318840591</v>
      </c>
      <c r="O56" s="265">
        <f>N$56*D$66</f>
        <v>56111.32246376812</v>
      </c>
      <c r="P56" s="266">
        <v>0.45</v>
      </c>
      <c r="Q56" s="265">
        <f t="shared" ref="Q56:Q59" si="3">$G$23*P$55</f>
        <v>148550.72463768118</v>
      </c>
      <c r="R56" s="267">
        <f>Q56*D66</f>
        <v>112222.64492753624</v>
      </c>
      <c r="S56" s="266">
        <v>0.3</v>
      </c>
      <c r="T56" s="265">
        <f t="shared" ref="T56:T59" si="4">$G$24*S56</f>
        <v>86011.705685618726</v>
      </c>
      <c r="U56" s="268">
        <f>T56*D66</f>
        <v>64977.54306020066</v>
      </c>
      <c r="V56" s="266">
        <v>0.6</v>
      </c>
      <c r="W56" s="265">
        <f t="shared" ref="W56:W59" si="5">$G$24*V56</f>
        <v>172023.41137123745</v>
      </c>
      <c r="X56" s="267">
        <f>W56*D66</f>
        <v>129955.08612040132</v>
      </c>
      <c r="Y56" s="266">
        <v>0.25</v>
      </c>
      <c r="Z56" s="265">
        <f t="shared" ref="Z56:Z59" si="6">$G$25*Y56</f>
        <v>2.5000000000000001E-2</v>
      </c>
      <c r="AA56" s="268">
        <f>Z56*D66</f>
        <v>1.888625E-2</v>
      </c>
      <c r="AB56" s="266">
        <v>0</v>
      </c>
      <c r="AC56" s="265">
        <f t="shared" ref="AC56:AC59" si="7">$G$25*AB56</f>
        <v>0</v>
      </c>
      <c r="AD56" s="269">
        <f>AC56*D66</f>
        <v>0</v>
      </c>
    </row>
    <row r="57" spans="2:30" ht="13.5" thickBot="1" x14ac:dyDescent="0.35">
      <c r="L57" s="263" t="s">
        <v>838</v>
      </c>
      <c r="M57" s="264">
        <v>0</v>
      </c>
      <c r="N57" s="265">
        <f t="shared" si="2"/>
        <v>74275.362318840591</v>
      </c>
      <c r="O57" s="265">
        <f>N$57*D$67</f>
        <v>57682.246376811607</v>
      </c>
      <c r="P57" s="266">
        <v>0</v>
      </c>
      <c r="Q57" s="265">
        <f t="shared" si="3"/>
        <v>148550.72463768118</v>
      </c>
      <c r="R57" s="267">
        <f>Q57*D67</f>
        <v>115364.49275362321</v>
      </c>
      <c r="S57" s="266">
        <v>0</v>
      </c>
      <c r="T57" s="265">
        <f t="shared" si="4"/>
        <v>0</v>
      </c>
      <c r="U57" s="265">
        <f>T57*D67</f>
        <v>0</v>
      </c>
      <c r="V57" s="266">
        <v>0.1</v>
      </c>
      <c r="W57" s="265">
        <f t="shared" si="5"/>
        <v>28670.568561872911</v>
      </c>
      <c r="X57" s="267">
        <f>W57*D67</f>
        <v>22265.563545150504</v>
      </c>
      <c r="Y57" s="266">
        <v>0.25</v>
      </c>
      <c r="Z57" s="265">
        <f t="shared" si="6"/>
        <v>2.5000000000000001E-2</v>
      </c>
      <c r="AA57" s="268">
        <f>Z57*D67</f>
        <v>1.9415000000000002E-2</v>
      </c>
      <c r="AB57" s="266">
        <v>1</v>
      </c>
      <c r="AC57" s="265">
        <f t="shared" si="7"/>
        <v>0.1</v>
      </c>
      <c r="AD57" s="269">
        <f>AC57*D67</f>
        <v>7.7660000000000007E-2</v>
      </c>
    </row>
    <row r="58" spans="2:30" ht="13.5" thickBot="1" x14ac:dyDescent="0.35">
      <c r="L58" s="263" t="s">
        <v>839</v>
      </c>
      <c r="M58" s="264">
        <v>0.5</v>
      </c>
      <c r="N58" s="265">
        <f t="shared" si="2"/>
        <v>74275.362318840591</v>
      </c>
      <c r="O58" s="265">
        <f>N$58*D$68</f>
        <v>17688.677536231888</v>
      </c>
      <c r="P58" s="266">
        <v>0.05</v>
      </c>
      <c r="Q58" s="265">
        <f t="shared" si="3"/>
        <v>148550.72463768118</v>
      </c>
      <c r="R58" s="267">
        <f>Q58*D68</f>
        <v>35377.355072463775</v>
      </c>
      <c r="S58" s="266">
        <v>0</v>
      </c>
      <c r="T58" s="265">
        <f t="shared" si="4"/>
        <v>0</v>
      </c>
      <c r="U58" s="268">
        <f>T58*D68</f>
        <v>0</v>
      </c>
      <c r="V58" s="266">
        <v>0</v>
      </c>
      <c r="W58" s="265">
        <f t="shared" si="5"/>
        <v>0</v>
      </c>
      <c r="X58" s="267">
        <f>W58*D68</f>
        <v>0</v>
      </c>
      <c r="Y58" s="266">
        <v>0</v>
      </c>
      <c r="Z58" s="265">
        <f t="shared" si="6"/>
        <v>0</v>
      </c>
      <c r="AA58" s="268">
        <f>Z58*D68</f>
        <v>0</v>
      </c>
      <c r="AB58" s="266">
        <v>0</v>
      </c>
      <c r="AC58" s="265">
        <f t="shared" si="7"/>
        <v>0</v>
      </c>
      <c r="AD58" s="269">
        <f>AC58*D68</f>
        <v>0</v>
      </c>
    </row>
    <row r="59" spans="2:30" ht="13.5" thickBot="1" x14ac:dyDescent="0.35">
      <c r="B59" s="155"/>
      <c r="L59" s="263" t="s">
        <v>840</v>
      </c>
      <c r="M59" s="264">
        <v>0.05</v>
      </c>
      <c r="N59" s="265">
        <f t="shared" si="2"/>
        <v>74275.362318840591</v>
      </c>
      <c r="O59" s="265">
        <f>N$59*D$69</f>
        <v>28896.829710144932</v>
      </c>
      <c r="P59" s="266">
        <v>0</v>
      </c>
      <c r="Q59" s="265">
        <f t="shared" si="3"/>
        <v>148550.72463768118</v>
      </c>
      <c r="R59" s="267">
        <f>Q59*D69</f>
        <v>57793.659420289863</v>
      </c>
      <c r="S59" s="266">
        <v>0.15</v>
      </c>
      <c r="T59" s="265">
        <f t="shared" si="4"/>
        <v>43005.852842809363</v>
      </c>
      <c r="U59" s="268">
        <f>T59*D69</f>
        <v>16731.427048494985</v>
      </c>
      <c r="V59" s="266">
        <v>0</v>
      </c>
      <c r="W59" s="265">
        <f t="shared" si="5"/>
        <v>0</v>
      </c>
      <c r="X59" s="267">
        <f>W59*D69</f>
        <v>0</v>
      </c>
      <c r="Y59" s="266">
        <v>0</v>
      </c>
      <c r="Z59" s="265">
        <f t="shared" si="6"/>
        <v>0</v>
      </c>
      <c r="AA59" s="268">
        <f>Z59*D69</f>
        <v>0</v>
      </c>
      <c r="AB59" s="266">
        <v>0</v>
      </c>
      <c r="AC59" s="265">
        <f t="shared" si="7"/>
        <v>0</v>
      </c>
      <c r="AD59" s="269">
        <f>AC59*D69</f>
        <v>0</v>
      </c>
    </row>
    <row r="60" spans="2:30" ht="15" thickBot="1" x14ac:dyDescent="0.4">
      <c r="B60" s="255" t="s">
        <v>841</v>
      </c>
      <c r="L60" s="270" t="s">
        <v>713</v>
      </c>
      <c r="M60" s="271">
        <f t="shared" ref="M60:AD60" si="8">SUM(M55:M59)</f>
        <v>1</v>
      </c>
      <c r="N60" s="272">
        <f t="shared" si="8"/>
        <v>371376.81159420294</v>
      </c>
      <c r="O60" s="273">
        <f t="shared" si="8"/>
        <v>196374.77355072464</v>
      </c>
      <c r="P60" s="274">
        <f t="shared" si="8"/>
        <v>1</v>
      </c>
      <c r="Q60" s="272">
        <f t="shared" si="8"/>
        <v>742753.62318840588</v>
      </c>
      <c r="R60" s="275">
        <f t="shared" si="8"/>
        <v>392749.54710144928</v>
      </c>
      <c r="S60" s="276">
        <f t="shared" si="8"/>
        <v>1</v>
      </c>
      <c r="T60" s="272">
        <f t="shared" si="8"/>
        <v>286705.6856187291</v>
      </c>
      <c r="U60" s="273">
        <f t="shared" si="8"/>
        <v>158128.57869983275</v>
      </c>
      <c r="V60" s="274">
        <f t="shared" si="8"/>
        <v>0.99999999999999989</v>
      </c>
      <c r="W60" s="272">
        <f t="shared" si="8"/>
        <v>286705.6856187291</v>
      </c>
      <c r="X60" s="275">
        <f t="shared" si="8"/>
        <v>193904.07253344479</v>
      </c>
      <c r="Y60" s="276">
        <f t="shared" si="8"/>
        <v>1</v>
      </c>
      <c r="Z60" s="272">
        <f t="shared" si="8"/>
        <v>0.1</v>
      </c>
      <c r="AA60" s="273">
        <f t="shared" si="8"/>
        <v>6.2532500000000005E-2</v>
      </c>
      <c r="AB60" s="277">
        <f t="shared" si="8"/>
        <v>1</v>
      </c>
      <c r="AC60" s="272">
        <f t="shared" si="8"/>
        <v>0.1</v>
      </c>
      <c r="AD60" s="278">
        <f t="shared" si="8"/>
        <v>7.7660000000000007E-2</v>
      </c>
    </row>
    <row r="61" spans="2:30" ht="14" thickTop="1" thickBot="1" x14ac:dyDescent="0.35">
      <c r="B61" s="155"/>
      <c r="O61" s="279">
        <f>O60/R60</f>
        <v>0.5</v>
      </c>
      <c r="R61" s="280">
        <f>R60/O60</f>
        <v>2</v>
      </c>
      <c r="U61" s="279">
        <f>U60/X60</f>
        <v>0.81549900749278259</v>
      </c>
      <c r="X61" s="280">
        <f>X60/U60</f>
        <v>1.226243061992752</v>
      </c>
      <c r="AA61" s="279">
        <f>AA60/AD60</f>
        <v>0.8052086015967036</v>
      </c>
      <c r="AD61" s="281">
        <f>AD60/AA60</f>
        <v>1.2419142046136009</v>
      </c>
    </row>
    <row r="62" spans="2:30" ht="16" thickTop="1" x14ac:dyDescent="0.35">
      <c r="B62" s="282" t="s">
        <v>842</v>
      </c>
      <c r="C62" s="283"/>
      <c r="D62" s="284"/>
      <c r="M62" s="396" t="s">
        <v>920</v>
      </c>
      <c r="N62" s="397"/>
      <c r="O62" s="397"/>
      <c r="P62" s="398"/>
      <c r="Q62" s="397"/>
      <c r="R62" s="399"/>
      <c r="S62" s="400" t="s">
        <v>921</v>
      </c>
      <c r="T62" s="397"/>
      <c r="U62" s="397"/>
      <c r="V62" s="398"/>
      <c r="W62" s="397"/>
      <c r="X62" s="399"/>
      <c r="Y62" s="400" t="s">
        <v>922</v>
      </c>
      <c r="Z62" s="397"/>
      <c r="AA62" s="397"/>
      <c r="AB62" s="398"/>
      <c r="AC62" s="397"/>
      <c r="AD62" s="401"/>
    </row>
    <row r="63" spans="2:30" ht="13" x14ac:dyDescent="0.3">
      <c r="B63" s="285" t="s">
        <v>846</v>
      </c>
      <c r="D63" s="286"/>
      <c r="M63" s="384" t="s">
        <v>831</v>
      </c>
      <c r="N63" s="370"/>
      <c r="O63" s="370"/>
      <c r="P63" s="385" t="s">
        <v>832</v>
      </c>
      <c r="Q63" s="370"/>
      <c r="R63" s="386"/>
      <c r="S63" s="384" t="s">
        <v>831</v>
      </c>
      <c r="T63" s="370"/>
      <c r="U63" s="370"/>
      <c r="V63" s="385" t="s">
        <v>832</v>
      </c>
      <c r="W63" s="370"/>
      <c r="X63" s="386"/>
      <c r="Y63" s="384" t="s">
        <v>831</v>
      </c>
      <c r="Z63" s="370"/>
      <c r="AA63" s="370"/>
      <c r="AB63" s="385" t="s">
        <v>832</v>
      </c>
      <c r="AC63" s="370"/>
      <c r="AD63" s="386"/>
    </row>
    <row r="64" spans="2:30" ht="13.5" thickBot="1" x14ac:dyDescent="0.35">
      <c r="B64" s="287"/>
      <c r="C64" s="257" t="s">
        <v>847</v>
      </c>
      <c r="D64" s="258" t="s">
        <v>848</v>
      </c>
      <c r="M64" s="256" t="s">
        <v>833</v>
      </c>
      <c r="N64" s="257" t="s">
        <v>834</v>
      </c>
      <c r="O64" s="258" t="s">
        <v>835</v>
      </c>
      <c r="P64" s="259" t="s">
        <v>833</v>
      </c>
      <c r="Q64" s="257" t="s">
        <v>834</v>
      </c>
      <c r="R64" s="260" t="s">
        <v>835</v>
      </c>
      <c r="S64" s="261" t="s">
        <v>833</v>
      </c>
      <c r="T64" s="257" t="s">
        <v>834</v>
      </c>
      <c r="U64" s="258" t="s">
        <v>835</v>
      </c>
      <c r="V64" s="257" t="s">
        <v>833</v>
      </c>
      <c r="W64" s="257" t="s">
        <v>834</v>
      </c>
      <c r="X64" s="260" t="s">
        <v>835</v>
      </c>
      <c r="Y64" s="261" t="s">
        <v>833</v>
      </c>
      <c r="Z64" s="257" t="s">
        <v>834</v>
      </c>
      <c r="AA64" s="258" t="s">
        <v>835</v>
      </c>
      <c r="AB64" s="257" t="s">
        <v>833</v>
      </c>
      <c r="AC64" s="257" t="s">
        <v>834</v>
      </c>
      <c r="AD64" s="262" t="s">
        <v>835</v>
      </c>
    </row>
    <row r="65" spans="2:30" ht="13.5" thickBot="1" x14ac:dyDescent="0.35">
      <c r="B65" s="287"/>
      <c r="C65" s="270" t="s">
        <v>836</v>
      </c>
      <c r="D65" s="288">
        <v>0.48462499999999997</v>
      </c>
      <c r="L65" s="263" t="s">
        <v>836</v>
      </c>
      <c r="M65" s="264">
        <v>0.1</v>
      </c>
      <c r="N65" s="265">
        <f>$J$23*M65</f>
        <v>148606.46599777034</v>
      </c>
      <c r="O65" s="265">
        <f>N65*D65</f>
        <v>72018.408584169447</v>
      </c>
      <c r="P65" s="266">
        <v>0.35</v>
      </c>
      <c r="Q65" s="265">
        <f>$J$23*P65</f>
        <v>520122.63099219615</v>
      </c>
      <c r="R65" s="267">
        <f>Q65*D65</f>
        <v>252064.43004459306</v>
      </c>
      <c r="S65" s="266">
        <v>0.35</v>
      </c>
      <c r="T65" s="265">
        <f>$J$24*S65</f>
        <v>260061.31549609808</v>
      </c>
      <c r="U65" s="265">
        <f>T65*D65</f>
        <v>126032.21502229653</v>
      </c>
      <c r="V65" s="266">
        <v>0.5</v>
      </c>
      <c r="W65" s="265">
        <f>$J$24*V65</f>
        <v>371516.16499442584</v>
      </c>
      <c r="X65" s="267">
        <f>W65*D65</f>
        <v>180046.02146042362</v>
      </c>
      <c r="Y65" s="266">
        <v>0.5</v>
      </c>
      <c r="Z65" s="265">
        <f>$J$25*Y65</f>
        <v>123838.72166480863</v>
      </c>
      <c r="AA65" s="268">
        <f>Z65*D65</f>
        <v>60015.34048680788</v>
      </c>
      <c r="AB65" s="266">
        <v>0.2</v>
      </c>
      <c r="AC65" s="265">
        <f>$J$25*AB65</f>
        <v>49535.488665923454</v>
      </c>
      <c r="AD65" s="269">
        <f>AC65*D65</f>
        <v>24006.136194723153</v>
      </c>
    </row>
    <row r="66" spans="2:30" ht="13.5" thickBot="1" x14ac:dyDescent="0.35">
      <c r="B66" s="287"/>
      <c r="C66" s="270" t="s">
        <v>837</v>
      </c>
      <c r="D66" s="288">
        <v>0.75544999999999995</v>
      </c>
      <c r="L66" s="263" t="s">
        <v>837</v>
      </c>
      <c r="M66" s="264">
        <v>0.05</v>
      </c>
      <c r="N66" s="265">
        <f t="shared" ref="N66:N69" si="9">$J$23*M66</f>
        <v>74303.232998885171</v>
      </c>
      <c r="O66" s="265">
        <f>N66*D66</f>
        <v>56132.377369007801</v>
      </c>
      <c r="P66" s="266">
        <v>0.2</v>
      </c>
      <c r="Q66" s="265">
        <f t="shared" ref="Q66:Q69" si="10">$J$23*P66</f>
        <v>297212.93199554068</v>
      </c>
      <c r="R66" s="267">
        <f>Q66*D66</f>
        <v>224529.50947603121</v>
      </c>
      <c r="S66" s="266">
        <v>0.25</v>
      </c>
      <c r="T66" s="265">
        <f t="shared" ref="T66:T69" si="11">$J$24*S66</f>
        <v>185758.08249721292</v>
      </c>
      <c r="U66" s="265">
        <f>T66*D66</f>
        <v>140330.94342251949</v>
      </c>
      <c r="V66" s="266">
        <v>0.4</v>
      </c>
      <c r="W66" s="265">
        <f t="shared" ref="W66:W69" si="12">$J$24*V66</f>
        <v>297212.93199554068</v>
      </c>
      <c r="X66" s="267">
        <f>W66*D66</f>
        <v>224529.50947603121</v>
      </c>
      <c r="Y66" s="266">
        <v>0.25</v>
      </c>
      <c r="Z66" s="265">
        <f t="shared" ref="Z66:Z69" si="13">$J$25*Y66</f>
        <v>61919.360832404316</v>
      </c>
      <c r="AA66" s="268">
        <f>Z66*D66</f>
        <v>46776.981140839838</v>
      </c>
      <c r="AB66" s="266">
        <v>0.3</v>
      </c>
      <c r="AC66" s="265">
        <f t="shared" ref="AC66:AC69" si="14">$J$25*AB66</f>
        <v>74303.232998885171</v>
      </c>
      <c r="AD66" s="269">
        <f>AC66*D66</f>
        <v>56132.377369007801</v>
      </c>
    </row>
    <row r="67" spans="2:30" ht="13.5" thickBot="1" x14ac:dyDescent="0.35">
      <c r="B67" s="287"/>
      <c r="C67" s="270" t="s">
        <v>838</v>
      </c>
      <c r="D67" s="288">
        <v>0.77660000000000007</v>
      </c>
      <c r="L67" s="263" t="s">
        <v>838</v>
      </c>
      <c r="M67" s="264">
        <v>0</v>
      </c>
      <c r="N67" s="265">
        <f t="shared" si="9"/>
        <v>0</v>
      </c>
      <c r="O67" s="265">
        <f>N67*D67</f>
        <v>0</v>
      </c>
      <c r="P67" s="266">
        <v>0</v>
      </c>
      <c r="Q67" s="265">
        <f t="shared" si="10"/>
        <v>0</v>
      </c>
      <c r="R67" s="267">
        <f>Q67*D67</f>
        <v>0</v>
      </c>
      <c r="S67" s="266">
        <v>0</v>
      </c>
      <c r="T67" s="265">
        <f t="shared" si="11"/>
        <v>0</v>
      </c>
      <c r="U67" s="265">
        <f>T67*D67</f>
        <v>0</v>
      </c>
      <c r="V67" s="266">
        <v>0</v>
      </c>
      <c r="W67" s="265">
        <f t="shared" si="12"/>
        <v>0</v>
      </c>
      <c r="X67" s="267">
        <f>W67*D67</f>
        <v>0</v>
      </c>
      <c r="Y67" s="266">
        <v>0.15</v>
      </c>
      <c r="Z67" s="265">
        <f t="shared" si="13"/>
        <v>37151.616499442585</v>
      </c>
      <c r="AA67" s="268">
        <f>Z67*D67</f>
        <v>28851.945373467115</v>
      </c>
      <c r="AB67" s="266">
        <v>0.5</v>
      </c>
      <c r="AC67" s="265">
        <f t="shared" si="14"/>
        <v>123838.72166480863</v>
      </c>
      <c r="AD67" s="269">
        <f>AC67*D67</f>
        <v>96173.151244890396</v>
      </c>
    </row>
    <row r="68" spans="2:30" ht="13.5" thickBot="1" x14ac:dyDescent="0.35">
      <c r="B68" s="287"/>
      <c r="C68" s="270" t="s">
        <v>839</v>
      </c>
      <c r="D68" s="288">
        <v>0.23815</v>
      </c>
      <c r="L68" s="263" t="s">
        <v>839</v>
      </c>
      <c r="M68" s="264">
        <v>0.8</v>
      </c>
      <c r="N68" s="265">
        <f t="shared" si="9"/>
        <v>1188851.7279821627</v>
      </c>
      <c r="O68" s="265">
        <f>N68*D68</f>
        <v>283125.03901895205</v>
      </c>
      <c r="P68" s="266">
        <v>0.45</v>
      </c>
      <c r="Q68" s="265">
        <f t="shared" si="10"/>
        <v>668729.09698996658</v>
      </c>
      <c r="R68" s="267">
        <f>Q68*D68</f>
        <v>159257.83444816055</v>
      </c>
      <c r="S68" s="266">
        <v>0.25</v>
      </c>
      <c r="T68" s="265">
        <f t="shared" si="11"/>
        <v>185758.08249721292</v>
      </c>
      <c r="U68" s="265">
        <f>T68*D68</f>
        <v>44238.287346711259</v>
      </c>
      <c r="V68" s="266">
        <v>0.05</v>
      </c>
      <c r="W68" s="265">
        <f t="shared" si="12"/>
        <v>37151.616499442585</v>
      </c>
      <c r="X68" s="267">
        <f>W68*D68</f>
        <v>8847.6574693422517</v>
      </c>
      <c r="Y68" s="266">
        <v>0</v>
      </c>
      <c r="Z68" s="265">
        <f t="shared" si="13"/>
        <v>0</v>
      </c>
      <c r="AA68" s="268">
        <f>Z68*D68</f>
        <v>0</v>
      </c>
      <c r="AB68" s="266">
        <v>0</v>
      </c>
      <c r="AC68" s="265">
        <f t="shared" si="14"/>
        <v>0</v>
      </c>
      <c r="AD68" s="269">
        <f>AC68*D68</f>
        <v>0</v>
      </c>
    </row>
    <row r="69" spans="2:30" ht="13.5" thickBot="1" x14ac:dyDescent="0.35">
      <c r="B69" s="287"/>
      <c r="C69" s="270" t="s">
        <v>840</v>
      </c>
      <c r="D69" s="288">
        <v>0.38905000000000001</v>
      </c>
      <c r="L69" s="263" t="s">
        <v>840</v>
      </c>
      <c r="M69" s="264">
        <v>0.05</v>
      </c>
      <c r="N69" s="265">
        <f t="shared" si="9"/>
        <v>74303.232998885171</v>
      </c>
      <c r="O69" s="265">
        <f>N69*D69</f>
        <v>28907.672798216277</v>
      </c>
      <c r="P69" s="266">
        <v>0</v>
      </c>
      <c r="Q69" s="265">
        <f t="shared" si="10"/>
        <v>0</v>
      </c>
      <c r="R69" s="267">
        <f>Q69*D69</f>
        <v>0</v>
      </c>
      <c r="S69" s="266">
        <v>0.15</v>
      </c>
      <c r="T69" s="265">
        <f t="shared" si="11"/>
        <v>111454.84949832775</v>
      </c>
      <c r="U69" s="265">
        <f>T69*D69</f>
        <v>43361.509197324413</v>
      </c>
      <c r="V69" s="266">
        <v>0.05</v>
      </c>
      <c r="W69" s="265">
        <f t="shared" si="12"/>
        <v>37151.616499442585</v>
      </c>
      <c r="X69" s="267">
        <f>W69*D69</f>
        <v>14453.836399108139</v>
      </c>
      <c r="Y69" s="266">
        <v>0.1</v>
      </c>
      <c r="Z69" s="265">
        <f t="shared" si="13"/>
        <v>24767.744332961727</v>
      </c>
      <c r="AA69" s="268">
        <f>Z69*D69</f>
        <v>9635.890932738761</v>
      </c>
      <c r="AB69" s="266">
        <v>0</v>
      </c>
      <c r="AC69" s="265">
        <f t="shared" si="14"/>
        <v>0</v>
      </c>
      <c r="AD69" s="269">
        <f>AC69*D69</f>
        <v>0</v>
      </c>
    </row>
    <row r="70" spans="2:30" ht="13.5" thickBot="1" x14ac:dyDescent="0.35">
      <c r="B70" s="289"/>
      <c r="C70" s="290"/>
      <c r="D70" s="291"/>
      <c r="L70" s="270" t="s">
        <v>713</v>
      </c>
      <c r="M70" s="271">
        <f t="shared" ref="M70:AD70" si="15">SUM(M65:M69)</f>
        <v>1</v>
      </c>
      <c r="N70" s="272">
        <f t="shared" si="15"/>
        <v>1486064.6599777034</v>
      </c>
      <c r="O70" s="273">
        <f t="shared" si="15"/>
        <v>440183.4977703456</v>
      </c>
      <c r="P70" s="274">
        <f t="shared" si="15"/>
        <v>1</v>
      </c>
      <c r="Q70" s="272">
        <f t="shared" si="15"/>
        <v>1486064.6599777034</v>
      </c>
      <c r="R70" s="275">
        <f t="shared" si="15"/>
        <v>635851.77396878484</v>
      </c>
      <c r="S70" s="276">
        <f t="shared" si="15"/>
        <v>1</v>
      </c>
      <c r="T70" s="272">
        <f t="shared" si="15"/>
        <v>743032.32998885156</v>
      </c>
      <c r="U70" s="273">
        <f t="shared" si="15"/>
        <v>353962.95498885168</v>
      </c>
      <c r="V70" s="277">
        <f t="shared" si="15"/>
        <v>1</v>
      </c>
      <c r="W70" s="272">
        <f t="shared" si="15"/>
        <v>743032.32998885168</v>
      </c>
      <c r="X70" s="273">
        <f t="shared" si="15"/>
        <v>427877.02480490517</v>
      </c>
      <c r="Y70" s="276">
        <f t="shared" si="15"/>
        <v>1</v>
      </c>
      <c r="Z70" s="272">
        <f t="shared" si="15"/>
        <v>247677.44332961726</v>
      </c>
      <c r="AA70" s="273">
        <f t="shared" si="15"/>
        <v>145280.1579338536</v>
      </c>
      <c r="AB70" s="277">
        <f t="shared" si="15"/>
        <v>1</v>
      </c>
      <c r="AC70" s="272">
        <f t="shared" si="15"/>
        <v>247677.44332961726</v>
      </c>
      <c r="AD70" s="275">
        <f t="shared" si="15"/>
        <v>176311.66480862134</v>
      </c>
    </row>
    <row r="71" spans="2:30" ht="14" thickTop="1" thickBot="1" x14ac:dyDescent="0.35">
      <c r="O71" s="292">
        <f>O70/R70</f>
        <v>0.69227375906000854</v>
      </c>
      <c r="R71" s="280">
        <f>R70/O70</f>
        <v>1.4445152469130593</v>
      </c>
      <c r="U71" s="292">
        <f>U70/X70</f>
        <v>0.82725394089632331</v>
      </c>
      <c r="X71" s="280">
        <f>X70/U70</f>
        <v>1.2088186596204156</v>
      </c>
      <c r="AA71" s="292">
        <f>AA70/AD70</f>
        <v>0.82399629140561348</v>
      </c>
      <c r="AD71" s="293">
        <f>AD70/AA70</f>
        <v>1.2135976950747567</v>
      </c>
    </row>
    <row r="72" spans="2:30" ht="16" thickTop="1" x14ac:dyDescent="0.35">
      <c r="M72" s="389" t="s">
        <v>923</v>
      </c>
      <c r="N72" s="390"/>
      <c r="O72" s="390"/>
      <c r="P72" s="391"/>
      <c r="Q72" s="390"/>
      <c r="R72" s="392"/>
      <c r="S72" s="393" t="s">
        <v>924</v>
      </c>
      <c r="T72" s="390"/>
      <c r="U72" s="390"/>
      <c r="V72" s="391"/>
      <c r="W72" s="390"/>
      <c r="X72" s="392"/>
      <c r="Y72" s="393" t="s">
        <v>925</v>
      </c>
      <c r="Z72" s="390"/>
      <c r="AA72" s="390"/>
      <c r="AB72" s="391"/>
      <c r="AC72" s="390"/>
      <c r="AD72" s="394"/>
    </row>
    <row r="73" spans="2:30" ht="13" x14ac:dyDescent="0.3">
      <c r="B73" s="395" t="s">
        <v>926</v>
      </c>
      <c r="C73" s="370"/>
      <c r="D73" s="370"/>
      <c r="E73" s="283"/>
      <c r="F73" s="284"/>
      <c r="G73" s="155"/>
      <c r="H73" s="155"/>
      <c r="I73" s="155"/>
      <c r="M73" s="384" t="s">
        <v>831</v>
      </c>
      <c r="N73" s="370"/>
      <c r="O73" s="370"/>
      <c r="P73" s="385" t="s">
        <v>832</v>
      </c>
      <c r="Q73" s="370"/>
      <c r="R73" s="386"/>
      <c r="S73" s="384" t="s">
        <v>831</v>
      </c>
      <c r="T73" s="370"/>
      <c r="U73" s="370"/>
      <c r="V73" s="385" t="s">
        <v>832</v>
      </c>
      <c r="W73" s="370"/>
      <c r="X73" s="386"/>
      <c r="Y73" s="384" t="s">
        <v>831</v>
      </c>
      <c r="Z73" s="370"/>
      <c r="AA73" s="370"/>
      <c r="AB73" s="385" t="s">
        <v>832</v>
      </c>
      <c r="AC73" s="370"/>
      <c r="AD73" s="386"/>
    </row>
    <row r="74" spans="2:30" ht="13.5" thickBot="1" x14ac:dyDescent="0.35">
      <c r="B74" s="387" t="s">
        <v>853</v>
      </c>
      <c r="C74" s="378"/>
      <c r="D74" s="378"/>
      <c r="E74" s="378"/>
      <c r="F74" s="286"/>
      <c r="G74" s="155"/>
      <c r="H74" s="155"/>
      <c r="I74" s="155"/>
      <c r="M74" s="256" t="s">
        <v>833</v>
      </c>
      <c r="N74" s="257" t="s">
        <v>834</v>
      </c>
      <c r="O74" s="258" t="s">
        <v>835</v>
      </c>
      <c r="P74" s="259" t="s">
        <v>833</v>
      </c>
      <c r="Q74" s="257" t="s">
        <v>834</v>
      </c>
      <c r="R74" s="260" t="s">
        <v>835</v>
      </c>
      <c r="S74" s="261" t="s">
        <v>833</v>
      </c>
      <c r="T74" s="257" t="s">
        <v>834</v>
      </c>
      <c r="U74" s="258" t="s">
        <v>835</v>
      </c>
      <c r="V74" s="259" t="s">
        <v>833</v>
      </c>
      <c r="W74" s="257" t="s">
        <v>834</v>
      </c>
      <c r="X74" s="260" t="s">
        <v>835</v>
      </c>
      <c r="Y74" s="261" t="s">
        <v>833</v>
      </c>
      <c r="Z74" s="257" t="s">
        <v>834</v>
      </c>
      <c r="AA74" s="258" t="s">
        <v>835</v>
      </c>
      <c r="AB74" s="259" t="s">
        <v>833</v>
      </c>
      <c r="AC74" s="257" t="s">
        <v>834</v>
      </c>
      <c r="AD74" s="262" t="s">
        <v>835</v>
      </c>
    </row>
    <row r="75" spans="2:30" ht="13.5" thickBot="1" x14ac:dyDescent="0.35">
      <c r="B75" s="287"/>
      <c r="F75" s="286"/>
      <c r="G75" s="294"/>
      <c r="H75" s="294"/>
      <c r="I75" s="294"/>
      <c r="L75" s="263" t="s">
        <v>836</v>
      </c>
      <c r="M75" s="264">
        <v>0.1</v>
      </c>
      <c r="N75" s="265">
        <f>M75*$G$28</f>
        <v>57341.137123745822</v>
      </c>
      <c r="O75" s="265">
        <f>N75*D65</f>
        <v>27788.948578595318</v>
      </c>
      <c r="P75" s="266">
        <v>0.35</v>
      </c>
      <c r="Q75" s="265">
        <f>P75*$G$28</f>
        <v>200693.97993311036</v>
      </c>
      <c r="R75" s="267">
        <f>Q75*D65</f>
        <v>97261.320025083594</v>
      </c>
      <c r="S75" s="266">
        <v>0.35</v>
      </c>
      <c r="T75" s="265">
        <f>$G$29*S75</f>
        <v>100346.98996655518</v>
      </c>
      <c r="U75" s="265">
        <f>T75*D65</f>
        <v>48630.660012541797</v>
      </c>
      <c r="V75" s="266">
        <v>0.5</v>
      </c>
      <c r="W75" s="265">
        <f>$G$29*V75</f>
        <v>143352.84280936455</v>
      </c>
      <c r="X75" s="267">
        <f>W75*D65</f>
        <v>69472.371446488294</v>
      </c>
      <c r="Y75" s="266">
        <v>0.5</v>
      </c>
      <c r="Z75" s="265">
        <f>$G$30*Y75</f>
        <v>47784.280936454859</v>
      </c>
      <c r="AA75" s="268">
        <f>Z75*D65</f>
        <v>23157.457148829435</v>
      </c>
      <c r="AB75" s="266">
        <v>0.2</v>
      </c>
      <c r="AC75" s="265">
        <f>$G$30*AB75</f>
        <v>19113.712374581944</v>
      </c>
      <c r="AD75" s="269">
        <f>AC75*D65</f>
        <v>9262.982859531774</v>
      </c>
    </row>
    <row r="76" spans="2:30" ht="13.5" thickBot="1" x14ac:dyDescent="0.35">
      <c r="B76" s="287"/>
      <c r="D76" s="388" t="s">
        <v>854</v>
      </c>
      <c r="E76" s="378"/>
      <c r="F76" s="376"/>
      <c r="G76" s="295"/>
      <c r="H76" s="295"/>
      <c r="I76" s="295"/>
      <c r="L76" s="263" t="s">
        <v>837</v>
      </c>
      <c r="M76" s="264">
        <v>0.05</v>
      </c>
      <c r="N76" s="265">
        <f t="shared" ref="N76:N79" si="16">M76*$G$28</f>
        <v>28670.568561872911</v>
      </c>
      <c r="O76" s="265">
        <f>N76*D66</f>
        <v>21659.181020066888</v>
      </c>
      <c r="P76" s="266">
        <v>0.2</v>
      </c>
      <c r="Q76" s="265">
        <f t="shared" ref="Q76:Q79" si="17">P76*$G$28</f>
        <v>114682.27424749164</v>
      </c>
      <c r="R76" s="267">
        <f>Q76*D66</f>
        <v>86636.724080267551</v>
      </c>
      <c r="S76" s="266">
        <v>0.25</v>
      </c>
      <c r="T76" s="265">
        <f t="shared" ref="T76:T79" si="18">$G$29*S76</f>
        <v>71676.421404682274</v>
      </c>
      <c r="U76" s="265">
        <f>T76*D66</f>
        <v>54147.952550167218</v>
      </c>
      <c r="V76" s="266">
        <v>0.4</v>
      </c>
      <c r="W76" s="265">
        <f t="shared" ref="W76:W79" si="19">$G$29*V76</f>
        <v>114682.27424749164</v>
      </c>
      <c r="X76" s="267">
        <f>W76*D66</f>
        <v>86636.724080267551</v>
      </c>
      <c r="Y76" s="266">
        <v>0.25</v>
      </c>
      <c r="Z76" s="265">
        <f t="shared" ref="Z76:Z79" si="20">$G$30*Y76</f>
        <v>23892.14046822743</v>
      </c>
      <c r="AA76" s="268">
        <f>Z76*D66</f>
        <v>18049.317516722411</v>
      </c>
      <c r="AB76" s="266">
        <v>0.3</v>
      </c>
      <c r="AC76" s="265">
        <f t="shared" ref="AC76:AC79" si="21">$G$30*AB76</f>
        <v>28670.568561872915</v>
      </c>
      <c r="AD76" s="269">
        <f>AC76*D66</f>
        <v>21659.181020066892</v>
      </c>
    </row>
    <row r="77" spans="2:30" ht="13.5" thickBot="1" x14ac:dyDescent="0.35">
      <c r="B77" s="296" t="s">
        <v>855</v>
      </c>
      <c r="D77" s="297"/>
      <c r="E77" s="298" t="s">
        <v>856</v>
      </c>
      <c r="F77" s="299"/>
      <c r="G77" s="155"/>
      <c r="H77" s="155"/>
      <c r="I77" s="155"/>
      <c r="L77" s="263" t="s">
        <v>838</v>
      </c>
      <c r="M77" s="264">
        <v>0</v>
      </c>
      <c r="N77" s="265">
        <f t="shared" si="16"/>
        <v>0</v>
      </c>
      <c r="O77" s="265">
        <f>N77*D67</f>
        <v>0</v>
      </c>
      <c r="P77" s="266">
        <v>0</v>
      </c>
      <c r="Q77" s="265">
        <f t="shared" si="17"/>
        <v>0</v>
      </c>
      <c r="R77" s="267">
        <f>Q77*D67</f>
        <v>0</v>
      </c>
      <c r="S77" s="266">
        <v>0</v>
      </c>
      <c r="T77" s="265">
        <f t="shared" si="18"/>
        <v>0</v>
      </c>
      <c r="U77" s="265">
        <f>T77*D67</f>
        <v>0</v>
      </c>
      <c r="V77" s="266">
        <v>0</v>
      </c>
      <c r="W77" s="265">
        <f t="shared" si="19"/>
        <v>0</v>
      </c>
      <c r="X77" s="267">
        <f>W77*D67</f>
        <v>0</v>
      </c>
      <c r="Y77" s="266">
        <v>0.15</v>
      </c>
      <c r="Z77" s="265">
        <f t="shared" si="20"/>
        <v>14335.284280936457</v>
      </c>
      <c r="AA77" s="268">
        <f>Z77*D67</f>
        <v>11132.781772575254</v>
      </c>
      <c r="AB77" s="266">
        <v>0.5</v>
      </c>
      <c r="AC77" s="265">
        <f t="shared" si="21"/>
        <v>47784.280936454859</v>
      </c>
      <c r="AD77" s="269">
        <f>AC77*D67</f>
        <v>37109.272575250849</v>
      </c>
    </row>
    <row r="78" spans="2:30" ht="13.5" thickBot="1" x14ac:dyDescent="0.35">
      <c r="B78" s="287" t="s">
        <v>763</v>
      </c>
      <c r="E78" s="300">
        <v>251.71</v>
      </c>
      <c r="F78" s="286"/>
      <c r="G78" s="155"/>
      <c r="H78" s="155"/>
      <c r="I78" s="155"/>
      <c r="L78" s="263" t="s">
        <v>839</v>
      </c>
      <c r="M78" s="264">
        <v>0.8</v>
      </c>
      <c r="N78" s="265">
        <f t="shared" si="16"/>
        <v>458729.09698996658</v>
      </c>
      <c r="O78" s="265">
        <f>N78*D68</f>
        <v>109246.33444816055</v>
      </c>
      <c r="P78" s="266">
        <v>0.45</v>
      </c>
      <c r="Q78" s="265">
        <f t="shared" si="17"/>
        <v>258035.11705685619</v>
      </c>
      <c r="R78" s="267">
        <f>Q78*D68</f>
        <v>61451.063127090303</v>
      </c>
      <c r="S78" s="266">
        <v>0.25</v>
      </c>
      <c r="T78" s="265">
        <f t="shared" si="18"/>
        <v>71676.421404682274</v>
      </c>
      <c r="U78" s="265">
        <f>T78*D68</f>
        <v>17069.739757525083</v>
      </c>
      <c r="V78" s="266">
        <v>0.05</v>
      </c>
      <c r="W78" s="265">
        <f t="shared" si="19"/>
        <v>14335.284280936456</v>
      </c>
      <c r="X78" s="267">
        <f>W78*D68</f>
        <v>3413.947951505017</v>
      </c>
      <c r="Y78" s="266">
        <v>0</v>
      </c>
      <c r="Z78" s="265">
        <f t="shared" si="20"/>
        <v>0</v>
      </c>
      <c r="AA78" s="268">
        <f>Z78*D68</f>
        <v>0</v>
      </c>
      <c r="AB78" s="266">
        <v>0</v>
      </c>
      <c r="AC78" s="265">
        <f t="shared" si="21"/>
        <v>0</v>
      </c>
      <c r="AD78" s="269">
        <f>AC78*D68</f>
        <v>0</v>
      </c>
    </row>
    <row r="79" spans="2:30" ht="13.5" thickBot="1" x14ac:dyDescent="0.35">
      <c r="B79" s="287" t="s">
        <v>857</v>
      </c>
      <c r="E79" s="300">
        <v>304.49</v>
      </c>
      <c r="F79" s="286"/>
      <c r="G79" s="155"/>
      <c r="H79" s="155"/>
      <c r="I79" s="155"/>
      <c r="L79" s="263" t="s">
        <v>840</v>
      </c>
      <c r="M79" s="264">
        <v>0.05</v>
      </c>
      <c r="N79" s="265">
        <f t="shared" si="16"/>
        <v>28670.568561872911</v>
      </c>
      <c r="O79" s="265">
        <f>N79*D69</f>
        <v>11154.284698996657</v>
      </c>
      <c r="P79" s="266">
        <v>0</v>
      </c>
      <c r="Q79" s="265">
        <f t="shared" si="17"/>
        <v>0</v>
      </c>
      <c r="R79" s="267">
        <f>Q79*D69</f>
        <v>0</v>
      </c>
      <c r="S79" s="266">
        <v>0.15</v>
      </c>
      <c r="T79" s="265">
        <f t="shared" si="18"/>
        <v>43005.852842809363</v>
      </c>
      <c r="U79" s="265">
        <f>T79*D69</f>
        <v>16731.427048494985</v>
      </c>
      <c r="V79" s="266">
        <v>0.05</v>
      </c>
      <c r="W79" s="265">
        <f t="shared" si="19"/>
        <v>14335.284280936456</v>
      </c>
      <c r="X79" s="267">
        <f>W79*D69</f>
        <v>5577.1423494983283</v>
      </c>
      <c r="Y79" s="266">
        <v>0.1</v>
      </c>
      <c r="Z79" s="265">
        <f t="shared" si="20"/>
        <v>9556.8561872909722</v>
      </c>
      <c r="AA79" s="268">
        <f>Z79*D69</f>
        <v>3718.0948996655529</v>
      </c>
      <c r="AB79" s="266">
        <v>0</v>
      </c>
      <c r="AC79" s="265">
        <f t="shared" si="21"/>
        <v>0</v>
      </c>
      <c r="AD79" s="269">
        <f>AC79*D69</f>
        <v>0</v>
      </c>
    </row>
    <row r="80" spans="2:30" ht="13.5" thickBot="1" x14ac:dyDescent="0.35">
      <c r="B80" s="287" t="s">
        <v>858</v>
      </c>
      <c r="E80" s="300">
        <v>320.62</v>
      </c>
      <c r="F80" s="286"/>
      <c r="G80" s="155"/>
      <c r="H80" s="155"/>
      <c r="I80" s="155"/>
      <c r="L80" s="270" t="s">
        <v>713</v>
      </c>
      <c r="M80" s="271">
        <f t="shared" ref="M80:AD80" si="22">SUM(M75:M79)</f>
        <v>1</v>
      </c>
      <c r="N80" s="272">
        <f t="shared" si="22"/>
        <v>573411.3712374582</v>
      </c>
      <c r="O80" s="273">
        <f t="shared" si="22"/>
        <v>169848.74874581941</v>
      </c>
      <c r="P80" s="274">
        <f t="shared" si="22"/>
        <v>1</v>
      </c>
      <c r="Q80" s="272">
        <f t="shared" si="22"/>
        <v>573411.3712374582</v>
      </c>
      <c r="R80" s="275">
        <f t="shared" si="22"/>
        <v>245349.10723244146</v>
      </c>
      <c r="S80" s="276">
        <f t="shared" si="22"/>
        <v>1</v>
      </c>
      <c r="T80" s="272">
        <f t="shared" si="22"/>
        <v>286705.6856187291</v>
      </c>
      <c r="U80" s="273">
        <f t="shared" si="22"/>
        <v>136579.7793687291</v>
      </c>
      <c r="V80" s="274">
        <f t="shared" si="22"/>
        <v>1</v>
      </c>
      <c r="W80" s="272">
        <f t="shared" si="22"/>
        <v>286705.6856187291</v>
      </c>
      <c r="X80" s="275">
        <f t="shared" si="22"/>
        <v>165100.18582775918</v>
      </c>
      <c r="Y80" s="276">
        <f t="shared" si="22"/>
        <v>1</v>
      </c>
      <c r="Z80" s="272">
        <f t="shared" si="22"/>
        <v>95568.561872909719</v>
      </c>
      <c r="AA80" s="273">
        <f t="shared" si="22"/>
        <v>56057.651337792646</v>
      </c>
      <c r="AB80" s="274">
        <f t="shared" si="22"/>
        <v>1</v>
      </c>
      <c r="AC80" s="272">
        <f t="shared" si="22"/>
        <v>95568.561872909719</v>
      </c>
      <c r="AD80" s="278">
        <f t="shared" si="22"/>
        <v>68031.436454849521</v>
      </c>
    </row>
    <row r="81" spans="2:30" ht="14" thickTop="1" thickBot="1" x14ac:dyDescent="0.35">
      <c r="B81" s="287" t="s">
        <v>859</v>
      </c>
      <c r="E81" s="300">
        <v>370.64400000000001</v>
      </c>
      <c r="F81" s="286"/>
      <c r="G81" s="155"/>
      <c r="H81" s="155"/>
      <c r="I81" s="155"/>
      <c r="O81" s="292">
        <f>O80/R80</f>
        <v>0.69227375906000865</v>
      </c>
      <c r="R81" s="280">
        <f>R80/O80</f>
        <v>1.4445152469130591</v>
      </c>
      <c r="U81" s="279">
        <f>U80/X80</f>
        <v>0.82725394089632331</v>
      </c>
      <c r="X81" s="280">
        <f>X80/U80</f>
        <v>1.2088186596204156</v>
      </c>
      <c r="AA81" s="292">
        <f>AA80/AD80</f>
        <v>0.82399629140561326</v>
      </c>
      <c r="AD81" s="281">
        <f>AD80/AA80</f>
        <v>1.2135976950747569</v>
      </c>
    </row>
    <row r="82" spans="2:30" ht="16" thickTop="1" x14ac:dyDescent="0.35">
      <c r="G82" s="294"/>
      <c r="H82" s="294"/>
      <c r="I82" s="294"/>
      <c r="M82" s="389" t="s">
        <v>927</v>
      </c>
      <c r="N82" s="390"/>
      <c r="O82" s="390"/>
      <c r="P82" s="391"/>
      <c r="Q82" s="390"/>
      <c r="R82" s="392"/>
      <c r="S82" s="393" t="s">
        <v>928</v>
      </c>
      <c r="T82" s="390"/>
      <c r="U82" s="390"/>
      <c r="V82" s="391"/>
      <c r="W82" s="390"/>
      <c r="X82" s="392"/>
      <c r="Y82" s="393" t="s">
        <v>929</v>
      </c>
      <c r="Z82" s="390"/>
      <c r="AA82" s="390"/>
      <c r="AB82" s="391"/>
      <c r="AC82" s="390"/>
      <c r="AD82" s="394"/>
    </row>
    <row r="83" spans="2:30" ht="13" x14ac:dyDescent="0.3">
      <c r="G83" s="295"/>
      <c r="H83" s="295"/>
      <c r="I83" s="295"/>
      <c r="M83" s="384" t="s">
        <v>831</v>
      </c>
      <c r="N83" s="370"/>
      <c r="O83" s="370"/>
      <c r="P83" s="385" t="s">
        <v>832</v>
      </c>
      <c r="Q83" s="370"/>
      <c r="R83" s="386"/>
      <c r="S83" s="384" t="s">
        <v>831</v>
      </c>
      <c r="T83" s="370"/>
      <c r="U83" s="370"/>
      <c r="V83" s="385" t="s">
        <v>832</v>
      </c>
      <c r="W83" s="370"/>
      <c r="X83" s="386"/>
      <c r="Y83" s="384" t="s">
        <v>831</v>
      </c>
      <c r="Z83" s="370"/>
      <c r="AA83" s="370"/>
      <c r="AB83" s="385" t="s">
        <v>832</v>
      </c>
      <c r="AC83" s="370"/>
      <c r="AD83" s="386"/>
    </row>
    <row r="84" spans="2:30" ht="13.5" thickBot="1" x14ac:dyDescent="0.35">
      <c r="G84" s="155"/>
      <c r="H84" s="155"/>
      <c r="I84" s="155"/>
      <c r="M84" s="256" t="s">
        <v>833</v>
      </c>
      <c r="N84" s="257" t="s">
        <v>834</v>
      </c>
      <c r="O84" s="258" t="s">
        <v>835</v>
      </c>
      <c r="P84" s="259" t="s">
        <v>833</v>
      </c>
      <c r="Q84" s="257" t="s">
        <v>834</v>
      </c>
      <c r="R84" s="260" t="s">
        <v>835</v>
      </c>
      <c r="S84" s="261" t="s">
        <v>833</v>
      </c>
      <c r="T84" s="257" t="s">
        <v>834</v>
      </c>
      <c r="U84" s="258" t="s">
        <v>835</v>
      </c>
      <c r="V84" s="257" t="s">
        <v>833</v>
      </c>
      <c r="W84" s="257" t="s">
        <v>834</v>
      </c>
      <c r="X84" s="260" t="s">
        <v>835</v>
      </c>
      <c r="Y84" s="261" t="s">
        <v>833</v>
      </c>
      <c r="Z84" s="257" t="s">
        <v>834</v>
      </c>
      <c r="AA84" s="258" t="s">
        <v>835</v>
      </c>
      <c r="AB84" s="257" t="s">
        <v>833</v>
      </c>
      <c r="AC84" s="257" t="s">
        <v>834</v>
      </c>
      <c r="AD84" s="262" t="s">
        <v>835</v>
      </c>
    </row>
    <row r="85" spans="2:30" ht="13.5" thickBot="1" x14ac:dyDescent="0.35">
      <c r="G85" s="155"/>
      <c r="H85" s="155"/>
      <c r="I85" s="155"/>
      <c r="L85" s="263" t="s">
        <v>836</v>
      </c>
      <c r="M85" s="264">
        <v>0.1</v>
      </c>
      <c r="N85" s="265">
        <f>J$28*M85</f>
        <v>425306.57748049055</v>
      </c>
      <c r="O85" s="265">
        <f>N85*D65</f>
        <v>206114.20011148273</v>
      </c>
      <c r="P85" s="266">
        <v>0.35</v>
      </c>
      <c r="Q85" s="265">
        <f>J$28*P85</f>
        <v>1488573.0211817166</v>
      </c>
      <c r="R85" s="267">
        <f>Q85*D65</f>
        <v>721399.7003901893</v>
      </c>
      <c r="S85" s="266">
        <v>0.35</v>
      </c>
      <c r="T85" s="265">
        <f>J$29*S85</f>
        <v>744286.51059085829</v>
      </c>
      <c r="U85" s="265">
        <f>T85*D65</f>
        <v>360699.85019509465</v>
      </c>
      <c r="V85" s="266">
        <v>0.5</v>
      </c>
      <c r="W85" s="265">
        <f>J$29*V85</f>
        <v>1063266.4437012263</v>
      </c>
      <c r="X85" s="267">
        <f>W85*D65</f>
        <v>515285.50027870672</v>
      </c>
      <c r="Y85" s="266">
        <v>0.5</v>
      </c>
      <c r="Z85" s="265">
        <f>J$30*Y85</f>
        <v>354422.14790040883</v>
      </c>
      <c r="AA85" s="268">
        <f>Z85*D65</f>
        <v>171761.83342623562</v>
      </c>
      <c r="AB85" s="266">
        <v>0.2</v>
      </c>
      <c r="AC85" s="265">
        <f>J$30*AB85</f>
        <v>141768.85916016353</v>
      </c>
      <c r="AD85" s="269">
        <f>AC85*D65</f>
        <v>68704.733370494243</v>
      </c>
    </row>
    <row r="86" spans="2:30" ht="13.5" thickBot="1" x14ac:dyDescent="0.35">
      <c r="G86" s="155"/>
      <c r="H86" s="155"/>
      <c r="I86" s="155"/>
      <c r="L86" s="263" t="s">
        <v>837</v>
      </c>
      <c r="M86" s="264">
        <v>0.05</v>
      </c>
      <c r="N86" s="265">
        <f>J$28*M86</f>
        <v>212653.28874024528</v>
      </c>
      <c r="O86" s="265">
        <f>N86*D66</f>
        <v>160648.92697881829</v>
      </c>
      <c r="P86" s="266">
        <v>0.2</v>
      </c>
      <c r="Q86" s="265">
        <f>J$28*P86</f>
        <v>850613.1549609811</v>
      </c>
      <c r="R86" s="267">
        <f>Q86*D66</f>
        <v>642595.70791527315</v>
      </c>
      <c r="S86" s="266">
        <v>0.25</v>
      </c>
      <c r="T86" s="265">
        <f>J$29*S86</f>
        <v>531633.22185061313</v>
      </c>
      <c r="U86" s="265">
        <f>T86*D66</f>
        <v>401622.31744704564</v>
      </c>
      <c r="V86" s="266">
        <v>0.4</v>
      </c>
      <c r="W86" s="265">
        <f>J$29*V86</f>
        <v>850613.1549609811</v>
      </c>
      <c r="X86" s="267">
        <f>W86*D66</f>
        <v>642595.70791527315</v>
      </c>
      <c r="Y86" s="266">
        <v>0.25</v>
      </c>
      <c r="Z86" s="265">
        <f>J$30*Y86</f>
        <v>177211.07395020442</v>
      </c>
      <c r="AA86" s="268">
        <f>Z86*D66</f>
        <v>133874.10581568192</v>
      </c>
      <c r="AB86" s="266">
        <v>0.3</v>
      </c>
      <c r="AC86" s="265">
        <f>J$30*AB86</f>
        <v>212653.28874024531</v>
      </c>
      <c r="AD86" s="269">
        <f>AC86*D66</f>
        <v>160648.92697881832</v>
      </c>
    </row>
    <row r="87" spans="2:30" ht="13.5" thickBot="1" x14ac:dyDescent="0.35">
      <c r="G87" s="155"/>
      <c r="H87" s="155"/>
      <c r="I87" s="155"/>
      <c r="L87" s="263" t="s">
        <v>838</v>
      </c>
      <c r="M87" s="264">
        <v>0</v>
      </c>
      <c r="N87" s="265">
        <f>J$28*M87</f>
        <v>0</v>
      </c>
      <c r="O87" s="265">
        <f>N87*D67</f>
        <v>0</v>
      </c>
      <c r="P87" s="266">
        <v>0</v>
      </c>
      <c r="Q87" s="265">
        <f>J$28*P87</f>
        <v>0</v>
      </c>
      <c r="R87" s="267">
        <f>Q87*D67</f>
        <v>0</v>
      </c>
      <c r="S87" s="266">
        <v>0</v>
      </c>
      <c r="T87" s="265">
        <f>J$29*S87</f>
        <v>0</v>
      </c>
      <c r="U87" s="265">
        <f>T87*D67</f>
        <v>0</v>
      </c>
      <c r="V87" s="266">
        <v>0</v>
      </c>
      <c r="W87" s="265">
        <f>J$29*V87</f>
        <v>0</v>
      </c>
      <c r="X87" s="267">
        <f>W87*D67</f>
        <v>0</v>
      </c>
      <c r="Y87" s="266">
        <v>0.15</v>
      </c>
      <c r="Z87" s="265">
        <f>J$30*Y87</f>
        <v>106326.64437012265</v>
      </c>
      <c r="AA87" s="268">
        <f>Z87*D67</f>
        <v>82573.272017837255</v>
      </c>
      <c r="AB87" s="266">
        <v>0.5</v>
      </c>
      <c r="AC87" s="265">
        <f>J$30*AB87</f>
        <v>354422.14790040883</v>
      </c>
      <c r="AD87" s="269">
        <f>AC87*D67</f>
        <v>275244.24005945754</v>
      </c>
    </row>
    <row r="88" spans="2:30" ht="13.5" thickBot="1" x14ac:dyDescent="0.35">
      <c r="G88" s="155"/>
      <c r="H88" s="155"/>
      <c r="I88" s="155"/>
      <c r="L88" s="263" t="s">
        <v>839</v>
      </c>
      <c r="M88" s="264">
        <v>0.8</v>
      </c>
      <c r="N88" s="265">
        <f>J$28*M88</f>
        <v>3402452.6198439244</v>
      </c>
      <c r="O88" s="265">
        <f>N88*D68</f>
        <v>810294.09141583066</v>
      </c>
      <c r="P88" s="266">
        <v>0.45</v>
      </c>
      <c r="Q88" s="265">
        <f>J$28*P88</f>
        <v>1913879.5986622074</v>
      </c>
      <c r="R88" s="267">
        <f>Q88*D68</f>
        <v>455790.4264214047</v>
      </c>
      <c r="S88" s="266">
        <v>0.25</v>
      </c>
      <c r="T88" s="265">
        <f>J$29*S88</f>
        <v>531633.22185061313</v>
      </c>
      <c r="U88" s="265">
        <f>T88*D68</f>
        <v>126608.45178372352</v>
      </c>
      <c r="V88" s="266">
        <v>0.05</v>
      </c>
      <c r="W88" s="265">
        <f>J$29*V88</f>
        <v>106326.64437012264</v>
      </c>
      <c r="X88" s="267">
        <f>W88*D68</f>
        <v>25321.690356744708</v>
      </c>
      <c r="Y88" s="266">
        <v>0</v>
      </c>
      <c r="Z88" s="265">
        <f>J$30*Y88</f>
        <v>0</v>
      </c>
      <c r="AA88" s="268">
        <f>Z88*D68</f>
        <v>0</v>
      </c>
      <c r="AB88" s="266">
        <v>0</v>
      </c>
      <c r="AC88" s="265">
        <f>J$30*AB88</f>
        <v>0</v>
      </c>
      <c r="AD88" s="269">
        <f>AC88*D68</f>
        <v>0</v>
      </c>
    </row>
    <row r="89" spans="2:30" ht="13.5" thickBot="1" x14ac:dyDescent="0.35">
      <c r="G89" s="294"/>
      <c r="H89" s="294"/>
      <c r="I89" s="294"/>
      <c r="L89" s="263" t="s">
        <v>840</v>
      </c>
      <c r="M89" s="264">
        <v>0.05</v>
      </c>
      <c r="N89" s="265">
        <f>J$28*M89</f>
        <v>212653.28874024528</v>
      </c>
      <c r="O89" s="265">
        <f>N89*D69</f>
        <v>82732.761984392433</v>
      </c>
      <c r="P89" s="266">
        <v>0</v>
      </c>
      <c r="Q89" s="265">
        <f>J$28*P89</f>
        <v>0</v>
      </c>
      <c r="R89" s="267">
        <f>Q89*D69</f>
        <v>0</v>
      </c>
      <c r="S89" s="266">
        <v>0.15</v>
      </c>
      <c r="T89" s="265">
        <f>J$29*S89</f>
        <v>318979.93311036786</v>
      </c>
      <c r="U89" s="265">
        <f>T89*D69</f>
        <v>124099.14297658861</v>
      </c>
      <c r="V89" s="266">
        <v>0.05</v>
      </c>
      <c r="W89" s="265">
        <f>J$29*V89</f>
        <v>106326.64437012264</v>
      </c>
      <c r="X89" s="267">
        <f>W89*D69</f>
        <v>41366.380992196217</v>
      </c>
      <c r="Y89" s="266">
        <v>0.1</v>
      </c>
      <c r="Z89" s="265">
        <f>J$30*Y89</f>
        <v>70884.429580081764</v>
      </c>
      <c r="AA89" s="268">
        <f>Z89*D69</f>
        <v>27577.587328130812</v>
      </c>
      <c r="AB89" s="266">
        <v>0</v>
      </c>
      <c r="AC89" s="265">
        <f>J$30*AB89</f>
        <v>0</v>
      </c>
      <c r="AD89" s="269">
        <f>AC89*D69</f>
        <v>0</v>
      </c>
    </row>
    <row r="90" spans="2:30" ht="13.5" thickBot="1" x14ac:dyDescent="0.35">
      <c r="G90" s="295"/>
      <c r="H90" s="295"/>
      <c r="I90" s="295"/>
      <c r="L90" s="270" t="s">
        <v>713</v>
      </c>
      <c r="M90" s="271">
        <f t="shared" ref="M90:AD90" si="23">SUM(M85:M89)</f>
        <v>1</v>
      </c>
      <c r="N90" s="272">
        <f t="shared" si="23"/>
        <v>4253065.774804906</v>
      </c>
      <c r="O90" s="273">
        <f t="shared" si="23"/>
        <v>1259789.9804905243</v>
      </c>
      <c r="P90" s="274">
        <f t="shared" si="23"/>
        <v>1</v>
      </c>
      <c r="Q90" s="272">
        <f t="shared" si="23"/>
        <v>4253065.7748049051</v>
      </c>
      <c r="R90" s="275">
        <f t="shared" si="23"/>
        <v>1819785.8347268673</v>
      </c>
      <c r="S90" s="276">
        <f t="shared" si="23"/>
        <v>1</v>
      </c>
      <c r="T90" s="272">
        <f t="shared" si="23"/>
        <v>2126532.8874024525</v>
      </c>
      <c r="U90" s="273">
        <f t="shared" si="23"/>
        <v>1013029.7624024524</v>
      </c>
      <c r="V90" s="277">
        <f t="shared" si="23"/>
        <v>1</v>
      </c>
      <c r="W90" s="272">
        <f t="shared" si="23"/>
        <v>2126532.8874024525</v>
      </c>
      <c r="X90" s="273">
        <f t="shared" si="23"/>
        <v>1224569.2795429209</v>
      </c>
      <c r="Y90" s="276">
        <f t="shared" si="23"/>
        <v>1</v>
      </c>
      <c r="Z90" s="272">
        <f t="shared" si="23"/>
        <v>708844.29580081766</v>
      </c>
      <c r="AA90" s="273">
        <f t="shared" si="23"/>
        <v>415786.79858788563</v>
      </c>
      <c r="AB90" s="277">
        <f t="shared" si="23"/>
        <v>1</v>
      </c>
      <c r="AC90" s="272">
        <f t="shared" si="23"/>
        <v>708844.29580081766</v>
      </c>
      <c r="AD90" s="275">
        <f t="shared" si="23"/>
        <v>504597.90040877007</v>
      </c>
    </row>
    <row r="91" spans="2:30" ht="14" thickTop="1" thickBot="1" x14ac:dyDescent="0.35">
      <c r="G91" s="155"/>
      <c r="H91" s="155"/>
      <c r="I91" s="155"/>
      <c r="O91" s="292">
        <f>O90/R90</f>
        <v>0.69227375906000876</v>
      </c>
      <c r="R91" s="280">
        <f>R90/O90</f>
        <v>1.4445152469130589</v>
      </c>
      <c r="U91" s="292">
        <f>U90/X90</f>
        <v>0.82725394089632309</v>
      </c>
      <c r="X91" s="280">
        <f>X90/U90</f>
        <v>1.2088186596204158</v>
      </c>
      <c r="AA91" s="292">
        <f>AA90/AD90</f>
        <v>0.82399629140561348</v>
      </c>
      <c r="AD91" s="293">
        <f>AD90/AA90</f>
        <v>1.2135976950747567</v>
      </c>
    </row>
    <row r="92" spans="2:30" ht="16" thickTop="1" x14ac:dyDescent="0.35">
      <c r="G92" s="155"/>
      <c r="H92" s="155"/>
      <c r="I92" s="155"/>
      <c r="L92" s="301"/>
      <c r="M92" s="380" t="s">
        <v>930</v>
      </c>
      <c r="N92" s="381"/>
      <c r="O92" s="381"/>
      <c r="P92" s="382"/>
      <c r="Q92" s="381"/>
      <c r="R92" s="383"/>
    </row>
    <row r="93" spans="2:30" ht="13" x14ac:dyDescent="0.3">
      <c r="G93" s="155"/>
      <c r="H93" s="155"/>
      <c r="I93" s="155"/>
      <c r="L93" s="301"/>
      <c r="M93" s="377" t="s">
        <v>831</v>
      </c>
      <c r="N93" s="378"/>
      <c r="O93" s="376"/>
      <c r="P93" s="377" t="s">
        <v>832</v>
      </c>
      <c r="Q93" s="378"/>
      <c r="R93" s="379"/>
    </row>
    <row r="94" spans="2:30" ht="13.5" thickBot="1" x14ac:dyDescent="0.35">
      <c r="G94" s="155"/>
      <c r="H94" s="155"/>
      <c r="I94" s="155"/>
      <c r="L94" s="301"/>
      <c r="M94" s="302" t="s">
        <v>833</v>
      </c>
      <c r="N94" s="303" t="s">
        <v>834</v>
      </c>
      <c r="O94" s="304" t="s">
        <v>835</v>
      </c>
      <c r="P94" s="302" t="s">
        <v>833</v>
      </c>
      <c r="Q94" s="303" t="s">
        <v>834</v>
      </c>
      <c r="R94" s="305" t="s">
        <v>835</v>
      </c>
    </row>
    <row r="95" spans="2:30" ht="13.5" thickBot="1" x14ac:dyDescent="0.35">
      <c r="L95" s="306" t="s">
        <v>836</v>
      </c>
      <c r="M95" s="307">
        <v>0</v>
      </c>
      <c r="N95" s="308">
        <f>$G$20*M96</f>
        <v>0</v>
      </c>
      <c r="O95" s="308">
        <f>N95*D65</f>
        <v>0</v>
      </c>
      <c r="P95" s="309">
        <v>0.05</v>
      </c>
      <c r="Q95" s="308">
        <f>$G$20*P95</f>
        <v>0</v>
      </c>
      <c r="R95" s="267">
        <f>$D65*Q95</f>
        <v>0</v>
      </c>
    </row>
    <row r="96" spans="2:30" ht="13.5" thickBot="1" x14ac:dyDescent="0.35">
      <c r="L96" s="306" t="s">
        <v>837</v>
      </c>
      <c r="M96" s="307">
        <v>0</v>
      </c>
      <c r="N96" s="308">
        <f t="shared" ref="N96:N99" si="24">$G$20*M97</f>
        <v>0</v>
      </c>
      <c r="O96" s="308">
        <f t="shared" ref="O96:O99" si="25">N96*D66</f>
        <v>0</v>
      </c>
      <c r="P96" s="310">
        <v>0.05</v>
      </c>
      <c r="Q96" s="308">
        <f t="shared" ref="Q96:Q99" si="26">$G$20*P96</f>
        <v>0</v>
      </c>
      <c r="R96" s="267">
        <f>$D66*Q96</f>
        <v>0</v>
      </c>
    </row>
    <row r="97" spans="2:23" ht="13.5" thickBot="1" x14ac:dyDescent="0.35">
      <c r="L97" s="306" t="s">
        <v>838</v>
      </c>
      <c r="M97" s="307">
        <v>0</v>
      </c>
      <c r="N97" s="308">
        <f t="shared" si="24"/>
        <v>0</v>
      </c>
      <c r="O97" s="308">
        <f t="shared" si="25"/>
        <v>0</v>
      </c>
      <c r="P97" s="309">
        <v>0</v>
      </c>
      <c r="Q97" s="308">
        <f t="shared" si="26"/>
        <v>0</v>
      </c>
      <c r="R97" s="267">
        <f>$D67*Q97</f>
        <v>0</v>
      </c>
    </row>
    <row r="98" spans="2:23" ht="13.5" thickBot="1" x14ac:dyDescent="0.35">
      <c r="L98" s="306" t="s">
        <v>839</v>
      </c>
      <c r="M98" s="307">
        <v>1</v>
      </c>
      <c r="N98" s="308">
        <f t="shared" si="24"/>
        <v>0</v>
      </c>
      <c r="O98" s="308">
        <f t="shared" si="25"/>
        <v>0</v>
      </c>
      <c r="P98" s="309">
        <v>0.9</v>
      </c>
      <c r="Q98" s="308">
        <f t="shared" si="26"/>
        <v>0</v>
      </c>
      <c r="R98" s="267">
        <f>$D68*Q98</f>
        <v>0</v>
      </c>
    </row>
    <row r="99" spans="2:23" ht="13.5" thickBot="1" x14ac:dyDescent="0.35">
      <c r="L99" s="306" t="s">
        <v>840</v>
      </c>
      <c r="M99" s="307">
        <v>0</v>
      </c>
      <c r="N99" s="308">
        <f t="shared" si="24"/>
        <v>0</v>
      </c>
      <c r="O99" s="308">
        <f t="shared" si="25"/>
        <v>0</v>
      </c>
      <c r="P99" s="309">
        <v>0</v>
      </c>
      <c r="Q99" s="308">
        <f t="shared" si="26"/>
        <v>0</v>
      </c>
      <c r="R99" s="267">
        <f>$D69*Q99</f>
        <v>0</v>
      </c>
    </row>
    <row r="100" spans="2:23" ht="13.5" thickBot="1" x14ac:dyDescent="0.35">
      <c r="L100" s="311" t="s">
        <v>713</v>
      </c>
      <c r="M100" s="312">
        <f t="shared" ref="M100:R100" si="27">SUM(M95:M99)</f>
        <v>1</v>
      </c>
      <c r="N100" s="313">
        <f>SUM(N95:N99)</f>
        <v>0</v>
      </c>
      <c r="O100" s="314">
        <f>SUM(O95:O99)</f>
        <v>0</v>
      </c>
      <c r="P100" s="312">
        <f t="shared" si="27"/>
        <v>1</v>
      </c>
      <c r="Q100" s="313">
        <f>SUM(Q95:Q99)</f>
        <v>0</v>
      </c>
      <c r="R100" s="315">
        <f t="shared" si="27"/>
        <v>0</v>
      </c>
    </row>
    <row r="101" spans="2:23" ht="14" thickTop="1" thickBot="1" x14ac:dyDescent="0.35">
      <c r="L101" s="316"/>
      <c r="M101" s="317"/>
      <c r="N101" s="317"/>
      <c r="O101" s="318" t="e">
        <f>O100/R100</f>
        <v>#DIV/0!</v>
      </c>
      <c r="P101" s="317"/>
      <c r="Q101" s="317"/>
      <c r="R101" s="319" t="e">
        <f>R100/O100</f>
        <v>#DIV/0!</v>
      </c>
    </row>
    <row r="102" spans="2:23" ht="16" thickTop="1" x14ac:dyDescent="0.35">
      <c r="L102" s="301"/>
      <c r="M102" s="380" t="s">
        <v>931</v>
      </c>
      <c r="N102" s="381"/>
      <c r="O102" s="381"/>
      <c r="P102" s="382"/>
      <c r="Q102" s="381"/>
      <c r="R102" s="383"/>
    </row>
    <row r="103" spans="2:23" ht="13" x14ac:dyDescent="0.3">
      <c r="L103" s="301"/>
      <c r="M103" s="377" t="s">
        <v>831</v>
      </c>
      <c r="N103" s="378"/>
      <c r="O103" s="376"/>
      <c r="P103" s="377" t="s">
        <v>832</v>
      </c>
      <c r="Q103" s="378"/>
      <c r="R103" s="379"/>
    </row>
    <row r="104" spans="2:23" ht="13.5" thickBot="1" x14ac:dyDescent="0.35">
      <c r="L104" s="301"/>
      <c r="M104" s="302" t="s">
        <v>833</v>
      </c>
      <c r="N104" s="303" t="s">
        <v>834</v>
      </c>
      <c r="O104" s="304" t="s">
        <v>835</v>
      </c>
      <c r="P104" s="302" t="s">
        <v>833</v>
      </c>
      <c r="Q104" s="303" t="s">
        <v>834</v>
      </c>
      <c r="R104" s="305" t="s">
        <v>835</v>
      </c>
    </row>
    <row r="105" spans="2:23" ht="13.5" thickBot="1" x14ac:dyDescent="0.35">
      <c r="L105" s="306" t="s">
        <v>836</v>
      </c>
      <c r="M105" s="307">
        <v>0</v>
      </c>
      <c r="N105" s="308">
        <f>$J$21*M105</f>
        <v>0</v>
      </c>
      <c r="O105" s="308">
        <f>$D65*N105</f>
        <v>0</v>
      </c>
      <c r="P105" s="309">
        <v>0.05</v>
      </c>
      <c r="Q105" s="308">
        <f>$J$21*P105</f>
        <v>0</v>
      </c>
      <c r="R105" s="267">
        <f>$D65*Q105</f>
        <v>0</v>
      </c>
    </row>
    <row r="106" spans="2:23" ht="13.5" thickBot="1" x14ac:dyDescent="0.35">
      <c r="L106" s="306" t="s">
        <v>837</v>
      </c>
      <c r="M106" s="307">
        <v>0</v>
      </c>
      <c r="N106" s="308">
        <f t="shared" ref="N106:N109" si="28">$J$21*M106</f>
        <v>0</v>
      </c>
      <c r="O106" s="308">
        <f>$D66*N106</f>
        <v>0</v>
      </c>
      <c r="P106" s="310">
        <v>0.05</v>
      </c>
      <c r="Q106" s="308">
        <f>$J$21*P106</f>
        <v>0</v>
      </c>
      <c r="R106" s="267">
        <f>$D66*Q106</f>
        <v>0</v>
      </c>
    </row>
    <row r="107" spans="2:23" ht="13.5" thickBot="1" x14ac:dyDescent="0.35">
      <c r="L107" s="306" t="s">
        <v>838</v>
      </c>
      <c r="M107" s="307">
        <v>0</v>
      </c>
      <c r="N107" s="308">
        <f t="shared" si="28"/>
        <v>0</v>
      </c>
      <c r="O107" s="308">
        <f>$D67*N107</f>
        <v>0</v>
      </c>
      <c r="P107" s="309">
        <v>0</v>
      </c>
      <c r="Q107" s="308">
        <f>$J$21*P107</f>
        <v>0</v>
      </c>
      <c r="R107" s="267">
        <f>$D67*Q107</f>
        <v>0</v>
      </c>
    </row>
    <row r="108" spans="2:23" ht="13.5" thickBot="1" x14ac:dyDescent="0.35">
      <c r="L108" s="306" t="s">
        <v>839</v>
      </c>
      <c r="M108" s="307">
        <v>1</v>
      </c>
      <c r="N108" s="308">
        <f t="shared" si="28"/>
        <v>0</v>
      </c>
      <c r="O108" s="308">
        <f>$D68*N108</f>
        <v>0</v>
      </c>
      <c r="P108" s="309">
        <v>0.9</v>
      </c>
      <c r="Q108" s="308">
        <f>$J$21*P108</f>
        <v>0</v>
      </c>
      <c r="R108" s="267">
        <f>$D68*Q108</f>
        <v>0</v>
      </c>
    </row>
    <row r="109" spans="2:23" ht="13.5" thickBot="1" x14ac:dyDescent="0.35">
      <c r="L109" s="306" t="s">
        <v>840</v>
      </c>
      <c r="M109" s="307">
        <v>0</v>
      </c>
      <c r="N109" s="308">
        <f t="shared" si="28"/>
        <v>0</v>
      </c>
      <c r="O109" s="308">
        <f>$D69*N109</f>
        <v>0</v>
      </c>
      <c r="P109" s="309">
        <v>0</v>
      </c>
      <c r="Q109" s="308">
        <f>$J$21*P109</f>
        <v>0</v>
      </c>
      <c r="R109" s="267">
        <f>$D69*Q109</f>
        <v>0</v>
      </c>
    </row>
    <row r="110" spans="2:23" ht="13.5" thickBot="1" x14ac:dyDescent="0.35">
      <c r="L110" s="311" t="s">
        <v>713</v>
      </c>
      <c r="M110" s="312">
        <f t="shared" ref="M110:R110" si="29">SUM(M105:M109)</f>
        <v>1</v>
      </c>
      <c r="N110" s="313">
        <f t="shared" si="29"/>
        <v>0</v>
      </c>
      <c r="O110" s="314">
        <f t="shared" si="29"/>
        <v>0</v>
      </c>
      <c r="P110" s="312">
        <f t="shared" si="29"/>
        <v>1</v>
      </c>
      <c r="Q110" s="313">
        <f t="shared" si="29"/>
        <v>0</v>
      </c>
      <c r="R110" s="315">
        <f t="shared" si="29"/>
        <v>0</v>
      </c>
    </row>
    <row r="111" spans="2:23" ht="13.5" thickTop="1" x14ac:dyDescent="0.3">
      <c r="B111" s="320" t="s">
        <v>865</v>
      </c>
      <c r="C111" s="179"/>
      <c r="L111" s="316"/>
      <c r="M111" s="316"/>
      <c r="N111" s="316"/>
      <c r="O111" s="321" t="e">
        <f>O110/R110</f>
        <v>#DIV/0!</v>
      </c>
      <c r="P111" s="316"/>
      <c r="Q111" s="316"/>
      <c r="R111" s="322" t="e">
        <f>R110/O110</f>
        <v>#DIV/0!</v>
      </c>
    </row>
    <row r="112" spans="2:23" ht="15.5" x14ac:dyDescent="0.35">
      <c r="B112" s="179"/>
      <c r="C112" s="320" t="s">
        <v>866</v>
      </c>
      <c r="M112" s="374"/>
      <c r="N112" s="373"/>
      <c r="O112" s="373"/>
      <c r="P112" s="374"/>
      <c r="Q112" s="373"/>
      <c r="R112" s="373"/>
      <c r="T112" s="323" t="s">
        <v>867</v>
      </c>
      <c r="U112" s="324"/>
      <c r="V112" s="324"/>
      <c r="W112" s="325"/>
    </row>
    <row r="113" spans="3:23" ht="13" x14ac:dyDescent="0.3">
      <c r="C113" s="326">
        <v>0</v>
      </c>
      <c r="M113" s="372"/>
      <c r="N113" s="373"/>
      <c r="O113" s="373"/>
      <c r="P113" s="372"/>
      <c r="Q113" s="373"/>
      <c r="R113" s="373"/>
      <c r="T113" s="296" t="s">
        <v>868</v>
      </c>
      <c r="U113" s="254" t="s">
        <v>777</v>
      </c>
      <c r="V113" s="375" t="s">
        <v>869</v>
      </c>
      <c r="W113" s="376"/>
    </row>
    <row r="114" spans="3:23" ht="13" x14ac:dyDescent="0.3">
      <c r="C114" s="326">
        <v>0.1</v>
      </c>
      <c r="M114" s="257"/>
      <c r="N114" s="257"/>
      <c r="O114" s="257"/>
      <c r="P114" s="257"/>
      <c r="Q114" s="257"/>
      <c r="R114" s="257"/>
      <c r="T114" s="154" t="s">
        <v>870</v>
      </c>
      <c r="U114" s="327" t="s">
        <v>871</v>
      </c>
      <c r="V114" s="280">
        <f>R81</f>
        <v>1.4445152469130591</v>
      </c>
      <c r="W114" s="328"/>
    </row>
    <row r="115" spans="3:23" ht="13" x14ac:dyDescent="0.3">
      <c r="C115" s="326">
        <v>0.2</v>
      </c>
      <c r="L115" s="263"/>
      <c r="M115" s="292"/>
      <c r="N115" s="265"/>
      <c r="O115" s="265"/>
      <c r="P115" s="292"/>
      <c r="Q115" s="265"/>
      <c r="R115" s="265"/>
      <c r="T115" s="287" t="s">
        <v>870</v>
      </c>
      <c r="U115" s="327" t="s">
        <v>872</v>
      </c>
      <c r="V115" s="280">
        <f>X81</f>
        <v>1.2088186596204156</v>
      </c>
      <c r="W115" s="328"/>
    </row>
    <row r="116" spans="3:23" ht="13" x14ac:dyDescent="0.3">
      <c r="C116" s="326">
        <v>0.3</v>
      </c>
      <c r="L116" s="263"/>
      <c r="M116" s="292"/>
      <c r="N116" s="265"/>
      <c r="O116" s="265"/>
      <c r="P116" s="292"/>
      <c r="Q116" s="265"/>
      <c r="R116" s="265"/>
      <c r="T116" s="287" t="s">
        <v>870</v>
      </c>
      <c r="U116" s="327" t="s">
        <v>873</v>
      </c>
      <c r="V116" s="280">
        <f>AD81</f>
        <v>1.2135976950747569</v>
      </c>
      <c r="W116" s="328"/>
    </row>
    <row r="117" spans="3:23" ht="13" x14ac:dyDescent="0.3">
      <c r="C117" s="326">
        <v>0.4</v>
      </c>
      <c r="L117" s="263"/>
      <c r="M117" s="292"/>
      <c r="N117" s="265"/>
      <c r="O117" s="265"/>
      <c r="P117" s="292"/>
      <c r="Q117" s="265"/>
      <c r="R117" s="265"/>
    </row>
    <row r="118" spans="3:23" ht="13" x14ac:dyDescent="0.3">
      <c r="C118" s="326">
        <v>0.5</v>
      </c>
      <c r="L118" s="263"/>
      <c r="M118" s="292"/>
      <c r="N118" s="265"/>
      <c r="O118" s="265"/>
      <c r="P118" s="292"/>
      <c r="Q118" s="265"/>
      <c r="R118" s="265"/>
    </row>
    <row r="119" spans="3:23" ht="13" x14ac:dyDescent="0.3">
      <c r="C119" s="326">
        <v>0.6</v>
      </c>
      <c r="L119" s="263"/>
      <c r="M119" s="292"/>
      <c r="N119" s="265"/>
      <c r="O119" s="265"/>
      <c r="P119" s="292"/>
      <c r="Q119" s="265"/>
      <c r="R119" s="265"/>
    </row>
    <row r="120" spans="3:23" ht="13" x14ac:dyDescent="0.3">
      <c r="L120" s="270"/>
      <c r="M120" s="292"/>
      <c r="N120" s="265"/>
      <c r="O120" s="329"/>
      <c r="P120" s="292"/>
      <c r="Q120" s="265"/>
      <c r="R120" s="329"/>
    </row>
    <row r="121" spans="3:23" ht="13" x14ac:dyDescent="0.3">
      <c r="O121" s="292"/>
      <c r="R121" s="280"/>
    </row>
    <row r="122" spans="3:23" ht="15.5" x14ac:dyDescent="0.35">
      <c r="M122" s="374"/>
      <c r="N122" s="373"/>
      <c r="O122" s="373"/>
      <c r="P122" s="374"/>
      <c r="Q122" s="373"/>
      <c r="R122" s="373"/>
    </row>
    <row r="123" spans="3:23" ht="13" x14ac:dyDescent="0.3">
      <c r="M123" s="372"/>
      <c r="N123" s="373"/>
      <c r="O123" s="373"/>
      <c r="P123" s="372"/>
      <c r="Q123" s="373"/>
      <c r="R123" s="373"/>
    </row>
    <row r="124" spans="3:23" ht="13" x14ac:dyDescent="0.3">
      <c r="K124" s="254"/>
      <c r="M124" s="257"/>
      <c r="N124" s="257"/>
      <c r="O124" s="257"/>
      <c r="P124" s="257"/>
      <c r="Q124" s="257"/>
      <c r="R124" s="257"/>
    </row>
    <row r="125" spans="3:23" ht="13" x14ac:dyDescent="0.3">
      <c r="L125" s="263"/>
      <c r="M125" s="292"/>
      <c r="N125" s="265"/>
      <c r="O125" s="265"/>
      <c r="P125" s="292"/>
      <c r="Q125" s="265"/>
      <c r="R125" s="265"/>
    </row>
    <row r="126" spans="3:23" ht="13" x14ac:dyDescent="0.3">
      <c r="L126" s="263"/>
      <c r="M126" s="292"/>
      <c r="N126" s="265"/>
      <c r="O126" s="265"/>
      <c r="P126" s="292"/>
      <c r="Q126" s="265"/>
      <c r="R126" s="265"/>
    </row>
    <row r="127" spans="3:23" ht="13" x14ac:dyDescent="0.3">
      <c r="J127" s="270"/>
      <c r="L127" s="263"/>
      <c r="M127" s="292"/>
      <c r="N127" s="265"/>
      <c r="O127" s="265"/>
      <c r="P127" s="292"/>
      <c r="Q127" s="265"/>
      <c r="R127" s="265"/>
    </row>
    <row r="128" spans="3:23" ht="13" x14ac:dyDescent="0.3">
      <c r="J128" s="270"/>
      <c r="L128" s="263"/>
      <c r="M128" s="292"/>
      <c r="N128" s="265"/>
      <c r="O128" s="265"/>
      <c r="P128" s="292"/>
      <c r="Q128" s="265"/>
      <c r="R128" s="265"/>
    </row>
    <row r="129" spans="10:18" ht="13" x14ac:dyDescent="0.3">
      <c r="J129" s="270"/>
      <c r="L129" s="263"/>
      <c r="M129" s="292"/>
      <c r="N129" s="265"/>
      <c r="O129" s="265"/>
      <c r="P129" s="292"/>
      <c r="Q129" s="265"/>
      <c r="R129" s="265"/>
    </row>
    <row r="130" spans="10:18" ht="13" x14ac:dyDescent="0.3">
      <c r="J130" s="270"/>
      <c r="L130" s="270"/>
      <c r="M130" s="292"/>
      <c r="N130" s="265"/>
      <c r="O130" s="329"/>
      <c r="P130" s="292"/>
      <c r="Q130" s="265"/>
      <c r="R130" s="329"/>
    </row>
    <row r="131" spans="10:18" ht="13" x14ac:dyDescent="0.3">
      <c r="J131" s="270"/>
      <c r="O131" s="292"/>
      <c r="R131" s="280"/>
    </row>
    <row r="132" spans="10:18" ht="15.5" x14ac:dyDescent="0.35">
      <c r="J132" s="270"/>
      <c r="M132" s="374"/>
      <c r="N132" s="373"/>
      <c r="O132" s="373"/>
      <c r="P132" s="374"/>
      <c r="Q132" s="373"/>
      <c r="R132" s="373"/>
    </row>
    <row r="133" spans="10:18" ht="13" x14ac:dyDescent="0.3">
      <c r="M133" s="372"/>
      <c r="N133" s="373"/>
      <c r="O133" s="373"/>
      <c r="P133" s="372"/>
      <c r="Q133" s="373"/>
      <c r="R133" s="373"/>
    </row>
    <row r="134" spans="10:18" ht="13" x14ac:dyDescent="0.3">
      <c r="M134" s="257"/>
      <c r="N134" s="257"/>
      <c r="O134" s="257"/>
      <c r="P134" s="257"/>
      <c r="Q134" s="257"/>
      <c r="R134" s="257"/>
    </row>
    <row r="135" spans="10:18" ht="13" x14ac:dyDescent="0.3">
      <c r="L135" s="263"/>
      <c r="M135" s="292"/>
      <c r="N135" s="265"/>
      <c r="O135" s="265"/>
      <c r="P135" s="292"/>
      <c r="Q135" s="265"/>
      <c r="R135" s="265"/>
    </row>
    <row r="136" spans="10:18" ht="13" x14ac:dyDescent="0.3">
      <c r="L136" s="263"/>
      <c r="M136" s="292"/>
      <c r="N136" s="265"/>
      <c r="O136" s="265"/>
      <c r="P136" s="292"/>
      <c r="Q136" s="265"/>
      <c r="R136" s="265"/>
    </row>
    <row r="137" spans="10:18" ht="13" x14ac:dyDescent="0.3">
      <c r="J137" s="270"/>
      <c r="L137" s="263"/>
      <c r="M137" s="292"/>
      <c r="N137" s="265"/>
      <c r="O137" s="265"/>
      <c r="P137" s="292"/>
      <c r="Q137" s="265"/>
      <c r="R137" s="265"/>
    </row>
    <row r="138" spans="10:18" ht="13" x14ac:dyDescent="0.3">
      <c r="J138" s="270"/>
      <c r="L138" s="263"/>
      <c r="M138" s="292"/>
      <c r="N138" s="265"/>
      <c r="O138" s="265"/>
      <c r="P138" s="292"/>
      <c r="Q138" s="265"/>
      <c r="R138" s="265"/>
    </row>
    <row r="139" spans="10:18" ht="13" x14ac:dyDescent="0.3">
      <c r="J139" s="270"/>
      <c r="L139" s="263"/>
      <c r="M139" s="292"/>
      <c r="N139" s="265"/>
      <c r="O139" s="265"/>
      <c r="P139" s="292"/>
      <c r="Q139" s="265"/>
      <c r="R139" s="265"/>
    </row>
    <row r="140" spans="10:18" ht="13" x14ac:dyDescent="0.3">
      <c r="J140" s="270"/>
      <c r="L140" s="270"/>
      <c r="M140" s="292"/>
      <c r="N140" s="265"/>
      <c r="O140" s="329"/>
      <c r="P140" s="292"/>
      <c r="Q140" s="265"/>
      <c r="R140" s="329"/>
    </row>
    <row r="141" spans="10:18" ht="13" x14ac:dyDescent="0.3">
      <c r="J141" s="270"/>
      <c r="O141" s="292"/>
      <c r="R141" s="280"/>
    </row>
    <row r="142" spans="10:18" ht="15.5" x14ac:dyDescent="0.35">
      <c r="J142" s="270"/>
      <c r="M142" s="374"/>
      <c r="N142" s="373"/>
      <c r="O142" s="373"/>
      <c r="P142" s="374"/>
      <c r="Q142" s="373"/>
      <c r="R142" s="373"/>
    </row>
    <row r="143" spans="10:18" ht="13" x14ac:dyDescent="0.3">
      <c r="M143" s="372"/>
      <c r="N143" s="373"/>
      <c r="O143" s="373"/>
      <c r="P143" s="372"/>
      <c r="Q143" s="373"/>
      <c r="R143" s="373"/>
    </row>
    <row r="144" spans="10:18" ht="13" x14ac:dyDescent="0.3">
      <c r="M144" s="257"/>
      <c r="N144" s="257"/>
      <c r="O144" s="257"/>
      <c r="P144" s="257"/>
      <c r="Q144" s="257"/>
      <c r="R144" s="257"/>
    </row>
    <row r="145" spans="4:18" ht="13" x14ac:dyDescent="0.3">
      <c r="L145" s="263"/>
      <c r="M145" s="292"/>
      <c r="N145" s="265"/>
      <c r="O145" s="265"/>
      <c r="P145" s="292"/>
      <c r="Q145" s="265"/>
      <c r="R145" s="265"/>
    </row>
    <row r="146" spans="4:18" ht="13" x14ac:dyDescent="0.3">
      <c r="J146" s="270"/>
      <c r="L146" s="263"/>
      <c r="M146" s="292"/>
      <c r="N146" s="265"/>
      <c r="O146" s="265"/>
      <c r="P146" s="292"/>
      <c r="Q146" s="265"/>
      <c r="R146" s="265"/>
    </row>
    <row r="147" spans="4:18" ht="13" x14ac:dyDescent="0.3">
      <c r="J147" s="270"/>
      <c r="L147" s="263"/>
      <c r="M147" s="292"/>
      <c r="N147" s="265"/>
      <c r="O147" s="265"/>
      <c r="P147" s="292"/>
      <c r="Q147" s="265"/>
      <c r="R147" s="265"/>
    </row>
    <row r="148" spans="4:18" ht="13" x14ac:dyDescent="0.3">
      <c r="J148" s="270"/>
      <c r="L148" s="263"/>
      <c r="M148" s="292"/>
      <c r="N148" s="265"/>
      <c r="O148" s="265"/>
      <c r="P148" s="292"/>
      <c r="Q148" s="265"/>
      <c r="R148" s="265"/>
    </row>
    <row r="149" spans="4:18" ht="13" x14ac:dyDescent="0.3">
      <c r="J149" s="270"/>
      <c r="L149" s="263"/>
      <c r="M149" s="292"/>
      <c r="N149" s="265"/>
      <c r="O149" s="265"/>
      <c r="P149" s="292"/>
      <c r="Q149" s="265"/>
      <c r="R149" s="265"/>
    </row>
    <row r="150" spans="4:18" ht="13" x14ac:dyDescent="0.3">
      <c r="J150" s="270"/>
      <c r="L150" s="270"/>
      <c r="M150" s="292"/>
      <c r="N150" s="265"/>
      <c r="O150" s="329"/>
      <c r="P150" s="292"/>
      <c r="Q150" s="265"/>
      <c r="R150" s="329"/>
    </row>
    <row r="151" spans="4:18" ht="13" x14ac:dyDescent="0.3">
      <c r="J151" s="270"/>
      <c r="O151" s="292"/>
      <c r="R151" s="280"/>
    </row>
    <row r="152" spans="4:18" ht="13" x14ac:dyDescent="0.3"/>
    <row r="153" spans="4:18" ht="13" x14ac:dyDescent="0.3"/>
    <row r="154" spans="4:18" ht="13" x14ac:dyDescent="0.3"/>
    <row r="155" spans="4:18" ht="13" x14ac:dyDescent="0.3"/>
    <row r="156" spans="4:18" ht="13" x14ac:dyDescent="0.3"/>
    <row r="157" spans="4:18" ht="13" x14ac:dyDescent="0.3"/>
    <row r="158" spans="4:18" ht="13" x14ac:dyDescent="0.3"/>
    <row r="159" spans="4:18" ht="13" x14ac:dyDescent="0.3">
      <c r="D159" s="298" t="s">
        <v>874</v>
      </c>
      <c r="E159" s="298" t="s">
        <v>875</v>
      </c>
      <c r="F159" s="298" t="s">
        <v>834</v>
      </c>
    </row>
    <row r="160" spans="4:18" ht="15.5" x14ac:dyDescent="0.35">
      <c r="D160" s="254" t="s">
        <v>876</v>
      </c>
      <c r="E160" s="155" t="s">
        <v>877</v>
      </c>
      <c r="F160" s="265">
        <v>22477</v>
      </c>
      <c r="J160" s="330" t="s">
        <v>878</v>
      </c>
      <c r="K160" s="331"/>
      <c r="L160" s="331"/>
      <c r="M160" s="332"/>
      <c r="N160" s="369" t="s">
        <v>879</v>
      </c>
      <c r="O160" s="370"/>
      <c r="P160" s="371"/>
    </row>
    <row r="161" spans="4:23" ht="13" x14ac:dyDescent="0.3">
      <c r="D161" s="254" t="s">
        <v>880</v>
      </c>
      <c r="E161" s="155" t="s">
        <v>877</v>
      </c>
      <c r="F161" s="265">
        <v>14887</v>
      </c>
      <c r="J161" s="333" t="s">
        <v>881</v>
      </c>
      <c r="K161" s="298"/>
      <c r="L161" s="334" t="s">
        <v>882</v>
      </c>
      <c r="M161" s="286"/>
      <c r="N161" s="333" t="s">
        <v>881</v>
      </c>
      <c r="O161" s="334" t="s">
        <v>882</v>
      </c>
      <c r="P161" s="286"/>
      <c r="W161" s="155" t="s">
        <v>883</v>
      </c>
    </row>
    <row r="162" spans="4:23" ht="15.75" customHeight="1" x14ac:dyDescent="0.3">
      <c r="D162" s="254" t="s">
        <v>884</v>
      </c>
      <c r="E162" s="155" t="s">
        <v>877</v>
      </c>
      <c r="F162" s="265">
        <v>31913</v>
      </c>
      <c r="G162" s="298"/>
      <c r="H162" s="298"/>
      <c r="I162" s="298"/>
      <c r="J162" s="335" t="s">
        <v>885</v>
      </c>
      <c r="K162" s="298" t="s">
        <v>886</v>
      </c>
      <c r="L162" s="336" t="s">
        <v>887</v>
      </c>
      <c r="M162" s="337" t="s">
        <v>888</v>
      </c>
      <c r="N162" s="335" t="s">
        <v>889</v>
      </c>
      <c r="O162" s="336" t="s">
        <v>889</v>
      </c>
      <c r="P162" s="337" t="s">
        <v>888</v>
      </c>
      <c r="W162" s="155" t="s">
        <v>890</v>
      </c>
    </row>
    <row r="163" spans="4:23" ht="15.75" customHeight="1" x14ac:dyDescent="0.3">
      <c r="D163" s="254" t="s">
        <v>891</v>
      </c>
      <c r="E163" s="155" t="s">
        <v>877</v>
      </c>
      <c r="F163" s="265">
        <v>17285</v>
      </c>
      <c r="G163" s="265"/>
      <c r="H163" s="265"/>
      <c r="I163" s="265"/>
      <c r="J163" s="338">
        <f>F160*D65</f>
        <v>10892.916125</v>
      </c>
      <c r="K163" s="265">
        <f t="shared" ref="K163:K169" si="30">J163/1.308</f>
        <v>8327.9175267584087</v>
      </c>
      <c r="L163" s="265">
        <v>5541.83</v>
      </c>
      <c r="M163" s="339">
        <f t="shared" ref="M163:M169" si="31">1-(L163/K163)</f>
        <v>0.33454792483312168</v>
      </c>
      <c r="N163" s="338">
        <f>J163*E79</f>
        <v>3316784.03090125</v>
      </c>
      <c r="O163" s="265">
        <v>2532180</v>
      </c>
      <c r="P163" s="339">
        <f t="shared" ref="P163:P169" si="32">1-(O163/N163)</f>
        <v>0.23655565861128869</v>
      </c>
    </row>
    <row r="164" spans="4:23" ht="15.75" customHeight="1" x14ac:dyDescent="0.3">
      <c r="D164" s="254" t="s">
        <v>892</v>
      </c>
      <c r="E164" s="155" t="s">
        <v>877</v>
      </c>
      <c r="F164" s="265">
        <v>20509</v>
      </c>
      <c r="G164" s="265"/>
      <c r="H164" s="265"/>
      <c r="I164" s="265"/>
      <c r="J164" s="338">
        <f>F161*D65</f>
        <v>7214.6123749999997</v>
      </c>
      <c r="K164" s="265">
        <f t="shared" si="30"/>
        <v>5515.7586964831798</v>
      </c>
      <c r="L164" s="265">
        <v>4730.2700000000004</v>
      </c>
      <c r="M164" s="339">
        <f t="shared" si="31"/>
        <v>0.14240809645715702</v>
      </c>
      <c r="N164" s="338">
        <f>J164*E80</f>
        <v>2313149.0196725</v>
      </c>
      <c r="O164" s="265">
        <v>2171198</v>
      </c>
      <c r="P164" s="339">
        <f t="shared" si="32"/>
        <v>6.1367001635111995E-2</v>
      </c>
    </row>
    <row r="165" spans="4:23" ht="15.75" customHeight="1" x14ac:dyDescent="0.3">
      <c r="D165" s="254" t="s">
        <v>893</v>
      </c>
      <c r="E165" s="155" t="s">
        <v>877</v>
      </c>
      <c r="F165" s="265">
        <v>30658</v>
      </c>
      <c r="G165" s="265"/>
      <c r="H165" s="265"/>
      <c r="I165" s="265"/>
      <c r="J165" s="338">
        <f>F162*D65</f>
        <v>15465.837624999998</v>
      </c>
      <c r="K165" s="265">
        <f t="shared" si="30"/>
        <v>11824.03488149847</v>
      </c>
      <c r="L165" s="265">
        <v>7365.77</v>
      </c>
      <c r="M165" s="339">
        <f t="shared" si="31"/>
        <v>0.37705105965768848</v>
      </c>
      <c r="N165" s="338">
        <f>J165*E79</f>
        <v>4709192.8984362492</v>
      </c>
      <c r="O165" s="265">
        <v>3260490</v>
      </c>
      <c r="P165" s="339">
        <f t="shared" si="32"/>
        <v>0.30763294893214299</v>
      </c>
    </row>
    <row r="166" spans="4:23" ht="15.75" customHeight="1" x14ac:dyDescent="0.3">
      <c r="D166" s="254" t="s">
        <v>894</v>
      </c>
      <c r="E166" s="155" t="s">
        <v>895</v>
      </c>
      <c r="F166" s="265">
        <v>21300</v>
      </c>
      <c r="G166" s="265"/>
      <c r="H166" s="265"/>
      <c r="I166" s="265"/>
      <c r="J166" s="338">
        <f>F163*D65</f>
        <v>8376.7431249999991</v>
      </c>
      <c r="K166" s="265">
        <f t="shared" si="30"/>
        <v>6404.2378631498459</v>
      </c>
      <c r="L166" s="265">
        <v>4146.79</v>
      </c>
      <c r="M166" s="339">
        <f t="shared" si="31"/>
        <v>0.35249281981533831</v>
      </c>
      <c r="N166" s="338">
        <f>J166*E80</f>
        <v>2685751.3807374998</v>
      </c>
      <c r="O166" s="265">
        <v>2083211</v>
      </c>
      <c r="P166" s="339">
        <f t="shared" si="32"/>
        <v>0.22434704308782438</v>
      </c>
    </row>
    <row r="167" spans="4:23" ht="15.75" customHeight="1" x14ac:dyDescent="0.3">
      <c r="D167" s="167"/>
      <c r="E167" s="165"/>
      <c r="F167" s="340"/>
      <c r="G167" s="265"/>
      <c r="H167" s="265"/>
      <c r="I167" s="265"/>
      <c r="J167" s="338">
        <f>F164*D65</f>
        <v>9939.1741249999995</v>
      </c>
      <c r="K167" s="265">
        <f t="shared" si="30"/>
        <v>7598.7569762996936</v>
      </c>
      <c r="L167" s="265">
        <v>8322.09</v>
      </c>
      <c r="M167" s="339">
        <f t="shared" si="31"/>
        <v>-9.5190966885289496E-2</v>
      </c>
      <c r="N167" s="338">
        <f>J167*E79</f>
        <v>3026379.1293212501</v>
      </c>
      <c r="O167" s="265">
        <v>4409007</v>
      </c>
      <c r="P167" s="339">
        <f t="shared" si="32"/>
        <v>-0.45685877796442598</v>
      </c>
    </row>
    <row r="168" spans="4:23" ht="15.75" customHeight="1" x14ac:dyDescent="0.3">
      <c r="D168" s="254" t="s">
        <v>896</v>
      </c>
      <c r="E168" s="155" t="s">
        <v>837</v>
      </c>
      <c r="F168" s="265">
        <v>33777</v>
      </c>
      <c r="G168" s="265"/>
      <c r="H168" s="265"/>
      <c r="I168" s="265"/>
      <c r="J168" s="338">
        <f>F165*D65</f>
        <v>14857.633249999999</v>
      </c>
      <c r="K168" s="265">
        <f t="shared" si="30"/>
        <v>11359.046827217124</v>
      </c>
      <c r="L168" s="265">
        <v>8002.21</v>
      </c>
      <c r="M168" s="339">
        <f t="shared" si="31"/>
        <v>0.29552099557983091</v>
      </c>
      <c r="N168" s="338" t="e">
        <f>J168*#REF!</f>
        <v>#REF!</v>
      </c>
      <c r="O168" s="265">
        <v>4074523</v>
      </c>
      <c r="P168" s="339" t="e">
        <f t="shared" si="32"/>
        <v>#REF!</v>
      </c>
    </row>
    <row r="169" spans="4:23" ht="15.75" customHeight="1" x14ac:dyDescent="0.3">
      <c r="D169" s="254" t="s">
        <v>897</v>
      </c>
      <c r="E169" s="155" t="s">
        <v>837</v>
      </c>
      <c r="F169" s="265">
        <v>10311</v>
      </c>
      <c r="G169" s="265"/>
      <c r="H169" s="265"/>
      <c r="I169" s="265"/>
      <c r="J169" s="338">
        <f>F166*D65</f>
        <v>10322.512499999999</v>
      </c>
      <c r="K169" s="265">
        <f t="shared" si="30"/>
        <v>7891.8291284403658</v>
      </c>
      <c r="L169" s="265">
        <v>9223.4599999999991</v>
      </c>
      <c r="M169" s="339">
        <f t="shared" si="31"/>
        <v>-0.16873539072972799</v>
      </c>
      <c r="N169" s="338" t="e">
        <f>J169*#REF!</f>
        <v>#REF!</v>
      </c>
      <c r="O169" s="265">
        <v>5051638</v>
      </c>
      <c r="P169" s="339" t="e">
        <f t="shared" si="32"/>
        <v>#REF!</v>
      </c>
      <c r="W169" s="155" t="s">
        <v>898</v>
      </c>
    </row>
    <row r="170" spans="4:23" ht="13" x14ac:dyDescent="0.3">
      <c r="D170" s="254" t="s">
        <v>899</v>
      </c>
      <c r="E170" s="155" t="s">
        <v>837</v>
      </c>
      <c r="F170" s="265">
        <v>15846</v>
      </c>
      <c r="G170" s="340"/>
      <c r="H170" s="340"/>
      <c r="I170" s="340"/>
      <c r="J170" s="341"/>
      <c r="K170" s="340"/>
      <c r="L170" s="340"/>
      <c r="M170" s="342">
        <f>AVERAGE(M163:M169)</f>
        <v>0.17687064838973127</v>
      </c>
      <c r="N170" s="341"/>
      <c r="O170" s="340"/>
      <c r="P170" s="342" t="e">
        <f>AVERAGE(P163:P169)</f>
        <v>#REF!</v>
      </c>
      <c r="W170" s="155" t="s">
        <v>900</v>
      </c>
    </row>
    <row r="171" spans="4:23" ht="13" x14ac:dyDescent="0.3">
      <c r="D171" s="254" t="s">
        <v>901</v>
      </c>
      <c r="E171" s="155" t="s">
        <v>837</v>
      </c>
      <c r="F171" s="265">
        <v>88967</v>
      </c>
      <c r="G171" s="265"/>
      <c r="H171" s="265"/>
      <c r="I171" s="265"/>
      <c r="J171" s="338">
        <f>F168*D66</f>
        <v>25516.834649999997</v>
      </c>
      <c r="K171" s="265">
        <f t="shared" ref="K171:K177" si="33">J171/1.308</f>
        <v>19508.283371559632</v>
      </c>
      <c r="L171" s="265">
        <v>16207.36</v>
      </c>
      <c r="M171" s="339">
        <f t="shared" ref="M171:M177" si="34">1-(L171/K171)</f>
        <v>0.16920624478788937</v>
      </c>
      <c r="N171" s="338">
        <f>J171*E79</f>
        <v>7769620.9825784992</v>
      </c>
      <c r="O171" s="265">
        <v>6224349</v>
      </c>
      <c r="P171" s="339">
        <f t="shared" ref="P171:P177" si="35">1-(O171/N171)</f>
        <v>0.19888640463201468</v>
      </c>
    </row>
    <row r="172" spans="4:23" ht="13" x14ac:dyDescent="0.3">
      <c r="D172" s="254" t="s">
        <v>902</v>
      </c>
      <c r="E172" s="155" t="s">
        <v>837</v>
      </c>
      <c r="F172" s="265">
        <v>19904</v>
      </c>
      <c r="G172" s="265"/>
      <c r="H172" s="265"/>
      <c r="I172" s="265"/>
      <c r="J172" s="265">
        <f>F169*D66</f>
        <v>7789.4449499999992</v>
      </c>
      <c r="K172" s="265">
        <f t="shared" si="33"/>
        <v>5955.2331422018342</v>
      </c>
      <c r="L172" s="265">
        <v>6488.39</v>
      </c>
      <c r="M172" s="339">
        <f t="shared" si="34"/>
        <v>-8.9527453429143478E-2</v>
      </c>
      <c r="N172" s="265">
        <f>J172*E79</f>
        <v>2371808.0928254998</v>
      </c>
      <c r="O172" s="265">
        <v>3010023</v>
      </c>
      <c r="P172" s="339">
        <f t="shared" si="35"/>
        <v>-0.26908370416014749</v>
      </c>
    </row>
    <row r="173" spans="4:23" ht="13" x14ac:dyDescent="0.3">
      <c r="D173" s="254" t="s">
        <v>903</v>
      </c>
      <c r="E173" s="155" t="s">
        <v>837</v>
      </c>
      <c r="F173" s="265">
        <v>33145</v>
      </c>
      <c r="G173" s="265"/>
      <c r="H173" s="265"/>
      <c r="I173" s="265"/>
      <c r="J173" s="338">
        <f>F170*D66</f>
        <v>11970.860699999999</v>
      </c>
      <c r="K173" s="265">
        <f t="shared" si="33"/>
        <v>9152.0341743119261</v>
      </c>
      <c r="L173" s="265">
        <v>9430.83</v>
      </c>
      <c r="M173" s="339">
        <f t="shared" si="34"/>
        <v>-3.0462716853768113E-2</v>
      </c>
      <c r="N173" s="338" t="e">
        <f>J173*#REF!</f>
        <v>#REF!</v>
      </c>
      <c r="O173" s="265">
        <v>3511211</v>
      </c>
      <c r="P173" s="339" t="e">
        <f t="shared" si="35"/>
        <v>#REF!</v>
      </c>
    </row>
    <row r="174" spans="4:23" ht="13" x14ac:dyDescent="0.3">
      <c r="D174" s="254" t="s">
        <v>904</v>
      </c>
      <c r="E174" s="155" t="s">
        <v>837</v>
      </c>
      <c r="F174" s="265">
        <v>37136</v>
      </c>
      <c r="G174" s="265"/>
      <c r="H174" s="265"/>
      <c r="I174" s="265"/>
      <c r="J174" s="265">
        <f>F171*D66</f>
        <v>67210.120150000002</v>
      </c>
      <c r="K174" s="265">
        <f t="shared" si="33"/>
        <v>51383.883906727831</v>
      </c>
      <c r="L174" s="265">
        <v>37309.43</v>
      </c>
      <c r="M174" s="339">
        <f t="shared" si="34"/>
        <v>0.27390794226991133</v>
      </c>
      <c r="N174" s="265">
        <f>J174*E80</f>
        <v>21548908.722493</v>
      </c>
      <c r="O174" s="265">
        <v>16897526</v>
      </c>
      <c r="P174" s="339">
        <f t="shared" si="35"/>
        <v>0.21585235625588006</v>
      </c>
    </row>
    <row r="175" spans="4:23" ht="13" x14ac:dyDescent="0.3">
      <c r="D175" s="167"/>
      <c r="E175" s="165"/>
      <c r="F175" s="340"/>
      <c r="G175" s="265"/>
      <c r="H175" s="265"/>
      <c r="I175" s="265"/>
      <c r="J175" s="265">
        <f>F172*D66</f>
        <v>15036.476799999999</v>
      </c>
      <c r="K175" s="265">
        <f t="shared" si="33"/>
        <v>11495.777370030579</v>
      </c>
      <c r="L175" s="265">
        <v>8780.09</v>
      </c>
      <c r="M175" s="339">
        <f t="shared" si="34"/>
        <v>0.23623346926588529</v>
      </c>
      <c r="N175" s="265">
        <f>J175*E79</f>
        <v>4578456.8208320001</v>
      </c>
      <c r="O175" s="265">
        <v>4966373</v>
      </c>
      <c r="P175" s="339">
        <f t="shared" si="35"/>
        <v>-8.4726403316283116E-2</v>
      </c>
    </row>
    <row r="176" spans="4:23" ht="13" x14ac:dyDescent="0.3">
      <c r="D176" s="254" t="s">
        <v>905</v>
      </c>
      <c r="E176" s="155" t="s">
        <v>906</v>
      </c>
      <c r="F176" s="265">
        <v>17243</v>
      </c>
      <c r="G176" s="265"/>
      <c r="H176" s="265"/>
      <c r="I176" s="265"/>
      <c r="J176" s="265">
        <f>F173*D66</f>
        <v>25039.390249999997</v>
      </c>
      <c r="K176" s="265">
        <f t="shared" si="33"/>
        <v>19143.264717125378</v>
      </c>
      <c r="L176" s="265">
        <v>10988.61</v>
      </c>
      <c r="M176" s="343">
        <f t="shared" si="34"/>
        <v>0.42598035589145367</v>
      </c>
      <c r="N176" s="265">
        <f>J176*E80</f>
        <v>8028129.3019549986</v>
      </c>
      <c r="O176" s="265">
        <v>5828574</v>
      </c>
      <c r="P176" s="343">
        <f t="shared" si="35"/>
        <v>0.27398105078095414</v>
      </c>
    </row>
    <row r="177" spans="4:23" ht="13" x14ac:dyDescent="0.3">
      <c r="D177" s="254" t="s">
        <v>907</v>
      </c>
      <c r="E177" s="155" t="s">
        <v>906</v>
      </c>
      <c r="F177" s="265">
        <v>15252</v>
      </c>
      <c r="G177" s="265"/>
      <c r="H177" s="265"/>
      <c r="I177" s="265"/>
      <c r="J177" s="265">
        <f>F174*D66</f>
        <v>28054.391199999998</v>
      </c>
      <c r="K177" s="265">
        <f t="shared" si="33"/>
        <v>21448.311314984709</v>
      </c>
      <c r="L177" s="265">
        <v>24190.62</v>
      </c>
      <c r="M177" s="343">
        <f t="shared" si="34"/>
        <v>-0.12785662445599599</v>
      </c>
      <c r="N177" s="265">
        <f>J177*E81</f>
        <v>10398191.771932799</v>
      </c>
      <c r="O177" s="265">
        <v>13893514</v>
      </c>
      <c r="P177" s="343">
        <f t="shared" si="35"/>
        <v>-0.33614712103136135</v>
      </c>
    </row>
    <row r="178" spans="4:23" ht="13" x14ac:dyDescent="0.3">
      <c r="D178" s="254" t="s">
        <v>908</v>
      </c>
      <c r="E178" s="155" t="s">
        <v>906</v>
      </c>
      <c r="F178" s="265">
        <v>55413</v>
      </c>
      <c r="G178" s="340"/>
      <c r="H178" s="340"/>
      <c r="I178" s="340"/>
      <c r="J178" s="340"/>
      <c r="K178" s="340"/>
      <c r="L178" s="340"/>
      <c r="M178" s="344">
        <f>AVERAGE(M171:M177)</f>
        <v>0.12249731678231887</v>
      </c>
      <c r="N178" s="340"/>
      <c r="O178" s="340"/>
      <c r="P178" s="344" t="e">
        <f>AVERAGE(P171:P177)</f>
        <v>#REF!</v>
      </c>
      <c r="W178" s="155" t="s">
        <v>909</v>
      </c>
    </row>
    <row r="179" spans="4:23" ht="13" x14ac:dyDescent="0.3">
      <c r="D179" s="254" t="s">
        <v>910</v>
      </c>
      <c r="E179" s="155" t="s">
        <v>906</v>
      </c>
      <c r="F179" s="265">
        <v>33235</v>
      </c>
      <c r="G179" s="265"/>
      <c r="H179" s="265"/>
      <c r="I179" s="265"/>
      <c r="J179" s="265">
        <f>F176*D68</f>
        <v>4106.4204499999996</v>
      </c>
      <c r="K179" s="265">
        <f t="shared" ref="K179:K185" si="36">J179/1.308</f>
        <v>3139.4651758409782</v>
      </c>
      <c r="L179" s="265">
        <v>3677.4</v>
      </c>
      <c r="M179" s="343">
        <f t="shared" ref="M179:M185" si="37">1-(L179/K179)</f>
        <v>-0.17134600768900832</v>
      </c>
      <c r="N179" s="265">
        <f>J179*E79</f>
        <v>1250363.9628204999</v>
      </c>
      <c r="O179" s="265">
        <v>1470532</v>
      </c>
      <c r="P179" s="343">
        <f t="shared" ref="P179:P185" si="38">1-(O179/N179)</f>
        <v>-0.17608315956488196</v>
      </c>
      <c r="W179" s="155" t="s">
        <v>911</v>
      </c>
    </row>
    <row r="180" spans="4:23" ht="13" x14ac:dyDescent="0.3">
      <c r="D180" s="254" t="s">
        <v>912</v>
      </c>
      <c r="E180" s="155" t="s">
        <v>906</v>
      </c>
      <c r="F180" s="265">
        <v>29880</v>
      </c>
      <c r="G180" s="265"/>
      <c r="H180" s="265"/>
      <c r="I180" s="265"/>
      <c r="J180" s="265">
        <f>F177*D68</f>
        <v>3632.2638000000002</v>
      </c>
      <c r="K180" s="265">
        <f t="shared" si="36"/>
        <v>2776.9600917431194</v>
      </c>
      <c r="L180" s="265">
        <v>2167.81</v>
      </c>
      <c r="M180" s="343">
        <f t="shared" si="37"/>
        <v>0.21935860495595072</v>
      </c>
      <c r="N180" s="265">
        <f>J180*E79</f>
        <v>1105988.004462</v>
      </c>
      <c r="O180" s="265">
        <v>1136976</v>
      </c>
      <c r="P180" s="343">
        <f t="shared" si="38"/>
        <v>-2.8018383032168526E-2</v>
      </c>
    </row>
    <row r="181" spans="4:23" ht="13" x14ac:dyDescent="0.3">
      <c r="D181" s="254" t="s">
        <v>913</v>
      </c>
      <c r="E181" s="155" t="s">
        <v>906</v>
      </c>
      <c r="F181" s="265">
        <v>6520</v>
      </c>
      <c r="G181" s="265"/>
      <c r="H181" s="265"/>
      <c r="I181" s="265"/>
      <c r="J181" s="265">
        <f>F178*D68</f>
        <v>13196.605949999999</v>
      </c>
      <c r="K181" s="265">
        <f t="shared" si="36"/>
        <v>10089.148279816513</v>
      </c>
      <c r="L181" s="265">
        <v>13433.6</v>
      </c>
      <c r="M181" s="343">
        <f t="shared" si="37"/>
        <v>-0.33148999572878823</v>
      </c>
      <c r="N181" s="265">
        <f>J181*E79</f>
        <v>4018234.5457154997</v>
      </c>
      <c r="O181" s="265">
        <v>8000780</v>
      </c>
      <c r="P181" s="343">
        <f t="shared" si="38"/>
        <v>-0.99111821596649863</v>
      </c>
    </row>
    <row r="182" spans="4:23" ht="13" x14ac:dyDescent="0.3">
      <c r="D182" s="254" t="s">
        <v>914</v>
      </c>
      <c r="E182" s="155" t="s">
        <v>906</v>
      </c>
      <c r="F182" s="265">
        <v>65879</v>
      </c>
      <c r="G182" s="265"/>
      <c r="H182" s="265"/>
      <c r="I182" s="265"/>
      <c r="J182" s="265">
        <f>F179*D68</f>
        <v>7914.91525</v>
      </c>
      <c r="K182" s="265">
        <f t="shared" si="36"/>
        <v>6051.1584480122319</v>
      </c>
      <c r="L182" s="265">
        <v>5603.72</v>
      </c>
      <c r="M182" s="343">
        <f t="shared" si="37"/>
        <v>7.3942609808740456E-2</v>
      </c>
      <c r="N182" s="265">
        <f>J182*E79</f>
        <v>2410012.5444725002</v>
      </c>
      <c r="O182" s="265">
        <v>2920738</v>
      </c>
      <c r="P182" s="343">
        <f t="shared" si="38"/>
        <v>-0.21191817308124694</v>
      </c>
    </row>
    <row r="183" spans="4:23" ht="13" x14ac:dyDescent="0.3">
      <c r="D183" s="167"/>
      <c r="E183" s="165"/>
      <c r="F183" s="340"/>
      <c r="G183" s="265"/>
      <c r="H183" s="265"/>
      <c r="I183" s="265"/>
      <c r="J183" s="265">
        <f>F180*D68</f>
        <v>7115.9219999999996</v>
      </c>
      <c r="K183" s="265">
        <f t="shared" si="36"/>
        <v>5440.3073394495405</v>
      </c>
      <c r="L183" s="265">
        <v>5135.08</v>
      </c>
      <c r="M183" s="343">
        <f t="shared" si="37"/>
        <v>5.6104797101485859E-2</v>
      </c>
      <c r="N183" s="265">
        <f>J183*E79</f>
        <v>2166727.08978</v>
      </c>
      <c r="O183" s="265">
        <v>2842719</v>
      </c>
      <c r="P183" s="343">
        <f t="shared" si="38"/>
        <v>-0.31198756567382802</v>
      </c>
    </row>
    <row r="184" spans="4:23" ht="13" x14ac:dyDescent="0.3">
      <c r="G184" s="265"/>
      <c r="H184" s="265"/>
      <c r="I184" s="265"/>
      <c r="J184" s="265">
        <f>F181*D68</f>
        <v>1552.7380000000001</v>
      </c>
      <c r="K184" s="265">
        <f t="shared" si="36"/>
        <v>1187.1085626911315</v>
      </c>
      <c r="L184" s="265">
        <v>610.14</v>
      </c>
      <c r="M184" s="343">
        <f t="shared" si="37"/>
        <v>0.48602847357377743</v>
      </c>
      <c r="N184" s="265">
        <f>J184*E79</f>
        <v>472793.19362000003</v>
      </c>
      <c r="O184" s="265">
        <v>306978</v>
      </c>
      <c r="P184" s="343">
        <f t="shared" si="38"/>
        <v>0.35071400319961321</v>
      </c>
    </row>
    <row r="185" spans="4:23" ht="13" x14ac:dyDescent="0.3">
      <c r="G185" s="265"/>
      <c r="H185" s="265"/>
      <c r="I185" s="265"/>
      <c r="J185" s="265">
        <f>F182*D68</f>
        <v>15689.083850000001</v>
      </c>
      <c r="K185" s="265">
        <f t="shared" si="36"/>
        <v>11994.7124235474</v>
      </c>
      <c r="L185" s="265">
        <v>7291.88</v>
      </c>
      <c r="M185" s="343">
        <f t="shared" si="37"/>
        <v>0.39207546271097271</v>
      </c>
      <c r="N185" s="265">
        <f>J185*E79</f>
        <v>4777169.1414865004</v>
      </c>
      <c r="O185" s="265">
        <v>3906054</v>
      </c>
      <c r="P185" s="343">
        <f t="shared" si="38"/>
        <v>0.18234965430079741</v>
      </c>
    </row>
    <row r="186" spans="4:23" ht="13" x14ac:dyDescent="0.3">
      <c r="G186" s="340"/>
      <c r="H186" s="340"/>
      <c r="I186" s="340"/>
      <c r="J186" s="340"/>
      <c r="K186" s="340"/>
      <c r="L186" s="340"/>
      <c r="M186" s="344">
        <f>AVERAGE(M179:M185)</f>
        <v>0.10352484924759009</v>
      </c>
      <c r="N186" s="340"/>
      <c r="O186" s="340"/>
      <c r="P186" s="344">
        <f>AVERAGE(P179:P185)</f>
        <v>-0.16943740568831619</v>
      </c>
    </row>
    <row r="187" spans="4:23" ht="13" x14ac:dyDescent="0.3"/>
    <row r="188" spans="4:23" ht="13" x14ac:dyDescent="0.3"/>
    <row r="189" spans="4:23" ht="13" x14ac:dyDescent="0.3"/>
    <row r="190" spans="4:23" ht="13" x14ac:dyDescent="0.3"/>
    <row r="191" spans="4:23" ht="13" x14ac:dyDescent="0.3"/>
    <row r="192" spans="4:23" ht="13" x14ac:dyDescent="0.3"/>
    <row r="193" ht="13" x14ac:dyDescent="0.3"/>
    <row r="194" ht="13" x14ac:dyDescent="0.3"/>
    <row r="195" ht="13" x14ac:dyDescent="0.3"/>
    <row r="196" ht="13" x14ac:dyDescent="0.3"/>
  </sheetData>
  <mergeCells count="88">
    <mergeCell ref="C13:D13"/>
    <mergeCell ref="J13:K13"/>
    <mergeCell ref="A1:R1"/>
    <mergeCell ref="F2:L2"/>
    <mergeCell ref="B4:B6"/>
    <mergeCell ref="C12:D12"/>
    <mergeCell ref="J12:K12"/>
    <mergeCell ref="M16:Q16"/>
    <mergeCell ref="R16:V16"/>
    <mergeCell ref="X16:AB16"/>
    <mergeCell ref="AC16:AG16"/>
    <mergeCell ref="M52:O52"/>
    <mergeCell ref="P52:R52"/>
    <mergeCell ref="S52:U52"/>
    <mergeCell ref="V52:X52"/>
    <mergeCell ref="Y52:AA52"/>
    <mergeCell ref="AB52:AD52"/>
    <mergeCell ref="AB62:AD62"/>
    <mergeCell ref="M53:O53"/>
    <mergeCell ref="P53:R53"/>
    <mergeCell ref="S53:U53"/>
    <mergeCell ref="V53:X53"/>
    <mergeCell ref="Y53:AA53"/>
    <mergeCell ref="AB53:AD53"/>
    <mergeCell ref="M62:O62"/>
    <mergeCell ref="P62:R62"/>
    <mergeCell ref="S62:U62"/>
    <mergeCell ref="V62:X62"/>
    <mergeCell ref="Y62:AA62"/>
    <mergeCell ref="AB72:AD72"/>
    <mergeCell ref="M63:O63"/>
    <mergeCell ref="P63:R63"/>
    <mergeCell ref="S63:U63"/>
    <mergeCell ref="V63:X63"/>
    <mergeCell ref="Y63:AA63"/>
    <mergeCell ref="AB63:AD63"/>
    <mergeCell ref="M72:O72"/>
    <mergeCell ref="P72:R72"/>
    <mergeCell ref="S72:U72"/>
    <mergeCell ref="V72:X72"/>
    <mergeCell ref="Y72:AA72"/>
    <mergeCell ref="AB83:AD83"/>
    <mergeCell ref="AB73:AD73"/>
    <mergeCell ref="B74:E74"/>
    <mergeCell ref="D76:F76"/>
    <mergeCell ref="M82:O82"/>
    <mergeCell ref="P82:R82"/>
    <mergeCell ref="S82:U82"/>
    <mergeCell ref="V82:X82"/>
    <mergeCell ref="Y82:AA82"/>
    <mergeCell ref="AB82:AD82"/>
    <mergeCell ref="B73:D73"/>
    <mergeCell ref="M73:O73"/>
    <mergeCell ref="P73:R73"/>
    <mergeCell ref="S73:U73"/>
    <mergeCell ref="V73:X73"/>
    <mergeCell ref="Y73:AA73"/>
    <mergeCell ref="M83:O83"/>
    <mergeCell ref="P83:R83"/>
    <mergeCell ref="S83:U83"/>
    <mergeCell ref="V83:X83"/>
    <mergeCell ref="Y83:AA83"/>
    <mergeCell ref="M92:O92"/>
    <mergeCell ref="P92:R92"/>
    <mergeCell ref="M93:O93"/>
    <mergeCell ref="P93:R93"/>
    <mergeCell ref="M102:O102"/>
    <mergeCell ref="P102:R102"/>
    <mergeCell ref="M132:O132"/>
    <mergeCell ref="P132:R132"/>
    <mergeCell ref="M103:O103"/>
    <mergeCell ref="P103:R103"/>
    <mergeCell ref="M112:O112"/>
    <mergeCell ref="P112:R112"/>
    <mergeCell ref="M113:O113"/>
    <mergeCell ref="P113:R113"/>
    <mergeCell ref="V113:W113"/>
    <mergeCell ref="M122:O122"/>
    <mergeCell ref="P122:R122"/>
    <mergeCell ref="M123:O123"/>
    <mergeCell ref="P123:R123"/>
    <mergeCell ref="N160:P160"/>
    <mergeCell ref="M133:O133"/>
    <mergeCell ref="P133:R133"/>
    <mergeCell ref="M142:O142"/>
    <mergeCell ref="P142:R142"/>
    <mergeCell ref="M143:O143"/>
    <mergeCell ref="P143:R143"/>
  </mergeCells>
  <dataValidations count="1">
    <dataValidation type="list" allowBlank="1" sqref="R20 R23:R25 R28:R30 AC20 AC23:AC25 AC28:AC30" xr:uid="{74E18D7A-7D5C-423F-8549-5F3759D032BF}">
      <formula1>$C$113:$C$119</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67F4C-0B73-43DD-8FEC-0F3B2CEF299B}">
  <dimension ref="A1:J33"/>
  <sheetViews>
    <sheetView workbookViewId="0">
      <selection activeCell="F15" sqref="F15"/>
    </sheetView>
  </sheetViews>
  <sheetFormatPr defaultRowHeight="14.5" x14ac:dyDescent="0.35"/>
  <cols>
    <col min="1" max="1" width="6.54296875" style="7" customWidth="1"/>
    <col min="2" max="2" width="15.26953125" style="7" bestFit="1" customWidth="1"/>
    <col min="3" max="3" width="26.7265625" style="7" bestFit="1" customWidth="1"/>
    <col min="4" max="4" width="18.90625" style="7" customWidth="1"/>
    <col min="5" max="5" width="13.1796875" style="7" customWidth="1"/>
    <col min="6" max="6" width="26.81640625" style="7" bestFit="1" customWidth="1"/>
    <col min="7" max="7" width="10.54296875" style="7" customWidth="1"/>
    <col min="8" max="8" width="12.81640625" style="7" bestFit="1" customWidth="1"/>
    <col min="9" max="9" width="18.26953125" style="7" customWidth="1"/>
    <col min="10" max="16384" width="8.7265625" style="7"/>
  </cols>
  <sheetData>
    <row r="1" spans="1:10" x14ac:dyDescent="0.35">
      <c r="B1" s="7" t="s">
        <v>21</v>
      </c>
      <c r="C1" s="7" t="s">
        <v>22</v>
      </c>
      <c r="D1" s="7" t="s">
        <v>13</v>
      </c>
      <c r="E1" s="7" t="s">
        <v>32</v>
      </c>
      <c r="F1" s="7" t="s">
        <v>31</v>
      </c>
    </row>
    <row r="2" spans="1:10" ht="16" customHeight="1" x14ac:dyDescent="0.35">
      <c r="A2" s="366" t="s">
        <v>4</v>
      </c>
      <c r="B2" s="12" t="s">
        <v>42</v>
      </c>
      <c r="C2" s="7" t="s">
        <v>38</v>
      </c>
      <c r="D2" s="19">
        <f>SUMPRODUCT(D3:D6,E3:E6)</f>
        <v>0.15361248300157887</v>
      </c>
      <c r="F2" s="7" t="s">
        <v>39</v>
      </c>
    </row>
    <row r="3" spans="1:10" ht="16" customHeight="1" x14ac:dyDescent="0.35">
      <c r="A3" s="366"/>
      <c r="C3" s="7" t="s">
        <v>15</v>
      </c>
      <c r="D3" s="19">
        <f>G3/D28/D29</f>
        <v>6.7907385697538111E-3</v>
      </c>
      <c r="E3" s="18">
        <v>0.25</v>
      </c>
      <c r="F3" s="7" t="s">
        <v>33</v>
      </c>
      <c r="G3" s="8">
        <v>23.17</v>
      </c>
      <c r="H3" s="7" t="s">
        <v>29</v>
      </c>
      <c r="I3" s="7" t="s">
        <v>20</v>
      </c>
      <c r="J3" s="14" t="s">
        <v>19</v>
      </c>
    </row>
    <row r="4" spans="1:10" ht="16" customHeight="1" x14ac:dyDescent="0.35">
      <c r="A4" s="366"/>
      <c r="C4" s="7" t="s">
        <v>16</v>
      </c>
      <c r="D4" s="19">
        <f>(G4/D29)/D33</f>
        <v>0.34326756939853964</v>
      </c>
      <c r="E4" s="18">
        <f>1-SUM(E3,E6,E5)</f>
        <v>0.42999999999999994</v>
      </c>
      <c r="F4" s="7" t="s">
        <v>36</v>
      </c>
      <c r="G4" s="7">
        <v>5.3126008043137953E-4</v>
      </c>
      <c r="H4" s="7" t="s">
        <v>34</v>
      </c>
      <c r="I4" s="7" t="s">
        <v>35</v>
      </c>
    </row>
    <row r="5" spans="1:10" ht="16" customHeight="1" x14ac:dyDescent="0.35">
      <c r="A5" s="366"/>
      <c r="C5" s="7" t="s">
        <v>17</v>
      </c>
      <c r="D5" s="19">
        <f>(G5/D29)/D33</f>
        <v>1.3891976856374916E-2</v>
      </c>
      <c r="E5" s="18">
        <v>0.18</v>
      </c>
      <c r="F5" s="7" t="s">
        <v>36</v>
      </c>
      <c r="G5" s="7">
        <v>2.1499999999999997E-5</v>
      </c>
      <c r="H5" s="7" t="s">
        <v>34</v>
      </c>
      <c r="I5" s="7" t="s">
        <v>35</v>
      </c>
    </row>
    <row r="6" spans="1:10" ht="16" customHeight="1" x14ac:dyDescent="0.35">
      <c r="A6" s="366"/>
      <c r="C6" s="7" t="s">
        <v>18</v>
      </c>
      <c r="D6" s="19">
        <f>(G6/D29)/D33</f>
        <v>1.2922769168720856E-2</v>
      </c>
      <c r="E6" s="18">
        <f>28%*0.5</f>
        <v>0.14000000000000001</v>
      </c>
      <c r="F6" s="7" t="s">
        <v>36</v>
      </c>
      <c r="G6" s="7">
        <v>2.0000000000000002E-5</v>
      </c>
      <c r="H6" s="7" t="s">
        <v>34</v>
      </c>
      <c r="I6" s="7" t="s">
        <v>35</v>
      </c>
    </row>
    <row r="7" spans="1:10" ht="16" customHeight="1" x14ac:dyDescent="0.35">
      <c r="A7" s="368" t="s">
        <v>41</v>
      </c>
      <c r="B7" s="7">
        <v>2025</v>
      </c>
      <c r="C7" s="7" t="s">
        <v>38</v>
      </c>
      <c r="D7" s="19">
        <f>D2</f>
        <v>0.15361248300157887</v>
      </c>
      <c r="E7" s="18"/>
      <c r="F7" s="367" t="s">
        <v>40</v>
      </c>
    </row>
    <row r="8" spans="1:10" ht="16" customHeight="1" x14ac:dyDescent="0.35">
      <c r="A8" s="368"/>
      <c r="B8" s="7">
        <v>2026</v>
      </c>
      <c r="C8" s="7" t="s">
        <v>38</v>
      </c>
      <c r="D8" s="19">
        <f>D7-(($D$7-$D$12)/5)</f>
        <v>0.1228899864012631</v>
      </c>
      <c r="E8" s="18"/>
      <c r="F8" s="367"/>
    </row>
    <row r="9" spans="1:10" ht="16" customHeight="1" x14ac:dyDescent="0.35">
      <c r="A9" s="368"/>
      <c r="B9" s="7">
        <v>2027</v>
      </c>
      <c r="C9" s="7" t="s">
        <v>38</v>
      </c>
      <c r="D9" s="19">
        <f t="shared" ref="D9:D11" si="0">D8-(($D$7-$D$12)/5)</f>
        <v>9.2167489800947328E-2</v>
      </c>
      <c r="E9" s="21"/>
      <c r="F9" s="367"/>
    </row>
    <row r="10" spans="1:10" ht="16" customHeight="1" x14ac:dyDescent="0.35">
      <c r="A10" s="368"/>
      <c r="B10" s="7">
        <v>2028</v>
      </c>
      <c r="C10" s="7" t="s">
        <v>38</v>
      </c>
      <c r="D10" s="19">
        <f t="shared" si="0"/>
        <v>6.1444993200631556E-2</v>
      </c>
      <c r="E10" s="18"/>
      <c r="F10" s="367"/>
    </row>
    <row r="11" spans="1:10" ht="16" customHeight="1" x14ac:dyDescent="0.35">
      <c r="A11" s="368"/>
      <c r="B11" s="7">
        <v>2029</v>
      </c>
      <c r="C11" s="7" t="s">
        <v>38</v>
      </c>
      <c r="D11" s="19">
        <f t="shared" si="0"/>
        <v>3.0722496600315782E-2</v>
      </c>
      <c r="E11" s="18"/>
      <c r="F11" s="367"/>
    </row>
    <row r="12" spans="1:10" ht="16" customHeight="1" x14ac:dyDescent="0.35">
      <c r="A12" s="368"/>
      <c r="B12" s="7">
        <v>2030</v>
      </c>
      <c r="C12" s="7" t="s">
        <v>38</v>
      </c>
      <c r="D12" s="19">
        <v>0</v>
      </c>
      <c r="E12" s="18"/>
      <c r="F12" s="367"/>
    </row>
    <row r="13" spans="1:10" x14ac:dyDescent="0.35">
      <c r="D13" s="19"/>
      <c r="E13" s="18"/>
    </row>
    <row r="14" spans="1:10" x14ac:dyDescent="0.35">
      <c r="B14" s="15" t="s">
        <v>14</v>
      </c>
      <c r="C14" s="7" t="s">
        <v>16</v>
      </c>
      <c r="D14" s="20">
        <f>(D26*D32)/1000</f>
        <v>0.11710755</v>
      </c>
    </row>
    <row r="17" spans="1:9" x14ac:dyDescent="0.35">
      <c r="E17" s="19"/>
    </row>
    <row r="21" spans="1:9" x14ac:dyDescent="0.35">
      <c r="G21" s="89"/>
      <c r="H21" s="89"/>
      <c r="I21" s="89"/>
    </row>
    <row r="24" spans="1:9" x14ac:dyDescent="0.35">
      <c r="A24" s="88" t="s">
        <v>721</v>
      </c>
      <c r="F24" s="88"/>
    </row>
    <row r="26" spans="1:9" x14ac:dyDescent="0.35">
      <c r="B26" s="7" t="s">
        <v>176</v>
      </c>
      <c r="D26" s="7">
        <v>53.11</v>
      </c>
      <c r="E26" s="7" t="s">
        <v>722</v>
      </c>
    </row>
    <row r="27" spans="1:9" x14ac:dyDescent="0.35">
      <c r="A27" s="88" t="s">
        <v>615</v>
      </c>
    </row>
    <row r="28" spans="1:9" x14ac:dyDescent="0.35">
      <c r="C28" s="15" t="s">
        <v>23</v>
      </c>
      <c r="D28" s="15">
        <v>1000</v>
      </c>
    </row>
    <row r="29" spans="1:9" x14ac:dyDescent="0.35">
      <c r="C29" s="15" t="s">
        <v>24</v>
      </c>
      <c r="D29" s="15">
        <v>3.4119999999999999</v>
      </c>
    </row>
    <row r="30" spans="1:9" x14ac:dyDescent="0.35">
      <c r="C30" s="15" t="s">
        <v>25</v>
      </c>
      <c r="D30" s="15">
        <v>99.976100000000002</v>
      </c>
    </row>
    <row r="31" spans="1:9" x14ac:dyDescent="0.35">
      <c r="C31" s="15" t="s">
        <v>26</v>
      </c>
      <c r="D31" s="15">
        <v>3.4119999999999999</v>
      </c>
    </row>
    <row r="32" spans="1:9" x14ac:dyDescent="0.35">
      <c r="C32" s="15" t="s">
        <v>27</v>
      </c>
      <c r="D32" s="15">
        <v>2.2050000000000001</v>
      </c>
    </row>
    <row r="33" spans="3:4" x14ac:dyDescent="0.35">
      <c r="C33" s="15" t="s">
        <v>28</v>
      </c>
      <c r="D33" s="15">
        <v>4.53592E-4</v>
      </c>
    </row>
  </sheetData>
  <mergeCells count="3">
    <mergeCell ref="A2:A6"/>
    <mergeCell ref="F7:F12"/>
    <mergeCell ref="A7:A12"/>
  </mergeCells>
  <hyperlinks>
    <hyperlink ref="J3" r:id="rId1" location="gid=283732541" xr:uid="{0D893A83-6624-4F33-9D06-D9096204B9AE}"/>
    <hyperlink ref="A27" r:id="rId2" xr:uid="{616CC3E6-22BA-4C70-95AB-F071E3C1FCDC}"/>
    <hyperlink ref="A24" r:id="rId3" display="https://portfoliomanager.energystar.gov/pdf/reference/Emissions.pdf" xr:uid="{36E54E07-299B-426A-972C-3AB0805F05CE}"/>
  </hyperlinks>
  <pageMargins left="0.7" right="0.7" top="0.75" bottom="0.75" header="0.3" footer="0.3"/>
  <pageSetup orientation="portrait" verticalDpi="0"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840750a-43aa-4420-b2bb-5ebe6abeba39">
      <Terms xmlns="http://schemas.microsoft.com/office/infopath/2007/PartnerControls"/>
    </lcf76f155ced4ddcb4097134ff3c332f>
    <TaxCatchAll xmlns="2beaef9f-cf1f-479f-a374-c737fe2c05cb" xsi:nil="true"/>
    <SharedWithUsers xmlns="fe42014b-a195-49b9-9af0-2f3691a0a28b">
      <UserInfo>
        <DisplayName>Sanders, Nicole</DisplayName>
        <AccountId>238</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C46DF542F8BD744BEA9AFDBE373B962" ma:contentTypeVersion="17" ma:contentTypeDescription="Create a new document." ma:contentTypeScope="" ma:versionID="ac5ac8132751110eee59b3db9cdbed8a">
  <xsd:schema xmlns:xsd="http://www.w3.org/2001/XMLSchema" xmlns:xs="http://www.w3.org/2001/XMLSchema" xmlns:p="http://schemas.microsoft.com/office/2006/metadata/properties" xmlns:ns2="f840750a-43aa-4420-b2bb-5ebe6abeba39" xmlns:ns3="fe42014b-a195-49b9-9af0-2f3691a0a28b" xmlns:ns4="2beaef9f-cf1f-479f-a374-c737fe2c05cb" targetNamespace="http://schemas.microsoft.com/office/2006/metadata/properties" ma:root="true" ma:fieldsID="2bbe1400f7916326dc144ee1df308d48" ns2:_="" ns3:_="" ns4:_="">
    <xsd:import namespace="f840750a-43aa-4420-b2bb-5ebe6abeba39"/>
    <xsd:import namespace="fe42014b-a195-49b9-9af0-2f3691a0a28b"/>
    <xsd:import namespace="2beaef9f-cf1f-479f-a374-c737fe2c05c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4:TaxCatchAll"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40750a-43aa-4420-b2bb-5ebe6abeba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487192d8-99aa-4f2d-82ad-d3af49b789fe"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42014b-a195-49b9-9af0-2f3691a0a2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eaef9f-cf1f-479f-a374-c737fe2c05c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98c464f-fac8-401c-a0d1-7aad902a47d5}" ma:internalName="TaxCatchAll" ma:showField="CatchAllData" ma:web="fe42014b-a195-49b9-9af0-2f3691a0a2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0BD5E5-CFD1-4BA7-9A06-CF0F228146C8}">
  <ds:schemaRefs>
    <ds:schemaRef ds:uri="http://schemas.microsoft.com/office/2006/metadata/properties"/>
    <ds:schemaRef ds:uri="http://schemas.microsoft.com/office/infopath/2007/PartnerControls"/>
    <ds:schemaRef ds:uri="f840750a-43aa-4420-b2bb-5ebe6abeba39"/>
    <ds:schemaRef ds:uri="2beaef9f-cf1f-479f-a374-c737fe2c05cb"/>
    <ds:schemaRef ds:uri="fe42014b-a195-49b9-9af0-2f3691a0a28b"/>
  </ds:schemaRefs>
</ds:datastoreItem>
</file>

<file path=customXml/itemProps2.xml><?xml version="1.0" encoding="utf-8"?>
<ds:datastoreItem xmlns:ds="http://schemas.openxmlformats.org/officeDocument/2006/customXml" ds:itemID="{94A25A1E-AD6E-46EE-A2D1-1FA82924AF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40750a-43aa-4420-b2bb-5ebe6abeba39"/>
    <ds:schemaRef ds:uri="fe42014b-a195-49b9-9af0-2f3691a0a28b"/>
    <ds:schemaRef ds:uri="2beaef9f-cf1f-479f-a374-c737fe2c0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FFE8DD-2C81-4283-AB04-E15C159325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Summary</vt:lpstr>
      <vt:lpstr>Multifamily Program</vt:lpstr>
      <vt:lpstr>Community Programs</vt:lpstr>
      <vt:lpstr>Salvaged Lumber</vt:lpstr>
      <vt:lpstr>Salvaged Lumber PM2.5 and VOCs</vt:lpstr>
      <vt:lpstr>Scaling Financing</vt:lpstr>
      <vt:lpstr>Embodied UKC Concrete</vt:lpstr>
      <vt:lpstr>2. Seattle Low Carbon Concrete </vt:lpstr>
      <vt:lpstr>Emissions Factors + Conversions</vt:lpstr>
      <vt:lpstr>Seattle Municipal Elec Data</vt:lpstr>
    </vt:vector>
  </TitlesOfParts>
  <Company>King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Sullivan, Terence (EXEC)</dc:creator>
  <cp:lastModifiedBy>Terence (EXEC) Sullivan</cp:lastModifiedBy>
  <dcterms:created xsi:type="dcterms:W3CDTF">2024-03-18T21:56:22Z</dcterms:created>
  <dcterms:modified xsi:type="dcterms:W3CDTF">2024-03-29T22:47:32Z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0x0101000C46DF542F8BD744BEA9AFDBE373B962</vt:lpwstr>
  </property>
  <property fmtid="{D5CDD505-2E9C-101B-9397-08002B2CF9AE}" pid="3" name="MediaServiceImageTags">
    <vt:lpwstr/>
  </property>
</Properties>
</file>