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75FFDE11-6F52-49A0-9657-B9EE693A86C3}" xr6:coauthVersionLast="47" xr6:coauthVersionMax="47" xr10:uidLastSave="{00000000-0000-0000-0000-000000000000}"/>
  <bookViews>
    <workbookView xWindow="-108" yWindow="-108" windowWidth="23256" windowHeight="13896" tabRatio="979" firstSheet="2" activeTab="3" xr2:uid="{AAC398A2-E95D-4231-A920-55B8B1C73F3F}"/>
  </bookViews>
  <sheets>
    <sheet name="Overview" sheetId="26" r:id="rId1"/>
    <sheet name="LPB Borough Budget" sheetId="36" r:id="rId2"/>
    <sheet name="LPSD SubAward- Consolidated" sheetId="35" r:id="rId3"/>
    <sheet name="Measure 1- Community Facilities" sheetId="16" r:id="rId4"/>
    <sheet name="Measure 2- Residential EE" sheetId="27" r:id="rId5"/>
  </sheets>
  <definedNames>
    <definedName name="_xlnm._FilterDatabase" localSheetId="3" hidden="1">'Measure 1- Community Facilities'!#REF!</definedName>
    <definedName name="_xlnm._FilterDatabase" localSheetId="4" hidden="1">'Measure 2- Residential EE'!#REF!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7" l="1"/>
  <c r="F17" i="27"/>
  <c r="E17" i="27"/>
  <c r="D17" i="27"/>
  <c r="G16" i="27"/>
  <c r="F16" i="27"/>
  <c r="E16" i="27"/>
  <c r="D16" i="27"/>
  <c r="E18" i="16"/>
  <c r="F18" i="16"/>
  <c r="G18" i="16"/>
  <c r="D18" i="16"/>
  <c r="E19" i="16"/>
  <c r="F19" i="16"/>
  <c r="G19" i="16"/>
  <c r="D19" i="16"/>
  <c r="D13" i="16"/>
  <c r="D11" i="36"/>
  <c r="D9" i="36"/>
  <c r="E8" i="36"/>
  <c r="F8" i="36" s="1"/>
  <c r="F11" i="36" s="1"/>
  <c r="D14" i="16"/>
  <c r="D15" i="16"/>
  <c r="E27" i="16"/>
  <c r="G27" i="16"/>
  <c r="E8" i="27"/>
  <c r="F8" i="27" s="1"/>
  <c r="E7" i="27"/>
  <c r="F7" i="27" s="1"/>
  <c r="G7" i="27" s="1"/>
  <c r="G12" i="27" s="1"/>
  <c r="E6" i="27"/>
  <c r="F6" i="27" s="1"/>
  <c r="D14" i="27"/>
  <c r="D9" i="27"/>
  <c r="F27" i="16"/>
  <c r="F25" i="27"/>
  <c r="G25" i="27"/>
  <c r="E25" i="27"/>
  <c r="E24" i="27"/>
  <c r="D24" i="27"/>
  <c r="D12" i="27"/>
  <c r="D13" i="27"/>
  <c r="D11" i="27"/>
  <c r="E10" i="16"/>
  <c r="F10" i="16" s="1"/>
  <c r="G10" i="16" s="1"/>
  <c r="G15" i="16" s="1"/>
  <c r="E9" i="16"/>
  <c r="F9" i="16" s="1"/>
  <c r="G9" i="16" s="1"/>
  <c r="G14" i="16" s="1"/>
  <c r="E8" i="16"/>
  <c r="F8" i="16" s="1"/>
  <c r="G8" i="16" s="1"/>
  <c r="G13" i="16" s="1"/>
  <c r="H13" i="35"/>
  <c r="H10" i="35"/>
  <c r="E12" i="27" l="1"/>
  <c r="E9" i="27"/>
  <c r="E13" i="27"/>
  <c r="E15" i="16"/>
  <c r="H11" i="35"/>
  <c r="F15" i="16"/>
  <c r="E14" i="16"/>
  <c r="F14" i="16"/>
  <c r="F13" i="16"/>
  <c r="E13" i="16"/>
  <c r="H18" i="36"/>
  <c r="H16" i="36"/>
  <c r="E11" i="36"/>
  <c r="E12" i="36" s="1"/>
  <c r="G8" i="36"/>
  <c r="G11" i="36" s="1"/>
  <c r="D12" i="36"/>
  <c r="H23" i="36"/>
  <c r="H14" i="36"/>
  <c r="E9" i="36"/>
  <c r="F9" i="27"/>
  <c r="G6" i="27"/>
  <c r="H6" i="27" s="1"/>
  <c r="F11" i="27"/>
  <c r="G8" i="27"/>
  <c r="G13" i="27" s="1"/>
  <c r="F13" i="27"/>
  <c r="F12" i="27"/>
  <c r="E11" i="27"/>
  <c r="F12" i="36" l="1"/>
  <c r="F9" i="36"/>
  <c r="G9" i="36"/>
  <c r="H8" i="36"/>
  <c r="G9" i="27"/>
  <c r="G11" i="27"/>
  <c r="H9" i="36" l="1"/>
  <c r="G12" i="36"/>
  <c r="H11" i="36"/>
  <c r="H12" i="36" s="1"/>
  <c r="F18" i="27"/>
  <c r="D18" i="27"/>
  <c r="D11" i="16"/>
  <c r="D7" i="35" s="1"/>
  <c r="E18" i="27"/>
  <c r="G18" i="27"/>
  <c r="H25" i="27" l="1"/>
  <c r="G14" i="27"/>
  <c r="H16" i="27"/>
  <c r="H17" i="27"/>
  <c r="H24" i="27"/>
  <c r="D29" i="16"/>
  <c r="H28" i="16"/>
  <c r="H27" i="16"/>
  <c r="E20" i="16"/>
  <c r="D20" i="16"/>
  <c r="H19" i="16"/>
  <c r="G20" i="16"/>
  <c r="F20" i="16"/>
  <c r="H22" i="16" l="1"/>
  <c r="H24" i="16"/>
  <c r="E9" i="35"/>
  <c r="F9" i="35"/>
  <c r="G9" i="35"/>
  <c r="D9" i="35"/>
  <c r="H18" i="27"/>
  <c r="H20" i="16"/>
  <c r="H12" i="27"/>
  <c r="F29" i="16"/>
  <c r="H18" i="16"/>
  <c r="E29" i="16"/>
  <c r="H31" i="16"/>
  <c r="H9" i="35" l="1"/>
  <c r="E14" i="27"/>
  <c r="H11" i="27"/>
  <c r="H13" i="27"/>
  <c r="H8" i="27"/>
  <c r="H7" i="27"/>
  <c r="G29" i="16"/>
  <c r="E11" i="16"/>
  <c r="E7" i="35" s="1"/>
  <c r="H26" i="16"/>
  <c r="D16" i="16"/>
  <c r="D8" i="35" s="1"/>
  <c r="H9" i="27" l="1"/>
  <c r="H14" i="27"/>
  <c r="D32" i="16"/>
  <c r="D34" i="16" s="1"/>
  <c r="F14" i="27"/>
  <c r="E16" i="16"/>
  <c r="E8" i="35" s="1"/>
  <c r="F16" i="16"/>
  <c r="F11" i="16"/>
  <c r="F7" i="35" s="1"/>
  <c r="H29" i="16"/>
  <c r="F8" i="35" l="1"/>
  <c r="E32" i="16"/>
  <c r="E34" i="16" s="1"/>
  <c r="F32" i="16"/>
  <c r="G11" i="16"/>
  <c r="D35" i="16"/>
  <c r="F34" i="16" l="1"/>
  <c r="F35" i="16" s="1"/>
  <c r="F36" i="16" s="1"/>
  <c r="H8" i="16"/>
  <c r="G7" i="35"/>
  <c r="E35" i="16"/>
  <c r="H14" i="16"/>
  <c r="D36" i="16"/>
  <c r="H15" i="16"/>
  <c r="H10" i="16"/>
  <c r="H9" i="16"/>
  <c r="G16" i="16"/>
  <c r="G8" i="35" s="1"/>
  <c r="H7" i="35" l="1"/>
  <c r="E36" i="16"/>
  <c r="H11" i="16"/>
  <c r="G32" i="16"/>
  <c r="G34" i="16" s="1"/>
  <c r="H8" i="35"/>
  <c r="H13" i="16"/>
  <c r="H16" i="16" s="1"/>
  <c r="G35" i="16" l="1"/>
  <c r="H34" i="16" l="1"/>
  <c r="H32" i="16"/>
  <c r="G36" i="16"/>
  <c r="H35" i="16"/>
  <c r="H36" i="16" l="1"/>
  <c r="D23" i="35" l="1"/>
  <c r="H26" i="27"/>
  <c r="G27" i="27"/>
  <c r="F27" i="27"/>
  <c r="E27" i="27"/>
  <c r="D27" i="27"/>
  <c r="H27" i="27" l="1"/>
  <c r="F12" i="35"/>
  <c r="F14" i="35" s="1"/>
  <c r="G12" i="35"/>
  <c r="G14" i="35" s="1"/>
  <c r="E12" i="35"/>
  <c r="E14" i="35" s="1"/>
  <c r="D12" i="35"/>
  <c r="G30" i="27"/>
  <c r="D30" i="27"/>
  <c r="D33" i="27" s="1"/>
  <c r="E30" i="27"/>
  <c r="E33" i="27" s="1"/>
  <c r="F30" i="27"/>
  <c r="F33" i="27" s="1"/>
  <c r="G33" i="27" l="1"/>
  <c r="G34" i="27" s="1"/>
  <c r="H12" i="35"/>
  <c r="D14" i="35"/>
  <c r="H14" i="35" s="1"/>
  <c r="E34" i="27"/>
  <c r="F34" i="27"/>
  <c r="H30" i="27"/>
  <c r="G16" i="35" l="1"/>
  <c r="G18" i="35" s="1"/>
  <c r="G20" i="36" s="1"/>
  <c r="G21" i="36" s="1"/>
  <c r="G24" i="36" s="1"/>
  <c r="G27" i="36" s="1"/>
  <c r="G28" i="36" s="1"/>
  <c r="G30" i="36" s="1"/>
  <c r="G36" i="27"/>
  <c r="F16" i="35"/>
  <c r="F18" i="35" s="1"/>
  <c r="F20" i="36" s="1"/>
  <c r="F21" i="36" s="1"/>
  <c r="F24" i="36" s="1"/>
  <c r="F27" i="36" s="1"/>
  <c r="F28" i="36" s="1"/>
  <c r="F30" i="36" s="1"/>
  <c r="E16" i="35"/>
  <c r="E18" i="35" s="1"/>
  <c r="E20" i="36" s="1"/>
  <c r="E21" i="36" s="1"/>
  <c r="E24" i="36" s="1"/>
  <c r="E27" i="36" s="1"/>
  <c r="E28" i="36" s="1"/>
  <c r="E30" i="36" s="1"/>
  <c r="D34" i="27"/>
  <c r="H33" i="27"/>
  <c r="F36" i="27"/>
  <c r="E36" i="27"/>
  <c r="D16" i="35" l="1"/>
  <c r="H34" i="27"/>
  <c r="H36" i="27" s="1"/>
  <c r="D36" i="27"/>
  <c r="D24" i="35" l="1"/>
  <c r="D18" i="35"/>
  <c r="D20" i="36" s="1"/>
  <c r="H16" i="35"/>
  <c r="H18" i="35" s="1"/>
  <c r="D21" i="36" l="1"/>
  <c r="H20" i="36"/>
  <c r="D29" i="35"/>
  <c r="E23" i="35" s="1"/>
  <c r="H21" i="36" l="1"/>
  <c r="D24" i="36"/>
  <c r="E24" i="35"/>
  <c r="E29" i="35" s="1"/>
  <c r="D27" i="36" l="1"/>
  <c r="H24" i="36"/>
  <c r="D28" i="36" l="1"/>
  <c r="H27" i="36"/>
  <c r="D30" i="36" l="1"/>
  <c r="H28" i="36"/>
  <c r="H30" i="3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8" authorId="0" shapeId="0" xr:uid="{B7409219-6E2D-488B-896B-A937E16BDD6C}">
      <text>
        <r>
          <rPr>
            <b/>
            <sz val="9"/>
            <color indexed="81"/>
            <rFont val="Tahoma"/>
            <family val="2"/>
          </rPr>
          <t>Please us the drop down menu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" authorId="0" shapeId="0" xr:uid="{342886EE-1ED2-4F3A-926D-6FDE8CAC3695}">
      <text>
        <r>
          <rPr>
            <b/>
            <sz val="9"/>
            <color indexed="81"/>
            <rFont val="Tahoma"/>
            <family val="2"/>
          </rPr>
          <t>Please us the drop down menu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6" authorId="0" shapeId="0" xr:uid="{D753CDCB-0FD7-488C-9BA6-0178525C1AD8}">
      <text>
        <r>
          <rPr>
            <b/>
            <sz val="9"/>
            <color indexed="81"/>
            <rFont val="Tahoma"/>
            <family val="2"/>
          </rPr>
          <t>Please us the drop down menu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" authorId="0" shapeId="0" xr:uid="{CC3D6D49-BC3F-44F9-8115-A17ACE61DDAB}">
      <text>
        <r>
          <rPr>
            <b/>
            <sz val="9"/>
            <color indexed="81"/>
            <rFont val="Tahoma"/>
            <family val="2"/>
          </rPr>
          <t>Please us the drop down menu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<sst xmlns="http://schemas.openxmlformats.org/spreadsheetml/2006/main" count="185" uniqueCount="56">
  <si>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</si>
  <si>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</si>
  <si>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</si>
  <si>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</si>
  <si>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</si>
  <si>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</si>
  <si>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</si>
  <si>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</si>
  <si>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</si>
  <si>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</si>
  <si>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</si>
  <si>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</si>
  <si>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</si>
  <si>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</si>
  <si>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</si>
  <si>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</si>
  <si>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</si>
  <si>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</si>
  <si>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</si>
  <si>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</si>
  <si>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</si>
  <si>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</si>
  <si>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</si>
  <si>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</si>
  <si>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</si>
  <si>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</si>
  <si>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</si>
  <si>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</si>
  <si>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</si>
  <si>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</si>
  <si>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</si>
  <si>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</si>
  <si>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</si>
  <si>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</si>
  <si>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</si>
  <si>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</si>
  <si>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</si>
  <si>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</si>
  <si>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</si>
  <si>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</si>
  <si>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This Excel Workbook is provided to aid applicants in developing the required budget table(s) within the budget narrative.  </t>
  </si>
  <si>
    <t>Travel  Per Diem</t>
  </si>
  <si>
    <t>Travel  Transportation</t>
  </si>
  <si>
    <t>Borough Projects Manager</t>
  </si>
  <si>
    <t>Capital Projects Manager</t>
  </si>
  <si>
    <t>Maintenance Manager</t>
  </si>
  <si>
    <t>Financial Manager</t>
  </si>
  <si>
    <t>Energy Audits - 29 Housing Units</t>
  </si>
  <si>
    <t>Energy Efficiency Retrofits - 29 Housing Units</t>
  </si>
  <si>
    <t>Owner's Rep Support</t>
  </si>
  <si>
    <t>Energy Audits -13 Schools , Office</t>
  </si>
  <si>
    <t>Energy Efficiency Retrofits - 23 Schools, Office</t>
  </si>
  <si>
    <t>Residential Energy Efficiency</t>
  </si>
  <si>
    <t>Community Facilitities Energy Efficiency</t>
  </si>
  <si>
    <t>Subaward - LPSD</t>
  </si>
  <si>
    <t>Travel Air Fare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</si>
</sst>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93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6" fontId="8" fillId="0" borderId="1" xfId="0" applyNumberFormat="1" applyFont="1" applyBorder="1" applyAlignment="1">
      <alignment wrapText="1"/>
    </xf>
    <xf numFmtId="0" fontId="2" fillId="0" borderId="1" xfId="0" applyFont="1" applyBorder="1"/>
    <xf numFmtId="0" fontId="9" fillId="0" borderId="11" xfId="0" applyFont="1" applyBorder="1" applyAlignment="1">
      <alignment wrapText="1"/>
    </xf>
    <xf numFmtId="0" fontId="10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8" fillId="0" borderId="1" xfId="0" applyFont="1" applyBorder="1" applyAlignment="1">
      <alignment horizontal="left" wrapText="1" indent="2"/>
    </xf>
    <xf numFmtId="0" fontId="12" fillId="0" borderId="0" xfId="0" applyFont="1"/>
    <xf numFmtId="0" fontId="7" fillId="0" borderId="15" xfId="0" applyFont="1" applyBorder="1" applyAlignment="1">
      <alignment vertical="top" wrapText="1"/>
    </xf>
    <xf numFmtId="0" fontId="0" fillId="0" borderId="16" xfId="0" applyBorder="1"/>
    <xf numFmtId="0" fontId="5" fillId="0" borderId="17" xfId="0" applyFont="1" applyBorder="1" applyAlignment="1">
      <alignment vertical="top" wrapText="1"/>
    </xf>
    <xf numFmtId="6" fontId="0" fillId="0" borderId="0" xfId="0" applyNumberFormat="1"/>
    <xf numFmtId="0" fontId="11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3" xfId="0" applyFont="1" applyFill="1" applyBorder="1"/>
    <xf numFmtId="6" fontId="13" fillId="0" borderId="1" xfId="0" applyNumberFormat="1" applyFont="1" applyBorder="1" applyAlignment="1">
      <alignment wrapText="1"/>
    </xf>
    <xf numFmtId="0" fontId="11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9" xfId="0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vertical="top" wrapText="1"/>
    </xf>
    <xf numFmtId="0" fontId="15" fillId="0" borderId="1" xfId="0" applyFont="1" applyBorder="1" applyAlignment="1">
      <alignment vertical="top"/>
    </xf>
    <xf numFmtId="0" fontId="16" fillId="0" borderId="1" xfId="0" applyFont="1" applyBorder="1" applyAlignment="1">
      <alignment wrapText="1"/>
    </xf>
    <xf numFmtId="0" fontId="16" fillId="0" borderId="0" xfId="0" applyFont="1"/>
    <xf numFmtId="0" fontId="16" fillId="0" borderId="1" xfId="0" applyFont="1" applyBorder="1"/>
    <xf numFmtId="0" fontId="16" fillId="0" borderId="0" xfId="3" applyFont="1"/>
    <xf numFmtId="6" fontId="16" fillId="0" borderId="1" xfId="0" applyNumberFormat="1" applyFont="1" applyBorder="1" applyAlignment="1">
      <alignment wrapText="1"/>
    </xf>
    <xf numFmtId="0" fontId="16" fillId="4" borderId="1" xfId="0" applyFont="1" applyFill="1" applyBorder="1" applyAlignment="1">
      <alignment wrapText="1"/>
    </xf>
    <xf numFmtId="6" fontId="16" fillId="4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7" fillId="0" borderId="21" xfId="0" applyFont="1" applyBorder="1" applyProtection="1">
      <protection locked="0"/>
    </xf>
    <xf numFmtId="164" fontId="16" fillId="0" borderId="1" xfId="1" applyNumberFormat="1" applyFont="1" applyBorder="1" applyAlignment="1">
      <alignment wrapText="1"/>
    </xf>
    <xf numFmtId="164" fontId="16" fillId="4" borderId="1" xfId="0" applyNumberFormat="1" applyFont="1" applyFill="1" applyBorder="1" applyAlignment="1">
      <alignment wrapText="1"/>
    </xf>
    <xf numFmtId="6" fontId="14" fillId="4" borderId="4" xfId="0" applyNumberFormat="1" applyFont="1" applyFill="1" applyBorder="1" applyAlignment="1">
      <alignment wrapText="1"/>
    </xf>
    <xf numFmtId="0" fontId="16" fillId="0" borderId="1" xfId="0" applyFont="1" applyBorder="1" applyAlignment="1">
      <alignment horizontal="left" wrapText="1" indent="2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 indent="2"/>
    </xf>
    <xf numFmtId="6" fontId="14" fillId="0" borderId="1" xfId="0" applyNumberFormat="1" applyFont="1" applyBorder="1" applyAlignment="1">
      <alignment wrapText="1"/>
    </xf>
    <xf numFmtId="6" fontId="15" fillId="0" borderId="12" xfId="0" applyNumberFormat="1" applyFont="1" applyBorder="1" applyAlignment="1">
      <alignment wrapText="1"/>
    </xf>
    <xf numFmtId="164" fontId="14" fillId="4" borderId="1" xfId="0" applyNumberFormat="1" applyFont="1" applyFill="1" applyBorder="1" applyAlignment="1">
      <alignment wrapText="1"/>
    </xf>
    <xf numFmtId="6" fontId="14" fillId="4" borderId="1" xfId="0" applyNumberFormat="1" applyFont="1" applyFill="1" applyBorder="1" applyAlignment="1">
      <alignment wrapText="1"/>
    </xf>
    <xf numFmtId="0" fontId="15" fillId="0" borderId="1" xfId="0" applyFont="1" applyBorder="1"/>
    <xf numFmtId="0" fontId="15" fillId="0" borderId="11" xfId="0" applyFont="1" applyBorder="1" applyAlignment="1">
      <alignment wrapText="1"/>
    </xf>
    <xf numFmtId="6" fontId="20" fillId="0" borderId="12" xfId="0" applyNumberFormat="1" applyFont="1" applyBorder="1" applyAlignment="1">
      <alignment wrapText="1"/>
    </xf>
    <xf numFmtId="0" fontId="21" fillId="2" borderId="8" xfId="0" applyFont="1" applyFill="1" applyBorder="1"/>
    <xf numFmtId="0" fontId="15" fillId="2" borderId="7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15" fillId="3" borderId="13" xfId="0" applyFont="1" applyFill="1" applyBorder="1" applyAlignment="1">
      <alignment wrapText="1"/>
    </xf>
    <xf numFmtId="0" fontId="15" fillId="3" borderId="14" xfId="0" applyFont="1" applyFill="1" applyBorder="1" applyAlignment="1">
      <alignment wrapText="1"/>
    </xf>
    <xf numFmtId="0" fontId="15" fillId="3" borderId="1" xfId="0" applyFont="1" applyFill="1" applyBorder="1"/>
    <xf numFmtId="0" fontId="15" fillId="0" borderId="2" xfId="0" applyFont="1" applyBorder="1" applyAlignment="1">
      <alignment vertical="top"/>
    </xf>
    <xf numFmtId="0" fontId="16" fillId="7" borderId="1" xfId="0" applyFont="1" applyFill="1" applyBorder="1" applyAlignment="1">
      <alignment wrapText="1"/>
    </xf>
    <xf numFmtId="6" fontId="14" fillId="7" borderId="1" xfId="0" applyNumberFormat="1" applyFont="1" applyFill="1" applyBorder="1" applyAlignment="1">
      <alignment wrapText="1"/>
    </xf>
    <xf numFmtId="0" fontId="16" fillId="0" borderId="5" xfId="0" applyFont="1" applyBorder="1" applyAlignment="1">
      <alignment vertical="top"/>
    </xf>
    <xf numFmtId="0" fontId="16" fillId="0" borderId="3" xfId="0" applyFont="1" applyBorder="1" applyAlignment="1">
      <alignment vertical="top"/>
    </xf>
    <xf numFmtId="0" fontId="16" fillId="0" borderId="1" xfId="0" applyFont="1" applyBorder="1" applyAlignment="1">
      <alignment vertical="top"/>
    </xf>
    <xf numFmtId="0" fontId="15" fillId="0" borderId="20" xfId="0" applyFont="1" applyBorder="1" applyAlignment="1">
      <alignment wrapText="1"/>
    </xf>
    <xf numFmtId="6" fontId="15" fillId="0" borderId="18" xfId="0" applyNumberFormat="1" applyFont="1" applyBorder="1" applyAlignment="1">
      <alignment wrapText="1"/>
    </xf>
    <xf numFmtId="6" fontId="15" fillId="0" borderId="1" xfId="0" applyNumberFormat="1" applyFont="1" applyBorder="1" applyAlignment="1">
      <alignment wrapText="1"/>
    </xf>
    <xf numFmtId="0" fontId="15" fillId="6" borderId="13" xfId="0" applyFont="1" applyFill="1" applyBorder="1" applyAlignment="1">
      <alignment wrapText="1"/>
    </xf>
    <xf numFmtId="0" fontId="15" fillId="6" borderId="14" xfId="0" applyFont="1" applyFill="1" applyBorder="1" applyAlignment="1">
      <alignment wrapText="1"/>
    </xf>
    <xf numFmtId="0" fontId="15" fillId="6" borderId="3" xfId="0" applyFont="1" applyFill="1" applyBorder="1"/>
    <xf numFmtId="0" fontId="16" fillId="0" borderId="0" xfId="0" applyFont="1" applyAlignment="1">
      <alignment vertical="top"/>
    </xf>
    <xf numFmtId="164" fontId="16" fillId="4" borderId="1" xfId="1" applyNumberFormat="1" applyFont="1" applyFill="1" applyBorder="1" applyAlignment="1">
      <alignment wrapText="1"/>
    </xf>
    <xf numFmtId="6" fontId="14" fillId="7" borderId="1" xfId="0" applyNumberFormat="1" applyFont="1" applyFill="1" applyBorder="1" applyAlignment="1">
      <alignment horizontal="left" vertical="top" wrapText="1"/>
    </xf>
    <xf numFmtId="6" fontId="14" fillId="7" borderId="8" xfId="0" applyNumberFormat="1" applyFont="1" applyFill="1" applyBorder="1" applyAlignment="1">
      <alignment wrapText="1"/>
    </xf>
    <xf numFmtId="0" fontId="15" fillId="4" borderId="1" xfId="0" applyFont="1" applyFill="1" applyBorder="1" applyAlignment="1">
      <alignment wrapText="1"/>
    </xf>
    <xf numFmtId="6" fontId="15" fillId="4" borderId="1" xfId="0" applyNumberFormat="1" applyFont="1" applyFill="1" applyBorder="1" applyAlignment="1">
      <alignment wrapText="1"/>
    </xf>
    <xf numFmtId="10" fontId="0" fillId="0" borderId="0" xfId="2" applyNumberFormat="1" applyFont="1"/>
    <xf numFmtId="0" fontId="16" fillId="0" borderId="21" xfId="0" applyFont="1" applyBorder="1" applyProtection="1">
      <protection locked="0"/>
    </xf>
    <xf numFmtId="0" fontId="16" fillId="0" borderId="22" xfId="0" applyFont="1" applyBorder="1" applyAlignment="1">
      <alignment horizontal="center" vertical="top" wrapText="1"/>
    </xf>
    <xf numFmtId="0" fontId="16" fillId="0" borderId="23" xfId="0" applyFont="1" applyBorder="1" applyAlignment="1">
      <alignment horizontal="center" vertical="top" wrapText="1"/>
    </xf>
    <xf numFmtId="9" fontId="14" fillId="7" borderId="1" xfId="2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</cellXfs>
  <cellStyles count="4">
    <cellStyle name="Currency" xfId="1" builtinId="4"/>
    <cellStyle name="Normal" xfId="0" builtinId="0"/>
    <cellStyle name="Normal 5" xfId="3" xr:uid="{0D3780A2-2F30-49DD-BB0B-7C494096571E}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B27" zoomScale="90" zoomScaleNormal="90" workbookViewId="0">
      <selection activeCell="F58" sqref="F58"/>
    </sheetView>
  </sheetViews>
  <sheetFormatPr defaultRowHeight="14.4" x14ac:dyDescent="0.3"/>
  <cols>
    <col min="1" max="1" width="1.77734375" customWidth="1"/>
    <col min="5" max="5" width="13.44140625" bestFit="1" customWidth="1"/>
    <col min="6" max="6" width="14.44140625" bestFit="1" customWidth="1"/>
    <col min="7" max="9" width="14.44140625" customWidth="1"/>
    <col min="10" max="10" width="10.777343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22"/>
      <c r="K2" s="3"/>
    </row>
    <row r="3" spans="4:11" x14ac:dyDescent="0.3">
      <c r="D3" s="3"/>
      <c r="E3" s="3"/>
      <c r="J3" s="20"/>
      <c r="K3" s="21"/>
    </row>
    <row r="4" spans="4:11" x14ac:dyDescent="0.3">
      <c r="D4" s="4"/>
      <c r="E4" s="3"/>
    </row>
    <row r="9" spans="4:11" x14ac:dyDescent="0.3">
      <c r="J9" s="14"/>
    </row>
    <row r="17" spans="5:18" x14ac:dyDescent="0.3">
      <c r="E17" s="23"/>
      <c r="F17" s="23"/>
      <c r="G17" s="23"/>
      <c r="H17" s="23"/>
      <c r="I17" s="23"/>
    </row>
    <row r="18" spans="5:18" x14ac:dyDescent="0.3">
      <c r="E18" s="23"/>
      <c r="F18" s="23"/>
      <c r="G18" s="23"/>
      <c r="H18" s="23"/>
      <c r="I18" s="23"/>
    </row>
    <row r="27" spans="5:18" ht="23.4" x14ac:dyDescent="0.45">
      <c r="Q27" s="19"/>
    </row>
    <row r="28" spans="5:18" x14ac:dyDescent="0.3">
      <c r="Q28" s="35"/>
      <c r="R28" s="3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87D28-2837-4A58-BC0E-016CB5E65991}">
  <dimension ref="A1:H30"/>
  <sheetViews>
    <sheetView zoomScale="85" zoomScaleNormal="85" workbookViewId="0">
      <selection activeCell="A5" sqref="A5:XFD33"/>
    </sheetView>
  </sheetViews>
  <sheetFormatPr defaultRowHeight="14.4" x14ac:dyDescent="0.3"/>
  <cols>
    <col min="3" max="3" width="22.88671875" bestFit="1" customWidth="1"/>
    <col min="4" max="4" width="9.5546875" bestFit="1" customWidth="1"/>
    <col min="5" max="7" width="11" bestFit="1" customWidth="1"/>
    <col min="8" max="8" width="10.5546875" bestFit="1" customWidth="1"/>
  </cols>
  <sheetData>
    <row r="1" spans="1:8" x14ac:dyDescent="0.3">
      <c r="D1" s="6"/>
      <c r="E1" s="2"/>
    </row>
    <row r="2" spans="1:8" ht="23.4" x14ac:dyDescent="0.45">
      <c r="B2" s="19" t="s">
        <v>28</v>
      </c>
      <c r="D2" s="6"/>
      <c r="E2" s="2"/>
    </row>
    <row r="3" spans="1:8" x14ac:dyDescent="0.3">
      <c r="B3" s="5" t="s">
        <v>40</v>
      </c>
      <c r="D3" s="6"/>
      <c r="E3" s="2"/>
    </row>
    <row r="4" spans="1:8" x14ac:dyDescent="0.3">
      <c r="B4" s="5"/>
      <c r="D4" s="6"/>
      <c r="E4" s="2"/>
    </row>
    <row r="5" spans="1:8" ht="18" x14ac:dyDescent="0.35">
      <c r="B5" s="24" t="s">
        <v>2</v>
      </c>
      <c r="C5" s="25"/>
      <c r="D5" s="25"/>
      <c r="E5" s="25"/>
      <c r="F5" s="25"/>
      <c r="G5" s="25"/>
      <c r="H5" s="26"/>
    </row>
    <row r="6" spans="1:8" ht="28.8" x14ac:dyDescent="0.3">
      <c r="B6" s="27" t="s">
        <v>3</v>
      </c>
      <c r="C6" s="27" t="s">
        <v>4</v>
      </c>
      <c r="D6" s="27" t="s">
        <v>5</v>
      </c>
      <c r="E6" s="28" t="s">
        <v>6</v>
      </c>
      <c r="F6" s="28" t="s">
        <v>7</v>
      </c>
      <c r="G6" s="28" t="s">
        <v>8</v>
      </c>
      <c r="H6" s="29" t="s">
        <v>9</v>
      </c>
    </row>
    <row r="7" spans="1:8" x14ac:dyDescent="0.3">
      <c r="A7" s="5"/>
      <c r="B7" s="15" t="s">
        <v>10</v>
      </c>
      <c r="C7" s="38" t="s">
        <v>29</v>
      </c>
      <c r="D7" s="39" t="s">
        <v>30</v>
      </c>
      <c r="E7" s="39" t="s">
        <v>30</v>
      </c>
      <c r="F7" s="39" t="s">
        <v>30</v>
      </c>
      <c r="G7" s="39"/>
      <c r="H7" s="41" t="s">
        <v>30</v>
      </c>
    </row>
    <row r="8" spans="1:8" x14ac:dyDescent="0.3">
      <c r="B8" s="16"/>
      <c r="C8" s="42" t="s">
        <v>43</v>
      </c>
      <c r="D8" s="43">
        <v>4000</v>
      </c>
      <c r="E8" s="43">
        <f>D8*1.03</f>
        <v>4120</v>
      </c>
      <c r="F8" s="43">
        <f t="shared" ref="F8:G8" si="0">E8*1.03</f>
        <v>4243.6000000000004</v>
      </c>
      <c r="G8" s="43">
        <f t="shared" si="0"/>
        <v>4370.9080000000004</v>
      </c>
      <c r="H8" s="43">
        <f>SUM(D8:G8)</f>
        <v>16734.508000000002</v>
      </c>
    </row>
    <row r="9" spans="1:8" x14ac:dyDescent="0.3">
      <c r="B9" s="16"/>
      <c r="C9" s="44" t="s">
        <v>11</v>
      </c>
      <c r="D9" s="45">
        <f>SUM(D8:D8)</f>
        <v>4000</v>
      </c>
      <c r="E9" s="45">
        <f>SUM(E8:E8)</f>
        <v>4120</v>
      </c>
      <c r="F9" s="45">
        <f>SUM(F8:F8)</f>
        <v>4243.6000000000004</v>
      </c>
      <c r="G9" s="45">
        <f>SUM(G8:G8)</f>
        <v>4370.9080000000004</v>
      </c>
      <c r="H9" s="45">
        <f>SUM(H8:H8)</f>
        <v>16734.508000000002</v>
      </c>
    </row>
    <row r="10" spans="1:8" x14ac:dyDescent="0.3">
      <c r="B10" s="16"/>
      <c r="C10" s="46" t="s">
        <v>31</v>
      </c>
      <c r="D10" s="39" t="s">
        <v>30</v>
      </c>
      <c r="E10" s="39"/>
      <c r="F10" s="39"/>
      <c r="G10" s="39"/>
      <c r="H10" s="41" t="s">
        <v>30</v>
      </c>
    </row>
    <row r="11" spans="1:8" x14ac:dyDescent="0.3">
      <c r="B11" s="16"/>
      <c r="C11" s="42" t="s">
        <v>43</v>
      </c>
      <c r="D11" s="43">
        <f>0.45*D8</f>
        <v>1800</v>
      </c>
      <c r="E11" s="43">
        <f>0.45*E8</f>
        <v>1854</v>
      </c>
      <c r="F11" s="43">
        <f>0.45*F8</f>
        <v>1909.6200000000001</v>
      </c>
      <c r="G11" s="43">
        <f>0.45*G8</f>
        <v>1966.9086000000002</v>
      </c>
      <c r="H11" s="43">
        <f>SUM(D11:G11)</f>
        <v>7530.5285999999996</v>
      </c>
    </row>
    <row r="12" spans="1:8" x14ac:dyDescent="0.3">
      <c r="B12" s="16"/>
      <c r="C12" s="44" t="s">
        <v>12</v>
      </c>
      <c r="D12" s="45">
        <f>SUM(D11:D11)</f>
        <v>1800</v>
      </c>
      <c r="E12" s="45">
        <f>SUM(E11:E11)</f>
        <v>1854</v>
      </c>
      <c r="F12" s="45">
        <f>SUM(F11:F11)</f>
        <v>1909.6200000000001</v>
      </c>
      <c r="G12" s="45">
        <f>SUM(G11:G11)</f>
        <v>1966.9086000000002</v>
      </c>
      <c r="H12" s="45">
        <f>SUM(H11:H11)</f>
        <v>7530.5285999999996</v>
      </c>
    </row>
    <row r="13" spans="1:8" x14ac:dyDescent="0.3">
      <c r="B13" s="16"/>
      <c r="C13" s="46" t="s">
        <v>32</v>
      </c>
      <c r="D13" s="39" t="s">
        <v>30</v>
      </c>
      <c r="E13" s="39"/>
      <c r="F13" s="39"/>
      <c r="G13" s="39"/>
      <c r="H13" s="41" t="s">
        <v>30</v>
      </c>
    </row>
    <row r="14" spans="1:8" x14ac:dyDescent="0.3">
      <c r="B14" s="16"/>
      <c r="C14" s="7" t="s">
        <v>13</v>
      </c>
      <c r="D14" s="49">
        <v>0</v>
      </c>
      <c r="E14" s="49">
        <v>0</v>
      </c>
      <c r="F14" s="49">
        <v>0</v>
      </c>
      <c r="G14" s="49">
        <v>0</v>
      </c>
      <c r="H14" s="45">
        <f>SUM(D14:G14)</f>
        <v>0</v>
      </c>
    </row>
    <row r="15" spans="1:8" x14ac:dyDescent="0.3">
      <c r="B15" s="16"/>
      <c r="C15" s="10" t="s">
        <v>33</v>
      </c>
      <c r="D15" s="11"/>
      <c r="E15" s="8"/>
      <c r="F15" s="8"/>
      <c r="G15" s="8"/>
      <c r="H15" s="30" t="s">
        <v>19</v>
      </c>
    </row>
    <row r="16" spans="1:8" x14ac:dyDescent="0.3">
      <c r="B16" s="16"/>
      <c r="C16" s="7" t="s">
        <v>14</v>
      </c>
      <c r="D16" s="50">
        <v>0</v>
      </c>
      <c r="E16" s="50">
        <v>0</v>
      </c>
      <c r="F16" s="50">
        <v>0</v>
      </c>
      <c r="G16" s="50">
        <v>0</v>
      </c>
      <c r="H16" s="45">
        <f>SUM(D16:G16)</f>
        <v>0</v>
      </c>
    </row>
    <row r="17" spans="1:8" x14ac:dyDescent="0.3">
      <c r="B17" s="16"/>
      <c r="C17" s="10" t="s">
        <v>34</v>
      </c>
      <c r="D17" s="9" t="s">
        <v>30</v>
      </c>
      <c r="E17" s="8"/>
      <c r="F17" s="8"/>
      <c r="G17" s="8"/>
      <c r="H17" s="30"/>
    </row>
    <row r="18" spans="1:8" x14ac:dyDescent="0.3">
      <c r="B18" s="16"/>
      <c r="C18" s="7" t="s">
        <v>15</v>
      </c>
      <c r="D18" s="45">
        <v>0</v>
      </c>
      <c r="E18" s="45">
        <v>0</v>
      </c>
      <c r="F18" s="45">
        <v>0</v>
      </c>
      <c r="G18" s="45">
        <v>0</v>
      </c>
      <c r="H18" s="45">
        <f>SUM(D18:G18)</f>
        <v>0</v>
      </c>
    </row>
    <row r="19" spans="1:8" x14ac:dyDescent="0.3">
      <c r="B19" s="16"/>
      <c r="C19" s="10" t="s">
        <v>35</v>
      </c>
      <c r="D19" s="39" t="s">
        <v>30</v>
      </c>
      <c r="E19" s="39"/>
      <c r="F19" s="39"/>
      <c r="G19" s="39"/>
      <c r="H19" s="43"/>
    </row>
    <row r="20" spans="1:8" x14ac:dyDescent="0.3">
      <c r="B20" s="16"/>
      <c r="C20" s="51" t="s">
        <v>54</v>
      </c>
      <c r="D20" s="43">
        <f>'LPSD SubAward- Consolidated'!D18</f>
        <v>167383.931171651</v>
      </c>
      <c r="E20" s="43">
        <f>'LPSD SubAward- Consolidated'!E18</f>
        <v>1937081.6380106753</v>
      </c>
      <c r="F20" s="43">
        <f>'LPSD SubAward- Consolidated'!F18</f>
        <v>1600202.2660548706</v>
      </c>
      <c r="G20" s="43">
        <f>'LPSD SubAward- Consolidated'!G18</f>
        <v>1601614.0129403917</v>
      </c>
      <c r="H20" s="43">
        <f>SUM(D20:G20)</f>
        <v>5306281.8481775885</v>
      </c>
    </row>
    <row r="21" spans="1:8" x14ac:dyDescent="0.3">
      <c r="B21" s="16"/>
      <c r="C21" s="44" t="s">
        <v>38</v>
      </c>
      <c r="D21" s="45">
        <f>SUM(D20:D20)</f>
        <v>167383.931171651</v>
      </c>
      <c r="E21" s="45">
        <f>SUM(E20:E20)</f>
        <v>1937081.6380106753</v>
      </c>
      <c r="F21" s="45">
        <f>SUM(F20:F20)</f>
        <v>1600202.2660548706</v>
      </c>
      <c r="G21" s="45">
        <f>SUM(G20:G20)</f>
        <v>1601614.0129403917</v>
      </c>
      <c r="H21" s="45">
        <f>SUM(D21:G21)</f>
        <v>5306281.8481775885</v>
      </c>
    </row>
    <row r="22" spans="1:8" x14ac:dyDescent="0.3">
      <c r="B22" s="16"/>
      <c r="C22" s="46" t="s">
        <v>39</v>
      </c>
      <c r="D22" s="39" t="s">
        <v>30</v>
      </c>
      <c r="E22" s="39"/>
      <c r="F22" s="39"/>
      <c r="G22" s="39"/>
      <c r="H22" s="43"/>
    </row>
    <row r="23" spans="1:8" x14ac:dyDescent="0.3">
      <c r="B23" s="17"/>
      <c r="C23" s="44" t="s">
        <v>17</v>
      </c>
      <c r="D23" s="45">
        <v>0</v>
      </c>
      <c r="E23" s="45">
        <v>0</v>
      </c>
      <c r="F23" s="45">
        <v>0</v>
      </c>
      <c r="G23" s="45">
        <v>0</v>
      </c>
      <c r="H23" s="45">
        <f>SUM(D23:G23)</f>
        <v>0</v>
      </c>
    </row>
    <row r="24" spans="1:8" x14ac:dyDescent="0.3">
      <c r="B24" s="17"/>
      <c r="C24" s="44" t="s">
        <v>18</v>
      </c>
      <c r="D24" s="45">
        <f>SUM(D23,D21,D18,D16,D14,D12,D9)</f>
        <v>173183.931171651</v>
      </c>
      <c r="E24" s="45">
        <f>SUM(E23,E21,E18,E16,E14,E12,E9)</f>
        <v>1943055.6380106753</v>
      </c>
      <c r="F24" s="45">
        <f>SUM(F23,F21,F18,F16,F14,F12,F9)</f>
        <v>1606355.4860548708</v>
      </c>
      <c r="G24" s="45">
        <f>SUM(G23,G21,G18,G16,G14,G12,G9)</f>
        <v>1607951.8295403917</v>
      </c>
      <c r="H24" s="45">
        <f>SUM(D24:G24)</f>
        <v>5330546.8847775888</v>
      </c>
    </row>
    <row r="25" spans="1:8" x14ac:dyDescent="0.3">
      <c r="B25" s="6"/>
      <c r="H25" t="s">
        <v>19</v>
      </c>
    </row>
    <row r="26" spans="1:8" ht="28.8" x14ac:dyDescent="0.3">
      <c r="B26" s="37" t="s">
        <v>37</v>
      </c>
      <c r="C26" s="12" t="s">
        <v>37</v>
      </c>
      <c r="D26" s="41"/>
      <c r="E26" s="41"/>
      <c r="F26" s="41"/>
      <c r="G26" s="41"/>
      <c r="H26" s="41" t="s">
        <v>19</v>
      </c>
    </row>
    <row r="27" spans="1:8" ht="44.4" customHeight="1" x14ac:dyDescent="0.3">
      <c r="A27" s="1"/>
      <c r="B27" s="87" t="s">
        <v>37</v>
      </c>
      <c r="C27" s="88"/>
      <c r="D27" s="43">
        <f>0.1*(D24-D21)+2500</f>
        <v>3080</v>
      </c>
      <c r="E27" s="43">
        <f>0.1*(E24-E21)</f>
        <v>597.4</v>
      </c>
      <c r="F27" s="43">
        <f>0.1*(F24-F21)</f>
        <v>615.32200000002058</v>
      </c>
      <c r="G27" s="43">
        <f>0.1*(G24-G21)</f>
        <v>633.78166000000203</v>
      </c>
      <c r="H27" s="43">
        <f>SUM(D27:G27)</f>
        <v>4926.503660000023</v>
      </c>
    </row>
    <row r="28" spans="1:8" x14ac:dyDescent="0.3">
      <c r="B28" s="17"/>
      <c r="C28" s="7" t="s">
        <v>20</v>
      </c>
      <c r="D28" s="45">
        <f>SUM(D27:D27)</f>
        <v>3080</v>
      </c>
      <c r="E28" s="45">
        <f>SUM(E27:E27)</f>
        <v>597.4</v>
      </c>
      <c r="F28" s="45">
        <f>SUM(F27:F27)</f>
        <v>615.32200000002058</v>
      </c>
      <c r="G28" s="45">
        <f>SUM(G27:G27)</f>
        <v>633.78166000000203</v>
      </c>
      <c r="H28" s="45">
        <f>SUM(D28:G28)</f>
        <v>4926.503660000023</v>
      </c>
    </row>
    <row r="29" spans="1:8" ht="15" thickBot="1" x14ac:dyDescent="0.35">
      <c r="B29" s="6"/>
      <c r="H29" t="s">
        <v>19</v>
      </c>
    </row>
    <row r="30" spans="1:8" ht="29.4" thickBot="1" x14ac:dyDescent="0.35">
      <c r="B30" s="13" t="s">
        <v>21</v>
      </c>
      <c r="C30" s="13"/>
      <c r="D30" s="55">
        <f>SUM(D28,D24)</f>
        <v>176263.931171651</v>
      </c>
      <c r="E30" s="55">
        <f>SUM(E28,E24)</f>
        <v>1943653.0380106752</v>
      </c>
      <c r="F30" s="55">
        <f>SUM(F28,F24)</f>
        <v>1606970.8080548707</v>
      </c>
      <c r="G30" s="55">
        <f>SUM(G28,G24)</f>
        <v>1608585.6112003918</v>
      </c>
      <c r="H30" s="55">
        <f>SUM(H28,H24)</f>
        <v>5335473.3884375887</v>
      </c>
    </row>
  </sheetData>
  <mergeCells count="1">
    <mergeCell ref="B27:C2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D0FD7-2F93-4BAC-85B0-C35ABFB09E39}">
  <sheetPr>
    <tabColor theme="9" tint="0.39997558519241921"/>
  </sheetPr>
  <dimension ref="A1:H29"/>
  <sheetViews>
    <sheetView workbookViewId="0">
      <selection activeCell="L10" sqref="L10"/>
    </sheetView>
  </sheetViews>
  <sheetFormatPr defaultRowHeight="14.4" x14ac:dyDescent="0.3"/>
  <cols>
    <col min="3" max="3" width="11.21875" bestFit="1" customWidth="1"/>
    <col min="4" max="6" width="11" bestFit="1" customWidth="1"/>
    <col min="7" max="8" width="12" bestFit="1" customWidth="1"/>
  </cols>
  <sheetData>
    <row r="1" spans="1:8" x14ac:dyDescent="0.3">
      <c r="D1" s="6"/>
      <c r="E1" s="2"/>
    </row>
    <row r="2" spans="1:8" ht="23.4" x14ac:dyDescent="0.45">
      <c r="B2" s="19" t="s">
        <v>0</v>
      </c>
      <c r="D2" s="6"/>
      <c r="E2" s="2"/>
    </row>
    <row r="3" spans="1:8" x14ac:dyDescent="0.3">
      <c r="B3" s="90" t="s">
        <v>1</v>
      </c>
      <c r="C3" s="90"/>
      <c r="D3" s="90"/>
      <c r="E3" s="90"/>
      <c r="F3" s="90"/>
      <c r="G3" s="90"/>
      <c r="H3" s="90"/>
    </row>
    <row r="4" spans="1:8" x14ac:dyDescent="0.3">
      <c r="B4" s="5"/>
      <c r="D4" s="6"/>
      <c r="E4" s="2"/>
    </row>
    <row r="5" spans="1:8" ht="18" x14ac:dyDescent="0.35">
      <c r="B5" s="61" t="s">
        <v>2</v>
      </c>
      <c r="C5" s="62"/>
      <c r="D5" s="62"/>
      <c r="E5" s="62"/>
      <c r="F5" s="62"/>
      <c r="G5" s="62"/>
      <c r="H5" s="63"/>
    </row>
    <row r="6" spans="1:8" ht="28.8" x14ac:dyDescent="0.3">
      <c r="B6" s="64" t="s">
        <v>3</v>
      </c>
      <c r="C6" s="64" t="s">
        <v>4</v>
      </c>
      <c r="D6" s="64" t="s">
        <v>5</v>
      </c>
      <c r="E6" s="65" t="s">
        <v>6</v>
      </c>
      <c r="F6" s="65" t="s">
        <v>7</v>
      </c>
      <c r="G6" s="65" t="s">
        <v>8</v>
      </c>
      <c r="H6" s="66" t="s">
        <v>9</v>
      </c>
    </row>
    <row r="7" spans="1:8" ht="28.8" x14ac:dyDescent="0.3">
      <c r="A7" s="5"/>
      <c r="B7" s="67" t="s">
        <v>10</v>
      </c>
      <c r="C7" s="68" t="s">
        <v>11</v>
      </c>
      <c r="D7" s="69">
        <f>'Measure 1- Community Facilities'!D11+'Measure 2- Residential EE'!D9</f>
        <v>29878.5</v>
      </c>
      <c r="E7" s="69">
        <f>'Measure 1- Community Facilities'!E11+'Measure 2- Residential EE'!E9</f>
        <v>30774.855</v>
      </c>
      <c r="F7" s="69">
        <f>'Measure 1- Community Facilities'!F11+'Measure 2- Residential EE'!F9</f>
        <v>31698.10065</v>
      </c>
      <c r="G7" s="69">
        <f>'Measure 1- Community Facilities'!G11+'Measure 2- Residential EE'!G9</f>
        <v>32649.043669500003</v>
      </c>
      <c r="H7" s="69">
        <f t="shared" ref="H7:H14" si="0">SUM(D7:G7)</f>
        <v>125000.4993195</v>
      </c>
    </row>
    <row r="8" spans="1:8" ht="43.2" x14ac:dyDescent="0.3">
      <c r="B8" s="70"/>
      <c r="C8" s="68" t="s">
        <v>12</v>
      </c>
      <c r="D8" s="69">
        <f>'Measure 1- Community Facilities'!D16+'Measure 2- Residential EE'!D14</f>
        <v>11908.494473999999</v>
      </c>
      <c r="E8" s="69">
        <f>'Measure 1- Community Facilities'!E16+'Measure 2- Residential EE'!E14</f>
        <v>12265.749308219998</v>
      </c>
      <c r="F8" s="69">
        <f>'Measure 1- Community Facilities'!F16+'Measure 2- Residential EE'!F14</f>
        <v>12633.721787466598</v>
      </c>
      <c r="G8" s="69">
        <f>'Measure 1- Community Facilities'!G16+'Measure 2- Residential EE'!G14</f>
        <v>13012.733441090599</v>
      </c>
      <c r="H8" s="69">
        <f t="shared" si="0"/>
        <v>49820.699010777193</v>
      </c>
    </row>
    <row r="9" spans="1:8" ht="28.8" x14ac:dyDescent="0.3">
      <c r="B9" s="70"/>
      <c r="C9" s="68" t="s">
        <v>13</v>
      </c>
      <c r="D9" s="69">
        <f>'Measure 1- Community Facilities'!D20+'Measure 2- Residential EE'!D18</f>
        <v>7500.0249999999996</v>
      </c>
      <c r="E9" s="69">
        <f>'Measure 1- Community Facilities'!E20+'Measure 2- Residential EE'!E18</f>
        <v>7500.0249999999996</v>
      </c>
      <c r="F9" s="69">
        <f>'Measure 1- Community Facilities'!F20+'Measure 2- Residential EE'!F18</f>
        <v>7500.0249999999996</v>
      </c>
      <c r="G9" s="69">
        <f>'Measure 1- Community Facilities'!G20+'Measure 2- Residential EE'!G18</f>
        <v>7500.0249999999996</v>
      </c>
      <c r="H9" s="69">
        <f t="shared" si="0"/>
        <v>30000.1</v>
      </c>
    </row>
    <row r="10" spans="1:8" ht="28.8" x14ac:dyDescent="0.3">
      <c r="B10" s="70"/>
      <c r="C10" s="68" t="s">
        <v>14</v>
      </c>
      <c r="D10" s="69"/>
      <c r="E10" s="69">
        <v>0</v>
      </c>
      <c r="F10" s="69">
        <v>0</v>
      </c>
      <c r="G10" s="69">
        <v>0</v>
      </c>
      <c r="H10" s="69">
        <f t="shared" si="0"/>
        <v>0</v>
      </c>
    </row>
    <row r="11" spans="1:8" ht="28.8" x14ac:dyDescent="0.3">
      <c r="B11" s="70"/>
      <c r="C11" s="68" t="s">
        <v>15</v>
      </c>
      <c r="D11" s="69">
        <v>0</v>
      </c>
      <c r="E11" s="69">
        <v>0</v>
      </c>
      <c r="F11" s="69">
        <v>0</v>
      </c>
      <c r="G11" s="69">
        <v>0</v>
      </c>
      <c r="H11" s="69">
        <f t="shared" si="0"/>
        <v>0</v>
      </c>
    </row>
    <row r="12" spans="1:8" ht="43.2" x14ac:dyDescent="0.3">
      <c r="B12" s="70"/>
      <c r="C12" s="68" t="s">
        <v>16</v>
      </c>
      <c r="D12" s="69">
        <f>'Measure 1- Community Facilities'!D29+'Measure 2- Residential EE'!D27</f>
        <v>115065.76000000001</v>
      </c>
      <c r="E12" s="69">
        <f>'Measure 1- Community Facilities'!E29+'Measure 2- Residential EE'!E27</f>
        <v>1883432.7599999998</v>
      </c>
      <c r="F12" s="69">
        <f>'Measure 1- Community Facilities'!F29+'Measure 2- Residential EE'!F27</f>
        <v>1545182.7599999998</v>
      </c>
      <c r="G12" s="69">
        <f>'Measure 1- Community Facilities'!G29+'Measure 2- Residential EE'!G27</f>
        <v>1545182.7599999998</v>
      </c>
      <c r="H12" s="69">
        <f t="shared" si="0"/>
        <v>5088864.0399999991</v>
      </c>
    </row>
    <row r="13" spans="1:8" ht="28.8" x14ac:dyDescent="0.3">
      <c r="B13" s="70"/>
      <c r="C13" s="68" t="s">
        <v>17</v>
      </c>
      <c r="D13" s="69">
        <v>0</v>
      </c>
      <c r="E13" s="69">
        <v>0</v>
      </c>
      <c r="F13" s="69">
        <v>0</v>
      </c>
      <c r="G13" s="69">
        <v>0</v>
      </c>
      <c r="H13" s="69">
        <f t="shared" si="0"/>
        <v>0</v>
      </c>
    </row>
    <row r="14" spans="1:8" ht="28.8" x14ac:dyDescent="0.3">
      <c r="B14" s="71"/>
      <c r="C14" s="44" t="s">
        <v>18</v>
      </c>
      <c r="D14" s="57">
        <f>D13+D12+D11+D10+D9+D8+D7</f>
        <v>164352.77947400001</v>
      </c>
      <c r="E14" s="57">
        <f>E13+E12+E11+E10+E9+E8+E7</f>
        <v>1933973.3893082198</v>
      </c>
      <c r="F14" s="57">
        <f>F13+F12+F11+F10+F9+F8+F7</f>
        <v>1597014.6074374663</v>
      </c>
      <c r="G14" s="57">
        <f>G13+G12+G11+G10+G9+G8+G7</f>
        <v>1598344.5621105903</v>
      </c>
      <c r="H14" s="57">
        <f t="shared" si="0"/>
        <v>5293685.3383302763</v>
      </c>
    </row>
    <row r="15" spans="1:8" x14ac:dyDescent="0.3">
      <c r="B15" s="72"/>
      <c r="C15" s="40"/>
      <c r="D15" s="40"/>
      <c r="E15" s="40"/>
      <c r="F15" s="40"/>
      <c r="G15" s="40"/>
      <c r="H15" s="41" t="s">
        <v>19</v>
      </c>
    </row>
    <row r="16" spans="1:8" ht="28.8" x14ac:dyDescent="0.3">
      <c r="B16" s="72"/>
      <c r="C16" s="44" t="s">
        <v>20</v>
      </c>
      <c r="D16" s="45">
        <f>'Measure 1- Community Facilities'!D35+'Measure 2- Residential EE'!D34</f>
        <v>3031.1516976509997</v>
      </c>
      <c r="E16" s="45">
        <f>'Measure 1- Community Facilities'!E35+'Measure 2- Residential EE'!E34</f>
        <v>3108.2487024555298</v>
      </c>
      <c r="F16" s="45">
        <f>'Measure 1- Community Facilities'!F35+'Measure 2- Residential EE'!F34</f>
        <v>3187.6586174041931</v>
      </c>
      <c r="G16" s="45">
        <f>'Measure 1- Community Facilities'!G35+'Measure 2- Residential EE'!G34</f>
        <v>3269.4508298013197</v>
      </c>
      <c r="H16" s="80">
        <f>SUM(D16:G16)</f>
        <v>12596.509847312042</v>
      </c>
    </row>
    <row r="17" spans="1:8" ht="15" thickBot="1" x14ac:dyDescent="0.35">
      <c r="B17" s="72"/>
      <c r="C17" s="40"/>
      <c r="D17" s="40"/>
      <c r="E17" s="40"/>
      <c r="F17" s="40"/>
      <c r="G17" s="40"/>
      <c r="H17" s="41" t="s">
        <v>19</v>
      </c>
    </row>
    <row r="18" spans="1:8" ht="29.4" thickBot="1" x14ac:dyDescent="0.35">
      <c r="B18" s="73" t="s">
        <v>21</v>
      </c>
      <c r="C18" s="59"/>
      <c r="D18" s="74">
        <f>D14+D16</f>
        <v>167383.931171651</v>
      </c>
      <c r="E18" s="74">
        <f>E14+E16</f>
        <v>1937081.6380106753</v>
      </c>
      <c r="F18" s="74">
        <f>F14+F16</f>
        <v>1600202.2660548706</v>
      </c>
      <c r="G18" s="74">
        <f>G14+G16</f>
        <v>1601614.0129403917</v>
      </c>
      <c r="H18" s="75">
        <f>H14+H16</f>
        <v>5306281.8481775885</v>
      </c>
    </row>
    <row r="19" spans="1:8" x14ac:dyDescent="0.3">
      <c r="A19" s="1"/>
      <c r="B19" s="6"/>
      <c r="D19" s="6"/>
      <c r="E19" s="2"/>
    </row>
    <row r="20" spans="1:8" x14ac:dyDescent="0.3">
      <c r="B20" s="6"/>
      <c r="D20" s="6"/>
      <c r="E20" s="2"/>
    </row>
    <row r="21" spans="1:8" ht="18" x14ac:dyDescent="0.35">
      <c r="B21" s="31" t="s">
        <v>22</v>
      </c>
      <c r="C21" s="32"/>
      <c r="D21" s="32"/>
      <c r="E21" s="91"/>
      <c r="F21" s="91"/>
    </row>
    <row r="22" spans="1:8" ht="28.8" x14ac:dyDescent="0.3">
      <c r="B22" s="33" t="s">
        <v>23</v>
      </c>
      <c r="C22" s="33" t="s">
        <v>24</v>
      </c>
      <c r="D22" s="34" t="s">
        <v>25</v>
      </c>
      <c r="E22" s="92" t="s">
        <v>26</v>
      </c>
      <c r="F22" s="92"/>
    </row>
    <row r="23" spans="1:8" ht="57.6" x14ac:dyDescent="0.3">
      <c r="B23" s="68">
        <v>1</v>
      </c>
      <c r="C23" s="81" t="s">
        <v>53</v>
      </c>
      <c r="D23" s="82">
        <f>'Measure 1- Community Facilities'!H36</f>
        <v>4063441.4240887943</v>
      </c>
      <c r="E23" s="89">
        <f>D23/D$29</f>
        <v>0.76577941774509373</v>
      </c>
      <c r="F23" s="89"/>
    </row>
    <row r="24" spans="1:8" ht="43.2" x14ac:dyDescent="0.3">
      <c r="B24" s="68">
        <v>2</v>
      </c>
      <c r="C24" s="69" t="s">
        <v>52</v>
      </c>
      <c r="D24" s="82">
        <f>'Measure 2- Residential EE'!H36</f>
        <v>1242840.4240887947</v>
      </c>
      <c r="E24" s="89">
        <f t="shared" ref="E24" si="1">D24/D$29</f>
        <v>0.23422058225490619</v>
      </c>
      <c r="F24" s="89"/>
    </row>
    <row r="25" spans="1:8" x14ac:dyDescent="0.3">
      <c r="B25" s="68"/>
      <c r="C25" s="69"/>
      <c r="D25" s="82"/>
      <c r="E25" s="89"/>
      <c r="F25" s="89"/>
    </row>
    <row r="26" spans="1:8" x14ac:dyDescent="0.3">
      <c r="B26" s="68"/>
      <c r="C26" s="69"/>
      <c r="D26" s="82"/>
      <c r="E26" s="89"/>
      <c r="F26" s="89"/>
    </row>
    <row r="27" spans="1:8" x14ac:dyDescent="0.3">
      <c r="B27" s="68"/>
      <c r="C27" s="69"/>
      <c r="D27" s="82"/>
      <c r="E27" s="89"/>
      <c r="F27" s="89"/>
    </row>
    <row r="28" spans="1:8" x14ac:dyDescent="0.3">
      <c r="B28" s="68"/>
      <c r="C28" s="69"/>
      <c r="D28" s="82"/>
      <c r="E28" s="89"/>
      <c r="F28" s="89"/>
    </row>
    <row r="29" spans="1:8" x14ac:dyDescent="0.3">
      <c r="B29" s="68" t="s">
        <v>27</v>
      </c>
      <c r="C29" s="69"/>
      <c r="D29" s="82">
        <f>SUM(D23:D28)</f>
        <v>5306281.8481775895</v>
      </c>
      <c r="E29" s="89">
        <f t="shared" ref="E29" si="2">SUM(E23:E28)</f>
        <v>0.99999999999999989</v>
      </c>
      <c r="F29" s="89"/>
    </row>
  </sheetData>
  <mergeCells count="10">
    <mergeCell ref="E26:F26"/>
    <mergeCell ref="E27:F27"/>
    <mergeCell ref="E28:F28"/>
    <mergeCell ref="E29:F29"/>
    <mergeCell ref="B3:H3"/>
    <mergeCell ref="E21:F21"/>
    <mergeCell ref="E22:F22"/>
    <mergeCell ref="E23:F23"/>
    <mergeCell ref="E24:F24"/>
    <mergeCell ref="E25:F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K47"/>
  <sheetViews>
    <sheetView showGridLines="0" tabSelected="1" zoomScale="85" zoomScaleNormal="85" workbookViewId="0">
      <selection activeCell="D8" sqref="D8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35.441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77734375" customWidth="1"/>
    <col min="9" max="9" width="10.21875" customWidth="1"/>
  </cols>
  <sheetData>
    <row r="2" spans="2:37" ht="23.4" x14ac:dyDescent="0.45">
      <c r="B2" s="19" t="s">
        <v>28</v>
      </c>
    </row>
    <row r="3" spans="2:37" x14ac:dyDescent="0.3">
      <c r="B3" s="5" t="s">
        <v>40</v>
      </c>
    </row>
    <row r="4" spans="2:37" x14ac:dyDescent="0.3">
      <c r="B4" s="5"/>
    </row>
    <row r="5" spans="2:37" ht="18" x14ac:dyDescent="0.35">
      <c r="B5" s="24" t="s">
        <v>2</v>
      </c>
      <c r="C5" s="24"/>
      <c r="D5" s="25"/>
      <c r="E5" s="25"/>
      <c r="F5" s="25"/>
      <c r="G5" s="25"/>
      <c r="H5" s="26"/>
    </row>
    <row r="6" spans="2:37" x14ac:dyDescent="0.3">
      <c r="B6" s="27" t="s">
        <v>3</v>
      </c>
      <c r="C6" s="27" t="s">
        <v>4</v>
      </c>
      <c r="D6" s="27" t="s">
        <v>5</v>
      </c>
      <c r="E6" s="28" t="s">
        <v>6</v>
      </c>
      <c r="F6" s="28" t="s">
        <v>7</v>
      </c>
      <c r="G6" s="28" t="s">
        <v>8</v>
      </c>
      <c r="H6" s="29" t="s">
        <v>9</v>
      </c>
    </row>
    <row r="7" spans="2:37" s="5" customFormat="1" x14ac:dyDescent="0.3">
      <c r="B7" s="15" t="s">
        <v>10</v>
      </c>
      <c r="C7" s="38" t="s">
        <v>29</v>
      </c>
      <c r="D7" s="39" t="s">
        <v>30</v>
      </c>
      <c r="E7" s="39" t="s">
        <v>30</v>
      </c>
      <c r="F7" s="39" t="s">
        <v>30</v>
      </c>
      <c r="G7" s="39"/>
      <c r="H7" s="41" t="s">
        <v>30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2:37" x14ac:dyDescent="0.3">
      <c r="B8" s="16"/>
      <c r="C8" s="42" t="s">
        <v>44</v>
      </c>
      <c r="D8" s="43">
        <v>6939.25</v>
      </c>
      <c r="E8" s="43">
        <f>D8*1.03</f>
        <v>7147.4274999999998</v>
      </c>
      <c r="F8" s="43">
        <f t="shared" ref="F8:G10" si="0">E8*1.03</f>
        <v>7361.8503250000003</v>
      </c>
      <c r="G8" s="43">
        <f t="shared" si="0"/>
        <v>7582.7058347500006</v>
      </c>
      <c r="H8" s="43">
        <f>SUM(D8:G8)</f>
        <v>29031.233659750003</v>
      </c>
    </row>
    <row r="9" spans="2:37" x14ac:dyDescent="0.3">
      <c r="B9" s="16"/>
      <c r="C9" s="42" t="s">
        <v>45</v>
      </c>
      <c r="D9" s="43">
        <v>5500</v>
      </c>
      <c r="E9" s="43">
        <f>D9*1.03</f>
        <v>5665</v>
      </c>
      <c r="F9" s="43">
        <f t="shared" si="0"/>
        <v>5834.95</v>
      </c>
      <c r="G9" s="43">
        <f t="shared" si="0"/>
        <v>6009.9984999999997</v>
      </c>
      <c r="H9" s="43">
        <f>SUM(D9:G9)</f>
        <v>23009.948499999999</v>
      </c>
    </row>
    <row r="10" spans="2:37" x14ac:dyDescent="0.3">
      <c r="B10" s="16"/>
      <c r="C10" s="42" t="s">
        <v>46</v>
      </c>
      <c r="D10" s="43">
        <v>2500</v>
      </c>
      <c r="E10" s="43">
        <f>D10*1.03</f>
        <v>2575</v>
      </c>
      <c r="F10" s="43">
        <f t="shared" si="0"/>
        <v>2652.25</v>
      </c>
      <c r="G10" s="43">
        <f t="shared" si="0"/>
        <v>2731.8175000000001</v>
      </c>
      <c r="H10" s="43">
        <f>SUM(D10:G10)</f>
        <v>10459.067500000001</v>
      </c>
    </row>
    <row r="11" spans="2:37" x14ac:dyDescent="0.3">
      <c r="B11" s="16"/>
      <c r="C11" s="44" t="s">
        <v>11</v>
      </c>
      <c r="D11" s="45">
        <f>SUM(D8:D10)</f>
        <v>14939.25</v>
      </c>
      <c r="E11" s="45">
        <f t="shared" ref="E11:H11" si="1">SUM(E8:E10)</f>
        <v>15387.4275</v>
      </c>
      <c r="F11" s="45">
        <f t="shared" si="1"/>
        <v>15849.050325</v>
      </c>
      <c r="G11" s="45">
        <f t="shared" si="1"/>
        <v>16324.521834750001</v>
      </c>
      <c r="H11" s="45">
        <f t="shared" si="1"/>
        <v>62500.249659749999</v>
      </c>
    </row>
    <row r="12" spans="2:37" x14ac:dyDescent="0.3">
      <c r="B12" s="16"/>
      <c r="C12" s="46" t="s">
        <v>31</v>
      </c>
      <c r="D12" s="39" t="s">
        <v>30</v>
      </c>
      <c r="E12" s="39"/>
      <c r="F12" s="39"/>
      <c r="G12" s="39"/>
      <c r="H12" s="41" t="s">
        <v>30</v>
      </c>
    </row>
    <row r="13" spans="2:37" x14ac:dyDescent="0.3">
      <c r="B13" s="16"/>
      <c r="C13" s="42" t="s">
        <v>44</v>
      </c>
      <c r="D13" s="43">
        <f>0.398564*D8</f>
        <v>2765.7352369999999</v>
      </c>
      <c r="E13" s="43">
        <f t="shared" ref="E13:G13" si="2">0.398564*E8</f>
        <v>2848.7072941099996</v>
      </c>
      <c r="F13" s="43">
        <f t="shared" si="2"/>
        <v>2934.1685129333</v>
      </c>
      <c r="G13" s="43">
        <f t="shared" si="2"/>
        <v>3022.1935683212992</v>
      </c>
      <c r="H13" s="43">
        <f>SUM(D13:G13)</f>
        <v>11570.8046123646</v>
      </c>
    </row>
    <row r="14" spans="2:37" x14ac:dyDescent="0.3">
      <c r="B14" s="16"/>
      <c r="C14" s="42" t="s">
        <v>45</v>
      </c>
      <c r="D14" s="43">
        <f t="shared" ref="D14:G15" si="3">0.398564*D9</f>
        <v>2192.1019999999999</v>
      </c>
      <c r="E14" s="43">
        <f t="shared" si="3"/>
        <v>2257.8650599999996</v>
      </c>
      <c r="F14" s="43">
        <f t="shared" si="3"/>
        <v>2325.6010117999999</v>
      </c>
      <c r="G14" s="43">
        <f t="shared" si="3"/>
        <v>2395.3690421539995</v>
      </c>
      <c r="H14" s="43">
        <f>SUM(D14:G14)</f>
        <v>9170.9371139539981</v>
      </c>
    </row>
    <row r="15" spans="2:37" x14ac:dyDescent="0.3">
      <c r="B15" s="16"/>
      <c r="C15" s="42" t="s">
        <v>46</v>
      </c>
      <c r="D15" s="43">
        <f t="shared" si="3"/>
        <v>996.41</v>
      </c>
      <c r="E15" s="43">
        <f t="shared" si="3"/>
        <v>1026.3022999999998</v>
      </c>
      <c r="F15" s="43">
        <f t="shared" si="3"/>
        <v>1057.091369</v>
      </c>
      <c r="G15" s="43">
        <f t="shared" si="3"/>
        <v>1088.80411007</v>
      </c>
      <c r="H15" s="43">
        <f>SUM(D15:G15)</f>
        <v>4168.6077790700001</v>
      </c>
    </row>
    <row r="16" spans="2:37" x14ac:dyDescent="0.3">
      <c r="B16" s="16"/>
      <c r="C16" s="44" t="s">
        <v>12</v>
      </c>
      <c r="D16" s="45">
        <f t="shared" ref="D16:H16" si="4">SUM(D13:D15)</f>
        <v>5954.2472369999996</v>
      </c>
      <c r="E16" s="45">
        <f t="shared" si="4"/>
        <v>6132.874654109999</v>
      </c>
      <c r="F16" s="45">
        <f t="shared" si="4"/>
        <v>6316.8608937332992</v>
      </c>
      <c r="G16" s="45">
        <f t="shared" si="4"/>
        <v>6506.3667205452994</v>
      </c>
      <c r="H16" s="45">
        <f t="shared" si="4"/>
        <v>24910.3495053886</v>
      </c>
    </row>
    <row r="17" spans="2:10" x14ac:dyDescent="0.3">
      <c r="B17" s="16"/>
      <c r="C17" s="46" t="s">
        <v>32</v>
      </c>
      <c r="D17" s="39" t="s">
        <v>30</v>
      </c>
      <c r="E17" s="39"/>
      <c r="F17" s="39"/>
      <c r="G17" s="39"/>
      <c r="H17" s="41" t="s">
        <v>30</v>
      </c>
    </row>
    <row r="18" spans="2:10" x14ac:dyDescent="0.3">
      <c r="B18" s="16"/>
      <c r="C18" s="47" t="s">
        <v>55</v>
      </c>
      <c r="D18" s="48">
        <f>13*525.85/4</f>
        <v>1709.0125</v>
      </c>
      <c r="E18" s="48">
        <f t="shared" ref="E18:G18" si="5">13*525.85/4</f>
        <v>1709.0125</v>
      </c>
      <c r="F18" s="48">
        <f t="shared" si="5"/>
        <v>1709.0125</v>
      </c>
      <c r="G18" s="48">
        <f t="shared" si="5"/>
        <v>1709.0125</v>
      </c>
      <c r="H18" s="43">
        <f>SUM(D18:G18)</f>
        <v>6836.05</v>
      </c>
    </row>
    <row r="19" spans="2:10" x14ac:dyDescent="0.3">
      <c r="B19" s="16"/>
      <c r="C19" s="47" t="s">
        <v>41</v>
      </c>
      <c r="D19" s="48">
        <f>2*314*13/4</f>
        <v>2041</v>
      </c>
      <c r="E19" s="48">
        <f t="shared" ref="E19:G19" si="6">2*314*13/4</f>
        <v>2041</v>
      </c>
      <c r="F19" s="48">
        <f t="shared" si="6"/>
        <v>2041</v>
      </c>
      <c r="G19" s="48">
        <f t="shared" si="6"/>
        <v>2041</v>
      </c>
      <c r="H19" s="43">
        <f>SUM(D19:G19)</f>
        <v>8164</v>
      </c>
    </row>
    <row r="20" spans="2:10" x14ac:dyDescent="0.3">
      <c r="B20" s="16"/>
      <c r="C20" s="7" t="s">
        <v>13</v>
      </c>
      <c r="D20" s="49">
        <f>SUM(D18:D19)</f>
        <v>3750.0124999999998</v>
      </c>
      <c r="E20" s="49">
        <f>SUM(E18:E19)</f>
        <v>3750.0124999999998</v>
      </c>
      <c r="F20" s="49">
        <f>SUM(F18:F19)</f>
        <v>3750.0124999999998</v>
      </c>
      <c r="G20" s="49">
        <f>SUM(G18:G19)</f>
        <v>3750.0124999999998</v>
      </c>
      <c r="H20" s="45">
        <f>SUM(D20:G20)</f>
        <v>15000.05</v>
      </c>
    </row>
    <row r="21" spans="2:10" x14ac:dyDescent="0.3">
      <c r="B21" s="16"/>
      <c r="C21" s="10" t="s">
        <v>33</v>
      </c>
      <c r="D21" s="11"/>
      <c r="E21" s="8"/>
      <c r="F21" s="8"/>
      <c r="G21" s="8"/>
      <c r="H21" s="30" t="s">
        <v>19</v>
      </c>
    </row>
    <row r="22" spans="2:10" x14ac:dyDescent="0.3">
      <c r="B22" s="16"/>
      <c r="C22" s="7" t="s">
        <v>14</v>
      </c>
      <c r="D22" s="50">
        <v>0</v>
      </c>
      <c r="E22" s="50">
        <v>0</v>
      </c>
      <c r="F22" s="50">
        <v>0</v>
      </c>
      <c r="G22" s="50">
        <v>0</v>
      </c>
      <c r="H22" s="45">
        <f>SUM(D22:G22)</f>
        <v>0</v>
      </c>
    </row>
    <row r="23" spans="2:10" x14ac:dyDescent="0.3">
      <c r="B23" s="16"/>
      <c r="C23" s="10" t="s">
        <v>34</v>
      </c>
      <c r="D23" s="9" t="s">
        <v>30</v>
      </c>
      <c r="E23" s="8"/>
      <c r="F23" s="8"/>
      <c r="G23" s="8"/>
      <c r="H23" s="30"/>
    </row>
    <row r="24" spans="2:10" x14ac:dyDescent="0.3">
      <c r="B24" s="16"/>
      <c r="C24" s="7" t="s">
        <v>15</v>
      </c>
      <c r="D24" s="45">
        <v>0</v>
      </c>
      <c r="E24" s="45">
        <v>0</v>
      </c>
      <c r="F24" s="45">
        <v>0</v>
      </c>
      <c r="G24" s="45">
        <v>0</v>
      </c>
      <c r="H24" s="45">
        <f>SUM(D24:G24)</f>
        <v>0</v>
      </c>
    </row>
    <row r="25" spans="2:10" x14ac:dyDescent="0.3">
      <c r="B25" s="16"/>
      <c r="C25" s="10" t="s">
        <v>35</v>
      </c>
      <c r="D25" s="39" t="s">
        <v>30</v>
      </c>
      <c r="E25" s="39"/>
      <c r="F25" s="39"/>
      <c r="G25" s="39"/>
      <c r="H25" s="43"/>
    </row>
    <row r="26" spans="2:10" x14ac:dyDescent="0.3">
      <c r="B26" s="16"/>
      <c r="C26" s="51" t="s">
        <v>50</v>
      </c>
      <c r="D26" s="43">
        <v>70000</v>
      </c>
      <c r="E26" s="43">
        <v>70000</v>
      </c>
      <c r="F26" s="43"/>
      <c r="G26" s="43"/>
      <c r="H26" s="43">
        <f>SUM(D26:G26)</f>
        <v>140000</v>
      </c>
    </row>
    <row r="27" spans="2:10" ht="28.8" x14ac:dyDescent="0.3">
      <c r="B27" s="16"/>
      <c r="C27" s="51" t="s">
        <v>51</v>
      </c>
      <c r="D27" s="43"/>
      <c r="E27" s="43">
        <f>3565101/3+232000</f>
        <v>1420367</v>
      </c>
      <c r="F27" s="43">
        <f t="shared" ref="F27" si="7">3565101/3</f>
        <v>1188367</v>
      </c>
      <c r="G27" s="43">
        <f>3565101/3</f>
        <v>1188367</v>
      </c>
      <c r="H27" s="43">
        <f>SUM(D27:G27)</f>
        <v>3797101</v>
      </c>
    </row>
    <row r="28" spans="2:10" x14ac:dyDescent="0.3">
      <c r="B28" s="16"/>
      <c r="C28" s="51" t="s">
        <v>49</v>
      </c>
      <c r="D28" s="43">
        <v>4407.88</v>
      </c>
      <c r="E28" s="43">
        <v>4407.88</v>
      </c>
      <c r="F28" s="43">
        <v>4407.88</v>
      </c>
      <c r="G28" s="43">
        <v>4407.88</v>
      </c>
      <c r="H28" s="43">
        <f>SUM(D28:G28)</f>
        <v>17631.52</v>
      </c>
      <c r="J28" s="85"/>
    </row>
    <row r="29" spans="2:10" x14ac:dyDescent="0.3">
      <c r="B29" s="16"/>
      <c r="C29" s="44" t="s">
        <v>38</v>
      </c>
      <c r="D29" s="45">
        <f>SUM(D26:D28)</f>
        <v>74407.88</v>
      </c>
      <c r="E29" s="45">
        <f>SUM(E26:E28)</f>
        <v>1494774.88</v>
      </c>
      <c r="F29" s="45">
        <f>SUM(F26:F28)</f>
        <v>1192774.8799999999</v>
      </c>
      <c r="G29" s="45">
        <f>SUM(G26:G28)</f>
        <v>1192774.8799999999</v>
      </c>
      <c r="H29" s="45">
        <f>SUM(D29:G29)</f>
        <v>3954732.5199999996</v>
      </c>
    </row>
    <row r="30" spans="2:10" x14ac:dyDescent="0.3">
      <c r="B30" s="16"/>
      <c r="C30" s="46" t="s">
        <v>39</v>
      </c>
      <c r="D30" s="52" t="s">
        <v>30</v>
      </c>
      <c r="E30" s="39"/>
      <c r="F30" s="39"/>
      <c r="G30" s="39"/>
      <c r="H30" s="43"/>
    </row>
    <row r="31" spans="2:10" x14ac:dyDescent="0.3">
      <c r="B31" s="17"/>
      <c r="C31" s="44" t="s">
        <v>17</v>
      </c>
      <c r="D31" s="45">
        <v>0</v>
      </c>
      <c r="E31" s="45">
        <v>0</v>
      </c>
      <c r="F31" s="45">
        <v>0</v>
      </c>
      <c r="G31" s="45">
        <v>0</v>
      </c>
      <c r="H31" s="45">
        <f>SUM(D31:G31)</f>
        <v>0</v>
      </c>
    </row>
    <row r="32" spans="2:10" x14ac:dyDescent="0.3">
      <c r="B32" s="17"/>
      <c r="C32" s="83" t="s">
        <v>18</v>
      </c>
      <c r="D32" s="84">
        <f>SUM(D31,D29,D24,D22,D20,D16,D11)</f>
        <v>99051.389737000005</v>
      </c>
      <c r="E32" s="84">
        <f>SUM(E31,E29,E24,E22,E20,E16,E11)</f>
        <v>1520045.1946541099</v>
      </c>
      <c r="F32" s="84">
        <f>SUM(F31,F29,F24,F22,F20,F16,F11)</f>
        <v>1218690.8037187331</v>
      </c>
      <c r="G32" s="84">
        <f>SUM(G31,G29,G24,G22,G20,G16,G11)</f>
        <v>1219355.7810552951</v>
      </c>
      <c r="H32" s="84">
        <f>SUM(D32:G32)</f>
        <v>4057143.1691651382</v>
      </c>
    </row>
    <row r="33" spans="2:8" ht="28.8" x14ac:dyDescent="0.3">
      <c r="B33" s="37" t="s">
        <v>37</v>
      </c>
      <c r="C33" s="12" t="s">
        <v>37</v>
      </c>
      <c r="D33" s="41"/>
      <c r="E33" s="41"/>
      <c r="F33" s="41"/>
      <c r="G33" s="41"/>
      <c r="H33" s="41" t="s">
        <v>19</v>
      </c>
    </row>
    <row r="34" spans="2:8" s="1" customFormat="1" x14ac:dyDescent="0.3">
      <c r="B34" s="16"/>
      <c r="C34" s="18"/>
      <c r="D34" s="43">
        <f>0.0615*(D32-D29)</f>
        <v>1515.5758488255001</v>
      </c>
      <c r="E34" s="43">
        <f>0.0615*(E32-E29)</f>
        <v>1554.1243512277649</v>
      </c>
      <c r="F34" s="43">
        <f>0.0615*(F32-F29)</f>
        <v>1593.8293087020947</v>
      </c>
      <c r="G34" s="43">
        <f>0.0615*(G32-G29)</f>
        <v>1634.7254149006581</v>
      </c>
      <c r="H34" s="43">
        <f>SUM(D34:G34)</f>
        <v>6298.2549236560171</v>
      </c>
    </row>
    <row r="35" spans="2:8" ht="15" thickBot="1" x14ac:dyDescent="0.35">
      <c r="B35" s="17"/>
      <c r="C35" s="7" t="s">
        <v>20</v>
      </c>
      <c r="D35" s="45">
        <f>SUM(D34:D34)</f>
        <v>1515.5758488255001</v>
      </c>
      <c r="E35" s="45">
        <f>SUM(E34:E34)</f>
        <v>1554.1243512277649</v>
      </c>
      <c r="F35" s="45">
        <f>SUM(F34:F34)</f>
        <v>1593.8293087020947</v>
      </c>
      <c r="G35" s="45">
        <f>SUM(G34:G34)</f>
        <v>1634.7254149006581</v>
      </c>
      <c r="H35" s="45">
        <f>SUM(D35:G35)</f>
        <v>6298.2549236560171</v>
      </c>
    </row>
    <row r="36" spans="2:8" ht="29.4" thickBot="1" x14ac:dyDescent="0.35">
      <c r="B36" s="13" t="s">
        <v>21</v>
      </c>
      <c r="C36" s="13" t="s">
        <v>21</v>
      </c>
      <c r="D36" s="55">
        <f>SUM(D35,D32)</f>
        <v>100566.9655858255</v>
      </c>
      <c r="E36" s="55">
        <f>SUM(E35,E32)</f>
        <v>1521599.3190053375</v>
      </c>
      <c r="F36" s="55">
        <f>SUM(F35,F32)</f>
        <v>1220284.6330274353</v>
      </c>
      <c r="G36" s="55">
        <f>SUM(G35,G32)</f>
        <v>1220990.5064701957</v>
      </c>
      <c r="H36" s="55">
        <f>SUM(H35,H32)</f>
        <v>4063441.4240887943</v>
      </c>
    </row>
    <row r="37" spans="2:8" x14ac:dyDescent="0.3">
      <c r="B37" s="6"/>
    </row>
    <row r="38" spans="2:8" x14ac:dyDescent="0.3">
      <c r="B38" s="6"/>
    </row>
    <row r="39" spans="2:8" x14ac:dyDescent="0.3">
      <c r="B39" s="6"/>
    </row>
    <row r="40" spans="2:8" x14ac:dyDescent="0.3">
      <c r="B40" s="6"/>
    </row>
    <row r="41" spans="2:8" x14ac:dyDescent="0.3">
      <c r="B41" s="6"/>
    </row>
    <row r="42" spans="2:8" x14ac:dyDescent="0.3">
      <c r="B42" s="6"/>
    </row>
    <row r="43" spans="2:8" x14ac:dyDescent="0.3">
      <c r="B43" s="6"/>
    </row>
    <row r="44" spans="2:8" x14ac:dyDescent="0.3">
      <c r="B44" s="6"/>
    </row>
    <row r="45" spans="2:8" x14ac:dyDescent="0.3">
      <c r="B45" s="6"/>
    </row>
    <row r="46" spans="2:8" x14ac:dyDescent="0.3">
      <c r="B46" s="6"/>
    </row>
    <row r="47" spans="2:8" x14ac:dyDescent="0.3">
      <c r="B47" s="6"/>
    </row>
  </sheetData>
  <pageMargins left="0.7" right="0.7" top="0.75" bottom="0.75" header="0.3" footer="0.3"/>
  <pageSetup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K51"/>
  <sheetViews>
    <sheetView showGridLines="0" zoomScale="85" zoomScaleNormal="85" workbookViewId="0">
      <pane xSplit="3" ySplit="5" topLeftCell="F18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K14" sqref="K14"/>
    </sheetView>
  </sheetViews>
  <sheetFormatPr defaultColWidth="9.21875" defaultRowHeight="14.4" x14ac:dyDescent="0.3"/>
  <cols>
    <col min="1" max="1" width="3.21875" customWidth="1"/>
    <col min="2" max="2" width="11.88671875" customWidth="1"/>
    <col min="3" max="3" width="44.44140625" customWidth="1"/>
    <col min="4" max="4" width="12.77734375" style="6" customWidth="1"/>
    <col min="5" max="5" width="12.44140625" style="2" customWidth="1"/>
    <col min="6" max="7" width="12.77734375" customWidth="1"/>
    <col min="8" max="8" width="14.44140625" customWidth="1"/>
    <col min="9" max="9" width="10.21875" customWidth="1"/>
  </cols>
  <sheetData>
    <row r="2" spans="2:37" ht="36.6" customHeight="1" x14ac:dyDescent="0.45">
      <c r="B2" s="19" t="s">
        <v>28</v>
      </c>
    </row>
    <row r="3" spans="2:37" x14ac:dyDescent="0.3">
      <c r="B3" s="5"/>
    </row>
    <row r="4" spans="2:37" ht="18" x14ac:dyDescent="0.35">
      <c r="B4" s="24" t="s">
        <v>2</v>
      </c>
      <c r="C4" s="25"/>
      <c r="D4" s="25"/>
      <c r="E4" s="25"/>
      <c r="F4" s="25"/>
      <c r="G4" s="25"/>
      <c r="H4" s="26"/>
    </row>
    <row r="5" spans="2:37" x14ac:dyDescent="0.3">
      <c r="B5" s="76" t="s">
        <v>3</v>
      </c>
      <c r="C5" s="76" t="s">
        <v>4</v>
      </c>
      <c r="D5" s="76" t="s">
        <v>5</v>
      </c>
      <c r="E5" s="77" t="s">
        <v>6</v>
      </c>
      <c r="F5" s="77" t="s">
        <v>7</v>
      </c>
      <c r="G5" s="77" t="s">
        <v>8</v>
      </c>
      <c r="H5" s="78" t="s">
        <v>9</v>
      </c>
    </row>
    <row r="6" spans="2:37" s="5" customFormat="1" x14ac:dyDescent="0.3">
      <c r="B6" s="67" t="s">
        <v>10</v>
      </c>
      <c r="C6" s="42" t="s">
        <v>44</v>
      </c>
      <c r="D6" s="43">
        <v>6939.25</v>
      </c>
      <c r="E6" s="43">
        <f>D6*1.03</f>
        <v>7147.4274999999998</v>
      </c>
      <c r="F6" s="43">
        <f t="shared" ref="F6:G8" si="0">E6*1.03</f>
        <v>7361.8503250000003</v>
      </c>
      <c r="G6" s="43">
        <f t="shared" si="0"/>
        <v>7582.7058347500006</v>
      </c>
      <c r="H6" s="43">
        <f>SUM(D6:G6)</f>
        <v>29031.233659750003</v>
      </c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2:37" x14ac:dyDescent="0.3">
      <c r="B7" s="70"/>
      <c r="C7" s="42" t="s">
        <v>45</v>
      </c>
      <c r="D7" s="43">
        <v>5500</v>
      </c>
      <c r="E7" s="43">
        <f>D7*1.03</f>
        <v>5665</v>
      </c>
      <c r="F7" s="43">
        <f t="shared" si="0"/>
        <v>5834.95</v>
      </c>
      <c r="G7" s="43">
        <f t="shared" si="0"/>
        <v>6009.9984999999997</v>
      </c>
      <c r="H7" s="43">
        <f>SUM(D7:G7)</f>
        <v>23009.948499999999</v>
      </c>
    </row>
    <row r="8" spans="2:37" x14ac:dyDescent="0.3">
      <c r="B8" s="70"/>
      <c r="C8" s="42" t="s">
        <v>46</v>
      </c>
      <c r="D8" s="43">
        <v>2500</v>
      </c>
      <c r="E8" s="43">
        <f>D8*1.03</f>
        <v>2575</v>
      </c>
      <c r="F8" s="43">
        <f t="shared" si="0"/>
        <v>2652.25</v>
      </c>
      <c r="G8" s="43">
        <f t="shared" si="0"/>
        <v>2731.8175000000001</v>
      </c>
      <c r="H8" s="43">
        <f>SUM(D8:G8)</f>
        <v>10459.067500000001</v>
      </c>
    </row>
    <row r="9" spans="2:37" x14ac:dyDescent="0.3">
      <c r="B9" s="70"/>
      <c r="C9" s="44" t="s">
        <v>11</v>
      </c>
      <c r="D9" s="57">
        <f>SUM(D6:D8)</f>
        <v>14939.25</v>
      </c>
      <c r="E9" s="57">
        <f>SUM(E6:E8)</f>
        <v>15387.4275</v>
      </c>
      <c r="F9" s="57">
        <f>SUM(F6:F8)</f>
        <v>15849.050325</v>
      </c>
      <c r="G9" s="57">
        <f>SUM(G6:G8)</f>
        <v>16324.521834750001</v>
      </c>
      <c r="H9" s="57">
        <f>SUM(H6:H8)</f>
        <v>62500.249659749999</v>
      </c>
    </row>
    <row r="10" spans="2:37" x14ac:dyDescent="0.3">
      <c r="B10" s="70"/>
      <c r="C10" s="46" t="s">
        <v>31</v>
      </c>
      <c r="D10" s="39" t="s">
        <v>30</v>
      </c>
      <c r="E10" s="39"/>
      <c r="F10" s="39"/>
      <c r="G10" s="39"/>
      <c r="H10" s="41" t="s">
        <v>30</v>
      </c>
    </row>
    <row r="11" spans="2:37" x14ac:dyDescent="0.3">
      <c r="B11" s="70"/>
      <c r="C11" s="42" t="s">
        <v>44</v>
      </c>
      <c r="D11" s="43">
        <f t="shared" ref="D11:G13" si="1">0.398564*D6</f>
        <v>2765.7352369999999</v>
      </c>
      <c r="E11" s="43">
        <f t="shared" si="1"/>
        <v>2848.7072941099996</v>
      </c>
      <c r="F11" s="43">
        <f t="shared" si="1"/>
        <v>2934.1685129333</v>
      </c>
      <c r="G11" s="43">
        <f t="shared" si="1"/>
        <v>3022.1935683212992</v>
      </c>
      <c r="H11" s="43">
        <f>SUM(D11:G11)</f>
        <v>11570.8046123646</v>
      </c>
    </row>
    <row r="12" spans="2:37" x14ac:dyDescent="0.3">
      <c r="B12" s="70"/>
      <c r="C12" s="42" t="s">
        <v>45</v>
      </c>
      <c r="D12" s="43">
        <f t="shared" si="1"/>
        <v>2192.1019999999999</v>
      </c>
      <c r="E12" s="43">
        <f t="shared" si="1"/>
        <v>2257.8650599999996</v>
      </c>
      <c r="F12" s="43">
        <f t="shared" si="1"/>
        <v>2325.6010117999999</v>
      </c>
      <c r="G12" s="43">
        <f t="shared" si="1"/>
        <v>2395.3690421539995</v>
      </c>
      <c r="H12" s="43">
        <f>SUM(D12:G12)</f>
        <v>9170.9371139539981</v>
      </c>
    </row>
    <row r="13" spans="2:37" x14ac:dyDescent="0.3">
      <c r="B13" s="70"/>
      <c r="C13" s="42" t="s">
        <v>46</v>
      </c>
      <c r="D13" s="43">
        <f t="shared" si="1"/>
        <v>996.41</v>
      </c>
      <c r="E13" s="43">
        <f t="shared" si="1"/>
        <v>1026.3022999999998</v>
      </c>
      <c r="F13" s="43">
        <f t="shared" si="1"/>
        <v>1057.091369</v>
      </c>
      <c r="G13" s="43">
        <f t="shared" si="1"/>
        <v>1088.80411007</v>
      </c>
      <c r="H13" s="43">
        <f>SUM(D13:G13)</f>
        <v>4168.6077790700001</v>
      </c>
    </row>
    <row r="14" spans="2:37" x14ac:dyDescent="0.3">
      <c r="B14" s="70"/>
      <c r="C14" s="44" t="s">
        <v>12</v>
      </c>
      <c r="D14" s="57">
        <f>SUM(D11:D13)</f>
        <v>5954.2472369999996</v>
      </c>
      <c r="E14" s="57">
        <f t="shared" ref="E14:G14" si="2">SUM(E11:E13)</f>
        <v>6132.874654109999</v>
      </c>
      <c r="F14" s="57">
        <f t="shared" si="2"/>
        <v>6316.8608937332992</v>
      </c>
      <c r="G14" s="57">
        <f t="shared" si="2"/>
        <v>6506.3667205452994</v>
      </c>
      <c r="H14" s="57">
        <f>SUM(H11:H13)</f>
        <v>24910.3495053886</v>
      </c>
    </row>
    <row r="15" spans="2:37" x14ac:dyDescent="0.3">
      <c r="B15" s="70"/>
      <c r="C15" s="46" t="s">
        <v>32</v>
      </c>
      <c r="D15" s="52" t="s">
        <v>30</v>
      </c>
      <c r="E15" s="39"/>
      <c r="F15" s="39"/>
      <c r="G15" s="39"/>
      <c r="H15" s="41" t="s">
        <v>30</v>
      </c>
    </row>
    <row r="16" spans="2:37" x14ac:dyDescent="0.3">
      <c r="B16" s="70"/>
      <c r="C16" s="86" t="s">
        <v>41</v>
      </c>
      <c r="D16" s="48">
        <f>13*525.85/4</f>
        <v>1709.0125</v>
      </c>
      <c r="E16" s="48">
        <f t="shared" ref="E16:G16" si="3">13*525.85/4</f>
        <v>1709.0125</v>
      </c>
      <c r="F16" s="48">
        <f t="shared" si="3"/>
        <v>1709.0125</v>
      </c>
      <c r="G16" s="48">
        <f t="shared" si="3"/>
        <v>1709.0125</v>
      </c>
      <c r="H16" s="54">
        <f>SUM(D16:G16)</f>
        <v>6836.05</v>
      </c>
    </row>
    <row r="17" spans="2:8" x14ac:dyDescent="0.3">
      <c r="B17" s="70"/>
      <c r="C17" s="86" t="s">
        <v>42</v>
      </c>
      <c r="D17" s="48">
        <f>2*314*13/4</f>
        <v>2041</v>
      </c>
      <c r="E17" s="48">
        <f t="shared" ref="E17:G17" si="4">2*314*13/4</f>
        <v>2041</v>
      </c>
      <c r="F17" s="48">
        <f t="shared" si="4"/>
        <v>2041</v>
      </c>
      <c r="G17" s="48">
        <f t="shared" si="4"/>
        <v>2041</v>
      </c>
      <c r="H17" s="54">
        <f>SUM(D17:G17)</f>
        <v>8164</v>
      </c>
    </row>
    <row r="18" spans="2:8" x14ac:dyDescent="0.3">
      <c r="B18" s="70"/>
      <c r="C18" s="44" t="s">
        <v>13</v>
      </c>
      <c r="D18" s="56">
        <f>SUM(D16:D17)</f>
        <v>3750.0124999999998</v>
      </c>
      <c r="E18" s="56">
        <f>SUM(E16:E17)</f>
        <v>3750.0124999999998</v>
      </c>
      <c r="F18" s="56">
        <f>SUM(F16:F17)</f>
        <v>3750.0124999999998</v>
      </c>
      <c r="G18" s="56">
        <f>SUM(G16:G17)</f>
        <v>3750.0124999999998</v>
      </c>
      <c r="H18" s="57">
        <f>SUM(H16:H17)</f>
        <v>15000.05</v>
      </c>
    </row>
    <row r="19" spans="2:8" x14ac:dyDescent="0.3">
      <c r="B19" s="70"/>
      <c r="C19" s="46" t="s">
        <v>33</v>
      </c>
      <c r="D19" s="54"/>
      <c r="E19" s="39"/>
      <c r="F19" s="39"/>
      <c r="G19" s="39"/>
      <c r="H19" s="54" t="s">
        <v>19</v>
      </c>
    </row>
    <row r="20" spans="2:8" x14ac:dyDescent="0.3">
      <c r="B20" s="70"/>
      <c r="C20" s="44" t="s">
        <v>14</v>
      </c>
      <c r="D20" s="50">
        <v>0</v>
      </c>
      <c r="E20" s="50">
        <v>0</v>
      </c>
      <c r="F20" s="50">
        <v>0</v>
      </c>
      <c r="G20" s="50">
        <v>0</v>
      </c>
      <c r="H20" s="57">
        <v>0</v>
      </c>
    </row>
    <row r="21" spans="2:8" x14ac:dyDescent="0.3">
      <c r="B21" s="70"/>
      <c r="C21" s="46" t="s">
        <v>34</v>
      </c>
      <c r="D21" s="52" t="s">
        <v>30</v>
      </c>
      <c r="E21" s="39"/>
      <c r="F21" s="39"/>
      <c r="G21" s="39"/>
      <c r="H21" s="54"/>
    </row>
    <row r="22" spans="2:8" x14ac:dyDescent="0.3">
      <c r="B22" s="70"/>
      <c r="C22" s="44" t="s">
        <v>15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</row>
    <row r="23" spans="2:8" x14ac:dyDescent="0.3">
      <c r="B23" s="70"/>
      <c r="C23" s="46" t="s">
        <v>35</v>
      </c>
      <c r="D23" s="52" t="s">
        <v>30</v>
      </c>
      <c r="E23" s="39"/>
      <c r="F23" s="39"/>
      <c r="G23" s="39"/>
      <c r="H23" s="54"/>
    </row>
    <row r="24" spans="2:8" x14ac:dyDescent="0.3">
      <c r="B24" s="70"/>
      <c r="C24" s="51" t="s">
        <v>47</v>
      </c>
      <c r="D24" s="43">
        <f>72500/2</f>
        <v>36250</v>
      </c>
      <c r="E24" s="43">
        <f>72500/2</f>
        <v>36250</v>
      </c>
      <c r="F24" s="43"/>
      <c r="G24" s="43"/>
      <c r="H24" s="54">
        <f>SUM(D24:G24)</f>
        <v>72500</v>
      </c>
    </row>
    <row r="25" spans="2:8" x14ac:dyDescent="0.3">
      <c r="B25" s="70"/>
      <c r="C25" s="51" t="s">
        <v>48</v>
      </c>
      <c r="D25" s="43"/>
      <c r="E25" s="43">
        <f>1044000/3</f>
        <v>348000</v>
      </c>
      <c r="F25" s="43">
        <f t="shared" ref="F25:G25" si="5">1044000/3</f>
        <v>348000</v>
      </c>
      <c r="G25" s="43">
        <f t="shared" si="5"/>
        <v>348000</v>
      </c>
      <c r="H25" s="54">
        <f>SUM(D25:G25)</f>
        <v>1044000</v>
      </c>
    </row>
    <row r="26" spans="2:8" x14ac:dyDescent="0.3">
      <c r="B26" s="70"/>
      <c r="C26" s="51" t="s">
        <v>49</v>
      </c>
      <c r="D26" s="43">
        <v>4407.88</v>
      </c>
      <c r="E26" s="43">
        <v>4407.88</v>
      </c>
      <c r="F26" s="43">
        <v>4407.88</v>
      </c>
      <c r="G26" s="43">
        <v>4407.88</v>
      </c>
      <c r="H26" s="54">
        <f>SUM(D26:G26)</f>
        <v>17631.52</v>
      </c>
    </row>
    <row r="27" spans="2:8" x14ac:dyDescent="0.3">
      <c r="B27" s="70"/>
      <c r="C27" s="44" t="s">
        <v>16</v>
      </c>
      <c r="D27" s="57">
        <f>SUM(D24:D26)</f>
        <v>40657.879999999997</v>
      </c>
      <c r="E27" s="57">
        <f>SUM(E24:E26)</f>
        <v>388657.88</v>
      </c>
      <c r="F27" s="57">
        <f>SUM(F24:F26)</f>
        <v>352407.88</v>
      </c>
      <c r="G27" s="57">
        <f>SUM(G24:G26)</f>
        <v>352407.88</v>
      </c>
      <c r="H27" s="57">
        <f>SUM(H24:H26)</f>
        <v>1134131.52</v>
      </c>
    </row>
    <row r="28" spans="2:8" x14ac:dyDescent="0.3">
      <c r="B28" s="70"/>
      <c r="C28" s="46" t="s">
        <v>36</v>
      </c>
      <c r="D28" s="52" t="s">
        <v>30</v>
      </c>
      <c r="E28" s="39"/>
      <c r="F28" s="39"/>
      <c r="G28" s="39"/>
      <c r="H28" s="54"/>
    </row>
    <row r="29" spans="2:8" x14ac:dyDescent="0.3">
      <c r="B29" s="71"/>
      <c r="C29" s="44" t="s">
        <v>17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</row>
    <row r="30" spans="2:8" x14ac:dyDescent="0.3">
      <c r="B30" s="71"/>
      <c r="C30" s="44" t="s">
        <v>18</v>
      </c>
      <c r="D30" s="57">
        <f>SUM(D29,D27,D22,D20,D18,D14,D9)</f>
        <v>65301.38973699999</v>
      </c>
      <c r="E30" s="57">
        <f>SUM(E29,E27,E22,E20,E18,E14,E9)</f>
        <v>413928.19465411</v>
      </c>
      <c r="F30" s="57">
        <f>SUM(F29,F27,F22,F20,F18,F14,F9)</f>
        <v>378323.80371873331</v>
      </c>
      <c r="G30" s="57">
        <f>SUM(G29,G27,G22,G20,G18,G14,G9)</f>
        <v>378988.78105529532</v>
      </c>
      <c r="H30" s="57">
        <f>SUM(D30:G30)</f>
        <v>1236542.1691651386</v>
      </c>
    </row>
    <row r="31" spans="2:8" x14ac:dyDescent="0.3">
      <c r="B31" s="79"/>
      <c r="C31" s="40"/>
      <c r="D31" s="40"/>
      <c r="E31" s="40"/>
      <c r="F31" s="40"/>
      <c r="G31" s="40"/>
      <c r="H31" s="40" t="s">
        <v>19</v>
      </c>
    </row>
    <row r="32" spans="2:8" x14ac:dyDescent="0.3">
      <c r="B32" s="67" t="s">
        <v>37</v>
      </c>
      <c r="C32" s="58" t="s">
        <v>37</v>
      </c>
      <c r="D32" s="41"/>
      <c r="E32" s="41"/>
      <c r="F32" s="41"/>
      <c r="G32" s="41"/>
      <c r="H32" s="41" t="s">
        <v>19</v>
      </c>
    </row>
    <row r="33" spans="2:8" x14ac:dyDescent="0.3">
      <c r="B33" s="70"/>
      <c r="C33" s="53"/>
      <c r="D33" s="43">
        <f>0.0615*(D30-D27)</f>
        <v>1515.5758488254996</v>
      </c>
      <c r="E33" s="43">
        <f>0.0615*(E30-E27)</f>
        <v>1554.1243512277649</v>
      </c>
      <c r="F33" s="43">
        <f>0.0615*(F30-F27)</f>
        <v>1593.8293087020982</v>
      </c>
      <c r="G33" s="43">
        <f>0.0615*(G30-G27)</f>
        <v>1634.7254149006617</v>
      </c>
      <c r="H33" s="54">
        <f>SUM(D33:G33)</f>
        <v>6298.2549236560244</v>
      </c>
    </row>
    <row r="34" spans="2:8" x14ac:dyDescent="0.3">
      <c r="B34" s="71"/>
      <c r="C34" s="44" t="s">
        <v>20</v>
      </c>
      <c r="D34" s="57">
        <f>SUM(D33:D33)</f>
        <v>1515.5758488254996</v>
      </c>
      <c r="E34" s="57">
        <f>SUM(E33:E33)</f>
        <v>1554.1243512277649</v>
      </c>
      <c r="F34" s="57">
        <f>SUM(F33:F33)</f>
        <v>1593.8293087020982</v>
      </c>
      <c r="G34" s="57">
        <f>SUM(G33:G33)</f>
        <v>1634.7254149006617</v>
      </c>
      <c r="H34" s="57">
        <f>SUM(D34:G34)</f>
        <v>6298.2549236560244</v>
      </c>
    </row>
    <row r="35" spans="2:8" ht="15" thickBot="1" x14ac:dyDescent="0.35">
      <c r="B35" s="79"/>
      <c r="C35" s="40"/>
      <c r="D35" s="40"/>
      <c r="E35" s="40"/>
      <c r="F35" s="40"/>
      <c r="G35" s="40"/>
      <c r="H35" s="40" t="s">
        <v>19</v>
      </c>
    </row>
    <row r="36" spans="2:8" s="1" customFormat="1" ht="29.4" thickBot="1" x14ac:dyDescent="0.35">
      <c r="B36" s="59" t="s">
        <v>21</v>
      </c>
      <c r="C36" s="59"/>
      <c r="D36" s="60">
        <f>SUM(D34,D30)</f>
        <v>66816.965585825485</v>
      </c>
      <c r="E36" s="60">
        <f>SUM(E34,E30)</f>
        <v>415482.31900533778</v>
      </c>
      <c r="F36" s="60">
        <f>SUM(F34,F30)</f>
        <v>379917.6330274354</v>
      </c>
      <c r="G36" s="60">
        <f>SUM(G34,G30)</f>
        <v>380623.50647019595</v>
      </c>
      <c r="H36" s="60">
        <f>SUM(H34,H30)</f>
        <v>1242840.4240887947</v>
      </c>
    </row>
    <row r="37" spans="2:8" x14ac:dyDescent="0.3">
      <c r="B37" s="6"/>
    </row>
    <row r="38" spans="2:8" x14ac:dyDescent="0.3">
      <c r="B38" s="6"/>
    </row>
    <row r="39" spans="2:8" x14ac:dyDescent="0.3">
      <c r="B39" s="6"/>
    </row>
    <row r="40" spans="2:8" x14ac:dyDescent="0.3">
      <c r="B40" s="6"/>
    </row>
    <row r="41" spans="2:8" x14ac:dyDescent="0.3">
      <c r="B41" s="6"/>
    </row>
    <row r="42" spans="2:8" x14ac:dyDescent="0.3">
      <c r="B42" s="6"/>
    </row>
    <row r="43" spans="2:8" x14ac:dyDescent="0.3">
      <c r="B43" s="6"/>
    </row>
    <row r="44" spans="2:8" x14ac:dyDescent="0.3">
      <c r="B44" s="6"/>
    </row>
    <row r="45" spans="2:8" x14ac:dyDescent="0.3">
      <c r="B45" s="6"/>
    </row>
    <row r="46" spans="2:8" x14ac:dyDescent="0.3">
      <c r="B46" s="6"/>
    </row>
    <row r="47" spans="2:8" x14ac:dyDescent="0.3">
      <c r="B47" s="6"/>
    </row>
    <row r="48" spans="2:8" x14ac:dyDescent="0.3">
      <c r="B48" s="6"/>
    </row>
    <row r="49" spans="2:2" x14ac:dyDescent="0.3">
      <c r="B49" s="6"/>
    </row>
    <row r="50" spans="2:2" x14ac:dyDescent="0.3">
      <c r="B50" s="6"/>
    </row>
    <row r="51" spans="2:2" x14ac:dyDescent="0.3">
      <c r="B51" s="6"/>
    </row>
  </sheetData>
  <pageMargins left="0.7" right="0.7" top="0.75" bottom="0.75" header="0.3" footer="0.3"/>
  <pageSetup scale="98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Overview</vt:lpstr>
      <vt:lpstr>LPB Borough Budget</vt:lpstr>
      <vt:lpstr>LPSD SubAward- Consolidated</vt:lpstr>
      <vt:lpstr>Measure 1- Community Facilities</vt:lpstr>
      <vt:lpstr>Measure 2- Residential EE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2024-04-01T06:33:43Z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