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lehighvalleypc.sharepoint.com/sites/581-SpecificGrantandContractWork/Shared Documents/581-12 US EPA CPRG Implementation Grant/submission documents/Project Narrative/"/>
    </mc:Choice>
  </mc:AlternateContent>
  <xr:revisionPtr revIDLastSave="132" documentId="8_{A5DEAC0B-D159-4974-B02A-6BD5583F274D}" xr6:coauthVersionLast="47" xr6:coauthVersionMax="47" xr10:uidLastSave="{75BDD444-B8F9-4BC7-BB34-33F1365A835A}"/>
  <workbookProtection lockStructure="1"/>
  <bookViews>
    <workbookView xWindow="-110" yWindow="-110" windowWidth="19420" windowHeight="10420" xr2:uid="{E150C7AB-2D99-490D-A6E7-01363182A7D4}"/>
  </bookViews>
  <sheets>
    <sheet name="Cover Page" sheetId="2" r:id="rId1"/>
    <sheet name="Total" sheetId="1" r:id="rId2"/>
    <sheet name="Conversion table &amp; sources (2)" sheetId="4" r:id="rId3"/>
    <sheet name="cumulative GHG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24" i="5" l="1"/>
  <c r="AC6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AC5" i="5"/>
  <c r="AB5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AB7" i="5"/>
  <c r="AB6" i="5"/>
  <c r="AC4" i="5"/>
  <c r="AB4" i="5"/>
  <c r="V4" i="1"/>
  <c r="T4" i="1"/>
  <c r="AZ26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T24" i="5"/>
  <c r="O24" i="5"/>
  <c r="G24" i="5"/>
  <c r="F24" i="5"/>
  <c r="T23" i="5"/>
  <c r="S23" i="5"/>
  <c r="S24" i="5" s="1"/>
  <c r="R23" i="5"/>
  <c r="R24" i="5" s="1"/>
  <c r="O23" i="5"/>
  <c r="K23" i="5"/>
  <c r="K24" i="5" s="1"/>
  <c r="J23" i="5"/>
  <c r="J24" i="5" s="1"/>
  <c r="I23" i="5"/>
  <c r="I24" i="5" s="1"/>
  <c r="G23" i="5"/>
  <c r="F23" i="5"/>
  <c r="W22" i="5"/>
  <c r="V22" i="5"/>
  <c r="U22" i="5"/>
  <c r="P22" i="5"/>
  <c r="N22" i="5"/>
  <c r="L22" i="5"/>
  <c r="E22" i="5"/>
  <c r="M22" i="5" s="1"/>
  <c r="X22" i="5" s="1"/>
  <c r="Y22" i="5" s="1"/>
  <c r="D22" i="5"/>
  <c r="W21" i="5"/>
  <c r="V21" i="5"/>
  <c r="U21" i="5"/>
  <c r="P21" i="5"/>
  <c r="P23" i="5" s="1"/>
  <c r="P24" i="5" s="1"/>
  <c r="N21" i="5"/>
  <c r="E21" i="5"/>
  <c r="M21" i="5" s="1"/>
  <c r="X21" i="5" s="1"/>
  <c r="Y21" i="5" s="1"/>
  <c r="D21" i="5"/>
  <c r="W20" i="5"/>
  <c r="V20" i="5"/>
  <c r="U20" i="5"/>
  <c r="N20" i="5"/>
  <c r="M20" i="5"/>
  <c r="X20" i="5" s="1"/>
  <c r="Y20" i="5" s="1"/>
  <c r="L20" i="5"/>
  <c r="D20" i="5"/>
  <c r="D13" i="5" s="1"/>
  <c r="D23" i="5" s="1"/>
  <c r="D24" i="5" s="1"/>
  <c r="W19" i="5"/>
  <c r="V19" i="5"/>
  <c r="U19" i="5"/>
  <c r="N19" i="5"/>
  <c r="M19" i="5"/>
  <c r="X19" i="5" s="1"/>
  <c r="Y19" i="5" s="1"/>
  <c r="L19" i="5"/>
  <c r="X18" i="5"/>
  <c r="Y18" i="5" s="1"/>
  <c r="W18" i="5"/>
  <c r="V18" i="5"/>
  <c r="U18" i="5"/>
  <c r="N18" i="5"/>
  <c r="M18" i="5"/>
  <c r="L18" i="5"/>
  <c r="W17" i="5"/>
  <c r="X17" i="5" s="1"/>
  <c r="Y17" i="5" s="1"/>
  <c r="V17" i="5"/>
  <c r="U17" i="5"/>
  <c r="N17" i="5"/>
  <c r="M17" i="5"/>
  <c r="W16" i="5"/>
  <c r="V16" i="5"/>
  <c r="U16" i="5"/>
  <c r="N16" i="5"/>
  <c r="M16" i="5"/>
  <c r="X16" i="5" s="1"/>
  <c r="Y16" i="5" s="1"/>
  <c r="L16" i="5"/>
  <c r="W15" i="5"/>
  <c r="V15" i="5"/>
  <c r="U15" i="5"/>
  <c r="N15" i="5"/>
  <c r="X15" i="5" s="1"/>
  <c r="Y15" i="5" s="1"/>
  <c r="M15" i="5"/>
  <c r="L15" i="5"/>
  <c r="W14" i="5"/>
  <c r="V14" i="5"/>
  <c r="U14" i="5"/>
  <c r="N14" i="5"/>
  <c r="M14" i="5"/>
  <c r="X14" i="5" s="1"/>
  <c r="Y14" i="5" s="1"/>
  <c r="L14" i="5"/>
  <c r="V13" i="5"/>
  <c r="R13" i="5"/>
  <c r="Q13" i="5"/>
  <c r="Q23" i="5" s="1"/>
  <c r="Q24" i="5" s="1"/>
  <c r="N13" i="5"/>
  <c r="H13" i="5"/>
  <c r="H23" i="5" s="1"/>
  <c r="H24" i="5" s="1"/>
  <c r="E13" i="5"/>
  <c r="L13" i="5" s="1"/>
  <c r="W12" i="5"/>
  <c r="V12" i="5"/>
  <c r="X12" i="5" s="1"/>
  <c r="Y12" i="5" s="1"/>
  <c r="U12" i="5"/>
  <c r="N12" i="5"/>
  <c r="M12" i="5"/>
  <c r="L12" i="5"/>
  <c r="W11" i="5"/>
  <c r="V11" i="5"/>
  <c r="U11" i="5"/>
  <c r="N11" i="5"/>
  <c r="M11" i="5"/>
  <c r="X11" i="5" s="1"/>
  <c r="Y11" i="5" s="1"/>
  <c r="L11" i="5"/>
  <c r="W10" i="5"/>
  <c r="V10" i="5"/>
  <c r="U10" i="5"/>
  <c r="N10" i="5"/>
  <c r="X10" i="5" s="1"/>
  <c r="Y10" i="5" s="1"/>
  <c r="M10" i="5"/>
  <c r="L10" i="5"/>
  <c r="W9" i="5"/>
  <c r="V9" i="5"/>
  <c r="U9" i="5"/>
  <c r="N9" i="5"/>
  <c r="M9" i="5"/>
  <c r="X9" i="5" s="1"/>
  <c r="Y9" i="5" s="1"/>
  <c r="L9" i="5"/>
  <c r="W8" i="5"/>
  <c r="V8" i="5"/>
  <c r="U8" i="5"/>
  <c r="N8" i="5"/>
  <c r="M8" i="5"/>
  <c r="X8" i="5" s="1"/>
  <c r="Y8" i="5" s="1"/>
  <c r="L8" i="5"/>
  <c r="W7" i="5"/>
  <c r="V7" i="5"/>
  <c r="U7" i="5"/>
  <c r="N7" i="5"/>
  <c r="M7" i="5"/>
  <c r="X7" i="5" s="1"/>
  <c r="Y7" i="5" s="1"/>
  <c r="L7" i="5"/>
  <c r="W6" i="5"/>
  <c r="V6" i="5"/>
  <c r="U6" i="5"/>
  <c r="N6" i="5"/>
  <c r="M6" i="5"/>
  <c r="X6" i="5" s="1"/>
  <c r="Y6" i="5" s="1"/>
  <c r="L6" i="5"/>
  <c r="B6" i="5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X5" i="5"/>
  <c r="Y5" i="5" s="1"/>
  <c r="W5" i="5"/>
  <c r="V5" i="5"/>
  <c r="U5" i="5"/>
  <c r="N5" i="5"/>
  <c r="M5" i="5"/>
  <c r="L5" i="5"/>
  <c r="B5" i="5"/>
  <c r="W4" i="5"/>
  <c r="X4" i="5" s="1"/>
  <c r="V4" i="5"/>
  <c r="V23" i="5" s="1"/>
  <c r="V24" i="5" s="1"/>
  <c r="U4" i="5"/>
  <c r="N4" i="5"/>
  <c r="N23" i="5" s="1"/>
  <c r="N24" i="5" s="1"/>
  <c r="M4" i="5"/>
  <c r="L4" i="5"/>
  <c r="AA3" i="5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AL3" i="5" s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C32" i="1"/>
  <c r="C33" i="1"/>
  <c r="C34" i="1"/>
  <c r="C35" i="1"/>
  <c r="C36" i="1"/>
  <c r="C37" i="1"/>
  <c r="C38" i="1"/>
  <c r="C39" i="1"/>
  <c r="C31" i="1"/>
  <c r="K4" i="1"/>
  <c r="S23" i="1"/>
  <c r="S24" i="1" s="1"/>
  <c r="R23" i="1"/>
  <c r="R24" i="1" s="1"/>
  <c r="N23" i="1"/>
  <c r="N24" i="1" s="1"/>
  <c r="J23" i="1"/>
  <c r="J24" i="1" s="1"/>
  <c r="I23" i="1"/>
  <c r="I24" i="1" s="1"/>
  <c r="H23" i="1"/>
  <c r="H24" i="1" s="1"/>
  <c r="F23" i="1"/>
  <c r="F24" i="1" s="1"/>
  <c r="E23" i="1"/>
  <c r="E24" i="1" s="1"/>
  <c r="U22" i="1"/>
  <c r="O22" i="1"/>
  <c r="T22" i="1" s="1"/>
  <c r="M22" i="1"/>
  <c r="D22" i="1"/>
  <c r="L22" i="1" s="1"/>
  <c r="C22" i="1"/>
  <c r="U21" i="1"/>
  <c r="O21" i="1"/>
  <c r="T21" i="1" s="1"/>
  <c r="M21" i="1"/>
  <c r="D21" i="1"/>
  <c r="K21" i="1" s="1"/>
  <c r="C21" i="1"/>
  <c r="V20" i="1"/>
  <c r="U20" i="1"/>
  <c r="T20" i="1"/>
  <c r="M20" i="1"/>
  <c r="L20" i="1"/>
  <c r="K20" i="1"/>
  <c r="C20" i="1"/>
  <c r="C13" i="1" s="1"/>
  <c r="V19" i="1"/>
  <c r="U19" i="1"/>
  <c r="T19" i="1"/>
  <c r="M19" i="1"/>
  <c r="L19" i="1"/>
  <c r="K19" i="1"/>
  <c r="V18" i="1"/>
  <c r="U18" i="1"/>
  <c r="T18" i="1"/>
  <c r="M18" i="1"/>
  <c r="L18" i="1"/>
  <c r="K18" i="1"/>
  <c r="V17" i="1"/>
  <c r="U17" i="1"/>
  <c r="T17" i="1"/>
  <c r="M17" i="1"/>
  <c r="L17" i="1"/>
  <c r="V16" i="1"/>
  <c r="U16" i="1"/>
  <c r="T16" i="1"/>
  <c r="M16" i="1"/>
  <c r="L16" i="1"/>
  <c r="K16" i="1"/>
  <c r="V15" i="1"/>
  <c r="U15" i="1"/>
  <c r="T15" i="1"/>
  <c r="M15" i="1"/>
  <c r="L15" i="1"/>
  <c r="K15" i="1"/>
  <c r="V14" i="1"/>
  <c r="U14" i="1"/>
  <c r="T14" i="1"/>
  <c r="M14" i="1"/>
  <c r="L14" i="1"/>
  <c r="K14" i="1"/>
  <c r="U13" i="1"/>
  <c r="Q13" i="1"/>
  <c r="P13" i="1"/>
  <c r="M13" i="1"/>
  <c r="G13" i="1"/>
  <c r="D13" i="1"/>
  <c r="V12" i="1"/>
  <c r="U12" i="1"/>
  <c r="T12" i="1"/>
  <c r="M12" i="1"/>
  <c r="L12" i="1"/>
  <c r="K12" i="1"/>
  <c r="V11" i="1"/>
  <c r="U11" i="1"/>
  <c r="T11" i="1"/>
  <c r="M11" i="1"/>
  <c r="L11" i="1"/>
  <c r="K11" i="1"/>
  <c r="V10" i="1"/>
  <c r="U10" i="1"/>
  <c r="T10" i="1"/>
  <c r="M10" i="1"/>
  <c r="L10" i="1"/>
  <c r="K10" i="1"/>
  <c r="V9" i="1"/>
  <c r="U9" i="1"/>
  <c r="T9" i="1"/>
  <c r="M9" i="1"/>
  <c r="L9" i="1"/>
  <c r="K9" i="1"/>
  <c r="V8" i="1"/>
  <c r="U8" i="1"/>
  <c r="T8" i="1"/>
  <c r="M8" i="1"/>
  <c r="L8" i="1"/>
  <c r="K8" i="1"/>
  <c r="V7" i="1"/>
  <c r="U7" i="1"/>
  <c r="T7" i="1"/>
  <c r="M7" i="1"/>
  <c r="L7" i="1"/>
  <c r="K7" i="1"/>
  <c r="V6" i="1"/>
  <c r="U6" i="1"/>
  <c r="T6" i="1"/>
  <c r="M6" i="1"/>
  <c r="L6" i="1"/>
  <c r="K6" i="1"/>
  <c r="V5" i="1"/>
  <c r="U5" i="1"/>
  <c r="T5" i="1"/>
  <c r="M5" i="1"/>
  <c r="L5" i="1"/>
  <c r="K5" i="1"/>
  <c r="U4" i="1"/>
  <c r="M4" i="1"/>
  <c r="L4" i="1"/>
  <c r="AD9" i="5" l="1"/>
  <c r="AD22" i="5"/>
  <c r="AD21" i="5"/>
  <c r="AD8" i="5"/>
  <c r="AE8" i="5" s="1"/>
  <c r="AE24" i="5" s="1"/>
  <c r="AD16" i="5"/>
  <c r="AZ16" i="5"/>
  <c r="AD18" i="5"/>
  <c r="AD5" i="5"/>
  <c r="AD19" i="5"/>
  <c r="Y4" i="5"/>
  <c r="AD7" i="5"/>
  <c r="AD11" i="5"/>
  <c r="AZ11" i="5"/>
  <c r="AD12" i="5"/>
  <c r="AD15" i="5"/>
  <c r="AZ15" i="5"/>
  <c r="AD17" i="5"/>
  <c r="AD20" i="5"/>
  <c r="L23" i="5"/>
  <c r="L24" i="5" s="1"/>
  <c r="AD6" i="5"/>
  <c r="AD14" i="5"/>
  <c r="AD10" i="5"/>
  <c r="AZ10" i="5"/>
  <c r="L21" i="5"/>
  <c r="U13" i="5"/>
  <c r="U23" i="5" s="1"/>
  <c r="U24" i="5" s="1"/>
  <c r="E23" i="5"/>
  <c r="E24" i="5" s="1"/>
  <c r="W13" i="5"/>
  <c r="W23" i="5" s="1"/>
  <c r="W24" i="5" s="1"/>
  <c r="M13" i="5"/>
  <c r="W19" i="1"/>
  <c r="W4" i="1"/>
  <c r="W15" i="1"/>
  <c r="C23" i="1"/>
  <c r="C24" i="1" s="1"/>
  <c r="W8" i="1"/>
  <c r="W12" i="1"/>
  <c r="V13" i="1"/>
  <c r="W18" i="1"/>
  <c r="D23" i="1"/>
  <c r="D24" i="1" s="1"/>
  <c r="V21" i="1"/>
  <c r="W16" i="1"/>
  <c r="U23" i="1"/>
  <c r="U24" i="1" s="1"/>
  <c r="W6" i="1"/>
  <c r="L13" i="1"/>
  <c r="W14" i="1"/>
  <c r="W17" i="1"/>
  <c r="O23" i="1"/>
  <c r="O24" i="1" s="1"/>
  <c r="T13" i="1"/>
  <c r="T23" i="1" s="1"/>
  <c r="T24" i="1" s="1"/>
  <c r="W20" i="1"/>
  <c r="L21" i="1"/>
  <c r="G23" i="1"/>
  <c r="G24" i="1" s="1"/>
  <c r="W10" i="1"/>
  <c r="M23" i="1"/>
  <c r="M24" i="1" s="1"/>
  <c r="W5" i="1"/>
  <c r="W7" i="1"/>
  <c r="W9" i="1"/>
  <c r="W11" i="1"/>
  <c r="K13" i="1"/>
  <c r="K22" i="1"/>
  <c r="Q23" i="1"/>
  <c r="Q24" i="1" s="1"/>
  <c r="V22" i="1"/>
  <c r="W22" i="1" s="1"/>
  <c r="P23" i="1"/>
  <c r="P24" i="1" s="1"/>
  <c r="AZ6" i="5" l="1"/>
  <c r="AZ9" i="5"/>
  <c r="AZ19" i="5"/>
  <c r="AZ20" i="5"/>
  <c r="AZ5" i="5"/>
  <c r="X13" i="5"/>
  <c r="M23" i="5"/>
  <c r="M24" i="5" s="1"/>
  <c r="AZ12" i="5"/>
  <c r="AZ8" i="5"/>
  <c r="AZ21" i="5"/>
  <c r="AZ14" i="5"/>
  <c r="AZ17" i="5"/>
  <c r="AZ7" i="5"/>
  <c r="AZ18" i="5"/>
  <c r="AZ22" i="5"/>
  <c r="V23" i="1"/>
  <c r="V24" i="1" s="1"/>
  <c r="L23" i="1"/>
  <c r="L24" i="1" s="1"/>
  <c r="W21" i="1"/>
  <c r="K23" i="1"/>
  <c r="K24" i="1" s="1"/>
  <c r="W13" i="1"/>
  <c r="W23" i="1" s="1"/>
  <c r="W24" i="1" s="1"/>
  <c r="Y13" i="5" l="1"/>
  <c r="X23" i="5"/>
  <c r="X24" i="5" s="1"/>
  <c r="Y24" i="5" l="1"/>
  <c r="Z24" i="5" l="1"/>
  <c r="AA24" i="5" l="1"/>
  <c r="AD4" i="5"/>
  <c r="AZ4" i="5" l="1"/>
  <c r="AB24" i="5"/>
  <c r="AD13" i="5" l="1"/>
  <c r="AD24" i="5" s="1"/>
  <c r="AC24" i="5"/>
  <c r="AZ13" i="5" l="1"/>
  <c r="AZ28" i="5" s="1"/>
</calcChain>
</file>

<file path=xl/sharedStrings.xml><?xml version="1.0" encoding="utf-8"?>
<sst xmlns="http://schemas.openxmlformats.org/spreadsheetml/2006/main" count="151" uniqueCount="84">
  <si>
    <t>Site No.</t>
  </si>
  <si>
    <t>Location</t>
  </si>
  <si>
    <t>Area(sq ft)  (Including Building and Roadway)</t>
  </si>
  <si>
    <t>Existing Conditions</t>
  </si>
  <si>
    <t>Proposed Landscaping Enhancements</t>
  </si>
  <si>
    <t>Lawn</t>
  </si>
  <si>
    <t>Naturalized Grassland+ Meadow</t>
  </si>
  <si>
    <t>Shrub</t>
  </si>
  <si>
    <t>Parking lot</t>
  </si>
  <si>
    <t>Tree Canopy</t>
  </si>
  <si>
    <t>Stormwater</t>
  </si>
  <si>
    <t>Area (Excluding Road and Building)</t>
  </si>
  <si>
    <t>CO2 emitted</t>
  </si>
  <si>
    <t>CO2 sequestered</t>
  </si>
  <si>
    <t>Proposed Low-mow  Lawn</t>
  </si>
  <si>
    <t>Meadow (Pollinator)</t>
  </si>
  <si>
    <t>Bioretention#</t>
  </si>
  <si>
    <t>Bioswale#</t>
  </si>
  <si>
    <t>Parking Lot(Improved)#</t>
  </si>
  <si>
    <t>Conversion Area</t>
  </si>
  <si>
    <t>CO2 emitted (lbCO2e/year)</t>
  </si>
  <si>
    <t>CO2 sequestered (lbCO2e/year)</t>
  </si>
  <si>
    <t>CO2 Improvement (lbCO2e/Year)</t>
  </si>
  <si>
    <t>SR22-SR309</t>
  </si>
  <si>
    <t>SR22-CEDAR CREST</t>
  </si>
  <si>
    <t>SR22-15TH ST</t>
  </si>
  <si>
    <t>SR22WB-GOLDEN CORRAL</t>
  </si>
  <si>
    <t>SR22-SR987&amp;SR378</t>
  </si>
  <si>
    <t>SR22-SR512</t>
  </si>
  <si>
    <t>SR22-SR191</t>
  </si>
  <si>
    <t>SR22-SR33</t>
  </si>
  <si>
    <t>SR22-WOOD AVE</t>
  </si>
  <si>
    <t>SR33-WILLIAM PENN HWY</t>
  </si>
  <si>
    <t>SR378-8TH AVE</t>
  </si>
  <si>
    <t>SR33-HECKTOWN RD</t>
  </si>
  <si>
    <t>SR33-SR248</t>
  </si>
  <si>
    <t>SR33-SR191</t>
  </si>
  <si>
    <t>SR33-HENRY RD</t>
  </si>
  <si>
    <t>SR33-SR512</t>
  </si>
  <si>
    <t>William Penn Park and Ride Lot</t>
  </si>
  <si>
    <t xml:space="preserve">SR33 Pollinator Corridor </t>
  </si>
  <si>
    <t>SR378 Pollinator Corridor</t>
  </si>
  <si>
    <t>Total(sqft) (lbs)</t>
  </si>
  <si>
    <t>Total(acre)(m t/year)</t>
  </si>
  <si>
    <t>Type</t>
  </si>
  <si>
    <t>Net lbs CO2 Sequestered /acre/year</t>
  </si>
  <si>
    <t>Deciduous Broadleaf Woodland</t>
  </si>
  <si>
    <t>Meadow</t>
  </si>
  <si>
    <t>No-mow lawn</t>
  </si>
  <si>
    <t>Roadside Dry Meadow</t>
  </si>
  <si>
    <t>Low-mow Lawn</t>
  </si>
  <si>
    <t>Bioretention</t>
  </si>
  <si>
    <t>Rain Garden</t>
  </si>
  <si>
    <t>Bio-swale</t>
  </si>
  <si>
    <t>Stormwater Pond</t>
  </si>
  <si>
    <t>Net lbs CO2 Emitted/acre/year</t>
  </si>
  <si>
    <t>Vacant lot</t>
  </si>
  <si>
    <t>Net lbs CO2 Sequestered /square foot/year</t>
  </si>
  <si>
    <t>Land Cover Conversion Factors and Sources</t>
  </si>
  <si>
    <t>Land Cover Type</t>
  </si>
  <si>
    <t>Net lbs. CO2 Sequestered /acre/year</t>
  </si>
  <si>
    <t>Source</t>
  </si>
  <si>
    <t>Deciduous Broadleaf Woodland (Temperate Continental Forest)</t>
  </si>
  <si>
    <t>Carbon Conscience Resource:</t>
  </si>
  <si>
    <t>Plug Planting+50mm Mulch+1 cm Whip/Bareroot Tree Planting (1 Tree/5 SM) + Restored Temperate Mixed Tree, Shrub and Forb Landscape ("Garden")</t>
  </si>
  <si>
    <t>UN FAO. (2001). STATE OF THE WORLD’S FORESTS 2001. https://www.fao.org/3/Y0900E/y0900e04.htm</t>
  </si>
  <si>
    <t>Hydroseed Planting (Wild Collected Seed Mix) + Plug planting (24/SM) + 150mm Compost Restored Prairie Grassland</t>
  </si>
  <si>
    <t>Kumar, B. M., &amp; Nair, P. K. R. (Eds.). (2011). Carbon Sequestration Potential of Agroforestry Systems: Opportunities and Challenges (Vol. 8). Springer Netherlands. https://doi.org/10.1007/978-94-007-1630-8</t>
  </si>
  <si>
    <t>Hydroseed Planting (turf)+ 150mm Compost+ 100mm Sand Amendment+ Restored Turf Lawn</t>
  </si>
  <si>
    <t>Selhorst, A., &amp; Lal, R. (2013). Net carbon sequestration potential and emissions in home lawn turfgrasses of the United States. Environmental Management, 51(1), 198–208. https://doi.org/10.1007/s00267-012-9967-6</t>
  </si>
  <si>
    <t>-1543 (emitted, not sequestered)</t>
  </si>
  <si>
    <t>Sod Planting+ 150mm Compost+ 100mm Sand Amendment+ 100mm deep drain rock + Restored Turf Lawn</t>
  </si>
  <si>
    <t>Kavehei, E., Jenkins, G.A., Adame, M.F., &amp; Lemckert, C.J. (2018). Carbon sequestration potential for mitigating the carbon footprint of green stormwater infrastructure. Renewable and Sustainable Energy Reviews.
https://doi.org/10.1016/j.rser.2018.07.002
Kavehei, E., Jenkins, G.A., Lemckert, C.J., &amp; Adame, M.F. (2019). Carbon stocks and sequestration of stormwater bioretention/biofiltration basins. Ecological Engineering.
https://doi.org/10.1016/j.ecoleng.2019.07.006</t>
  </si>
  <si>
    <t>ALL SITES</t>
  </si>
  <si>
    <t>Site Number</t>
  </si>
  <si>
    <t>CO2 emitted (lbCO2e/year) (mt/yr)</t>
  </si>
  <si>
    <t>CO2 sequestered (lbCO2e/year) (mt/yr)</t>
  </si>
  <si>
    <t>CO2 Improvement (lbCO2e/Year) (mt/yr)</t>
  </si>
  <si>
    <t>CO2 Improvement (mtCO2e/Year)</t>
  </si>
  <si>
    <t>Sum 2025-2050</t>
  </si>
  <si>
    <t>Total(m t/year)</t>
  </si>
  <si>
    <t>Lighting Upgrades</t>
  </si>
  <si>
    <t>All Sites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</si>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</sst>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_);_(* \(#,##0\);_(* &quot;-&quot;??????_);_(@_)"/>
    <numFmt numFmtId="166" formatCode="_(* #,##0.000000_);_(* \(#,##0.000000\);_(* &quot;-&quot;????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top"/>
    </xf>
    <xf numFmtId="164" fontId="0" fillId="4" borderId="0" xfId="1" applyNumberFormat="1" applyFont="1" applyFill="1" applyBorder="1"/>
    <xf numFmtId="164" fontId="0" fillId="5" borderId="0" xfId="1" applyNumberFormat="1" applyFont="1" applyFill="1" applyBorder="1"/>
    <xf numFmtId="43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wrapText="1"/>
    </xf>
    <xf numFmtId="0" fontId="0" fillId="4" borderId="6" xfId="0" applyFill="1" applyBorder="1"/>
    <xf numFmtId="0" fontId="0" fillId="5" borderId="6" xfId="0" applyFill="1" applyBorder="1"/>
    <xf numFmtId="0" fontId="0" fillId="4" borderId="5" xfId="0" applyFill="1" applyBorder="1"/>
    <xf numFmtId="164" fontId="0" fillId="4" borderId="8" xfId="1" applyNumberFormat="1" applyFont="1" applyFill="1" applyBorder="1"/>
    <xf numFmtId="165" fontId="0" fillId="4" borderId="0" xfId="0" applyNumberFormat="1" applyFill="1"/>
    <xf numFmtId="164" fontId="0" fillId="4" borderId="0" xfId="0" applyNumberFormat="1" applyFill="1"/>
    <xf numFmtId="0" fontId="0" fillId="4" borderId="0" xfId="0" applyFill="1"/>
    <xf numFmtId="164" fontId="0" fillId="4" borderId="8" xfId="0" applyNumberFormat="1" applyFill="1" applyBorder="1"/>
    <xf numFmtId="0" fontId="0" fillId="5" borderId="6" xfId="0" applyFill="1" applyBorder="1" applyAlignment="1">
      <alignment wrapText="1"/>
    </xf>
    <xf numFmtId="164" fontId="0" fillId="0" borderId="11" xfId="1" applyNumberFormat="1" applyFont="1" applyBorder="1"/>
    <xf numFmtId="165" fontId="0" fillId="5" borderId="8" xfId="0" applyNumberFormat="1" applyFill="1" applyBorder="1"/>
    <xf numFmtId="0" fontId="0" fillId="4" borderId="6" xfId="0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5" borderId="5" xfId="0" applyFill="1" applyBorder="1" applyAlignment="1">
      <alignment wrapText="1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8" xfId="0" applyBorder="1"/>
    <xf numFmtId="0" fontId="0" fillId="0" borderId="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4" xfId="0" applyBorder="1"/>
    <xf numFmtId="0" fontId="0" fillId="0" borderId="9" xfId="0" applyBorder="1"/>
    <xf numFmtId="0" fontId="0" fillId="0" borderId="10" xfId="0" applyBorder="1"/>
    <xf numFmtId="0" fontId="0" fillId="4" borderId="14" xfId="0" applyFill="1" applyBorder="1" applyAlignment="1">
      <alignment wrapText="1"/>
    </xf>
    <xf numFmtId="164" fontId="0" fillId="4" borderId="19" xfId="0" applyNumberFormat="1" applyFill="1" applyBorder="1"/>
    <xf numFmtId="0" fontId="0" fillId="6" borderId="20" xfId="0" applyFill="1" applyBorder="1" applyAlignment="1">
      <alignment wrapText="1"/>
    </xf>
    <xf numFmtId="165" fontId="0" fillId="5" borderId="0" xfId="0" applyNumberFormat="1" applyFill="1"/>
    <xf numFmtId="164" fontId="0" fillId="5" borderId="0" xfId="0" applyNumberFormat="1" applyFill="1"/>
    <xf numFmtId="164" fontId="0" fillId="6" borderId="11" xfId="0" applyNumberFormat="1" applyFill="1" applyBorder="1"/>
    <xf numFmtId="0" fontId="0" fillId="0" borderId="4" xfId="0" applyBorder="1"/>
    <xf numFmtId="0" fontId="0" fillId="0" borderId="21" xfId="0" applyBorder="1"/>
    <xf numFmtId="164" fontId="0" fillId="0" borderId="21" xfId="0" applyNumberFormat="1" applyBorder="1"/>
    <xf numFmtId="164" fontId="0" fillId="4" borderId="21" xfId="0" applyNumberFormat="1" applyFill="1" applyBorder="1"/>
    <xf numFmtId="164" fontId="0" fillId="5" borderId="21" xfId="0" applyNumberFormat="1" applyFill="1" applyBorder="1"/>
    <xf numFmtId="164" fontId="0" fillId="6" borderId="22" xfId="0" applyNumberFormat="1" applyFill="1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164" fontId="0" fillId="4" borderId="6" xfId="0" applyNumberFormat="1" applyFill="1" applyBorder="1"/>
    <xf numFmtId="164" fontId="0" fillId="5" borderId="6" xfId="0" applyNumberFormat="1" applyFill="1" applyBorder="1"/>
    <xf numFmtId="164" fontId="0" fillId="6" borderId="7" xfId="0" applyNumberFormat="1" applyFill="1" applyBorder="1"/>
    <xf numFmtId="0" fontId="5" fillId="0" borderId="0" xfId="2" applyFont="1" applyAlignment="1"/>
    <xf numFmtId="0" fontId="6" fillId="7" borderId="20" xfId="0" applyFont="1" applyFill="1" applyBorder="1" applyAlignment="1">
      <alignment vertical="center"/>
    </xf>
    <xf numFmtId="0" fontId="6" fillId="7" borderId="20" xfId="0" applyFont="1" applyFill="1" applyBorder="1" applyAlignment="1">
      <alignment vertical="center" wrapText="1"/>
    </xf>
    <xf numFmtId="0" fontId="6" fillId="7" borderId="20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3" fillId="0" borderId="10" xfId="2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20" xfId="0" applyBorder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 wrapText="1"/>
    </xf>
    <xf numFmtId="0" fontId="2" fillId="0" borderId="20" xfId="0" applyFont="1" applyBorder="1" applyAlignment="1">
      <alignment wrapText="1"/>
    </xf>
    <xf numFmtId="0" fontId="2" fillId="0" borderId="20" xfId="0" applyFont="1" applyBorder="1"/>
    <xf numFmtId="0" fontId="2" fillId="0" borderId="20" xfId="0" applyFont="1" applyBorder="1" applyAlignment="1">
      <alignment horizontal="center" wrapText="1"/>
    </xf>
    <xf numFmtId="0" fontId="0" fillId="0" borderId="8" xfId="0" applyBorder="1" applyAlignment="1">
      <alignment horizontal="center" vertical="top"/>
    </xf>
    <xf numFmtId="0" fontId="0" fillId="0" borderId="0" xfId="0" applyAlignment="1">
      <alignment horizontal="center" vertical="top"/>
    </xf>
    <xf numFmtId="164" fontId="0" fillId="0" borderId="8" xfId="1" applyNumberFormat="1" applyFont="1" applyBorder="1"/>
    <xf numFmtId="2" fontId="0" fillId="0" borderId="20" xfId="0" applyNumberFormat="1" applyBorder="1"/>
    <xf numFmtId="2" fontId="2" fillId="0" borderId="20" xfId="0" applyNumberFormat="1" applyFont="1" applyBorder="1"/>
    <xf numFmtId="164" fontId="0" fillId="0" borderId="12" xfId="0" applyNumberFormat="1" applyBorder="1"/>
    <xf numFmtId="164" fontId="0" fillId="4" borderId="12" xfId="0" applyNumberFormat="1" applyFill="1" applyBorder="1"/>
    <xf numFmtId="164" fontId="0" fillId="4" borderId="13" xfId="0" applyNumberFormat="1" applyFill="1" applyBorder="1"/>
    <xf numFmtId="164" fontId="9" fillId="5" borderId="12" xfId="0" applyNumberFormat="1" applyFont="1" applyFill="1" applyBorder="1"/>
    <xf numFmtId="164" fontId="9" fillId="5" borderId="13" xfId="0" applyNumberFormat="1" applyFont="1" applyFill="1" applyBorder="1"/>
    <xf numFmtId="164" fontId="9" fillId="6" borderId="20" xfId="0" applyNumberFormat="1" applyFont="1" applyFill="1" applyBorder="1"/>
    <xf numFmtId="164" fontId="0" fillId="0" borderId="5" xfId="0" applyNumberFormat="1" applyBorder="1"/>
    <xf numFmtId="164" fontId="0" fillId="4" borderId="5" xfId="0" applyNumberFormat="1" applyFill="1" applyBorder="1"/>
    <xf numFmtId="164" fontId="9" fillId="5" borderId="5" xfId="0" applyNumberFormat="1" applyFont="1" applyFill="1" applyBorder="1"/>
    <xf numFmtId="164" fontId="9" fillId="5" borderId="6" xfId="0" applyNumberFormat="1" applyFont="1" applyFill="1" applyBorder="1"/>
    <xf numFmtId="164" fontId="7" fillId="6" borderId="10" xfId="0" applyNumberFormat="1" applyFont="1" applyFill="1" applyBorder="1"/>
    <xf numFmtId="1" fontId="0" fillId="0" borderId="20" xfId="0" applyNumberFormat="1" applyBorder="1"/>
    <xf numFmtId="1" fontId="2" fillId="0" borderId="20" xfId="0" applyNumberFormat="1" applyFont="1" applyBorder="1"/>
    <xf numFmtId="164" fontId="0" fillId="0" borderId="20" xfId="0" applyNumberFormat="1" applyBorder="1"/>
    <xf numFmtId="165" fontId="0" fillId="0" borderId="20" xfId="0" applyNumberFormat="1" applyBorder="1"/>
    <xf numFmtId="43" fontId="0" fillId="0" borderId="20" xfId="0" applyNumberFormat="1" applyBorder="1"/>
    <xf numFmtId="0" fontId="2" fillId="6" borderId="20" xfId="0" applyFont="1" applyFill="1" applyBorder="1"/>
    <xf numFmtId="2" fontId="2" fillId="0" borderId="0" xfId="0" applyNumberFormat="1" applyFont="1"/>
    <xf numFmtId="0" fontId="0" fillId="0" borderId="0" xfId="0" applyAlignment="1">
      <alignment vertical="center"/>
    </xf>
    <xf numFmtId="0" fontId="6" fillId="7" borderId="0" xfId="0" applyFont="1" applyFill="1" applyAlignment="1">
      <alignment horizontal="center" vertical="center"/>
    </xf>
    <xf numFmtId="0" fontId="3" fillId="0" borderId="0" xfId="2" applyBorder="1"/>
    <xf numFmtId="0" fontId="6" fillId="7" borderId="0" xfId="0" applyFont="1" applyFill="1" applyAlignment="1">
      <alignment vertical="center"/>
    </xf>
    <xf numFmtId="0" fontId="6" fillId="7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2" applyBorder="1" applyAlignment="1">
      <alignment vertical="center" wrapText="1"/>
    </xf>
    <xf numFmtId="0" fontId="3" fillId="0" borderId="0" xfId="2" applyBorder="1" applyAlignment="1">
      <alignment vertical="center"/>
    </xf>
    <xf numFmtId="0" fontId="8" fillId="0" borderId="0" xfId="0" applyFont="1" applyAlignment="1">
      <alignment vertical="center" wrapText="1"/>
    </xf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457200</xdr:colOff>
      <xdr:row>54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8873BE-C6B7-9F5F-DED0-4A52A44F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ao.org/3/Y0900E/y0900e04.ht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ECF57-4B6A-47DC-8699-5EDAF625C4C8}">
  <dimension ref="A1"/>
  <sheetViews>
    <sheetView tabSelected="1" workbookViewId="0"/>
  </sheetViews>
  <sheetFormatPr defaultRowHeight="14.5" x14ac:dyDescent="0.35"/>
  <sheetData/>
  <sheetProtection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91823-643F-4BAA-8CE4-FA0906D148FE}">
  <dimension ref="A1:AA46"/>
  <sheetViews>
    <sheetView zoomScale="80" zoomScaleNormal="80" workbookViewId="0">
      <selection activeCell="I16" sqref="I16"/>
    </sheetView>
  </sheetViews>
  <sheetFormatPr defaultRowHeight="14.5" x14ac:dyDescent="0.35"/>
  <cols>
    <col min="1" max="1" width="15.1796875" customWidth="1"/>
    <col min="2" max="2" width="34.7265625" customWidth="1"/>
    <col min="3" max="3" width="16.81640625" customWidth="1"/>
    <col min="4" max="4" width="13.453125" customWidth="1"/>
    <col min="5" max="5" width="13.1796875" customWidth="1"/>
    <col min="6" max="6" width="11.1796875" customWidth="1"/>
    <col min="7" max="7" width="10.26953125" customWidth="1"/>
    <col min="8" max="8" width="14.81640625" customWidth="1"/>
    <col min="9" max="9" width="11.453125" customWidth="1"/>
    <col min="10" max="11" width="13.81640625" customWidth="1"/>
    <col min="12" max="12" width="17" customWidth="1"/>
    <col min="13" max="13" width="19.54296875" customWidth="1"/>
    <col min="14" max="14" width="15.26953125" customWidth="1"/>
    <col min="15" max="15" width="16.81640625" customWidth="1"/>
    <col min="16" max="18" width="14" customWidth="1"/>
    <col min="19" max="19" width="17.7265625" customWidth="1"/>
    <col min="20" max="20" width="18.453125" customWidth="1"/>
    <col min="21" max="21" width="14.453125" customWidth="1"/>
    <col min="22" max="22" width="21.7265625" customWidth="1"/>
    <col min="23" max="23" width="20" customWidth="1"/>
    <col min="27" max="27" width="15.81640625" customWidth="1"/>
  </cols>
  <sheetData>
    <row r="1" spans="1:27" x14ac:dyDescent="0.35">
      <c r="N1" s="1"/>
      <c r="O1" s="1"/>
      <c r="P1" s="1"/>
      <c r="Q1" s="1"/>
      <c r="R1" s="1"/>
      <c r="S1" s="1"/>
      <c r="T1" s="1"/>
      <c r="U1" s="1"/>
      <c r="V1" s="1"/>
    </row>
    <row r="2" spans="1:27" ht="21.65" customHeight="1" x14ac:dyDescent="0.35">
      <c r="A2" s="120" t="s">
        <v>0</v>
      </c>
      <c r="B2" s="122" t="s">
        <v>1</v>
      </c>
      <c r="C2" s="124" t="s">
        <v>2</v>
      </c>
      <c r="D2" s="126" t="s">
        <v>3</v>
      </c>
      <c r="E2" s="127"/>
      <c r="F2" s="127"/>
      <c r="G2" s="127"/>
      <c r="H2" s="127"/>
      <c r="I2" s="127"/>
      <c r="J2" s="127"/>
      <c r="K2" s="127"/>
      <c r="L2" s="127"/>
      <c r="M2" s="128"/>
      <c r="N2" s="129" t="s">
        <v>4</v>
      </c>
      <c r="O2" s="130"/>
      <c r="P2" s="130"/>
      <c r="Q2" s="130"/>
      <c r="R2" s="130"/>
      <c r="S2" s="130"/>
      <c r="T2" s="130"/>
      <c r="U2" s="130"/>
      <c r="V2" s="130"/>
      <c r="W2" s="131"/>
    </row>
    <row r="3" spans="1:27" ht="66.650000000000006" customHeight="1" x14ac:dyDescent="0.35">
      <c r="A3" s="121"/>
      <c r="B3" s="123"/>
      <c r="C3" s="125"/>
      <c r="D3" s="19" t="s">
        <v>5</v>
      </c>
      <c r="E3" s="28" t="s">
        <v>6</v>
      </c>
      <c r="F3" s="17" t="s">
        <v>7</v>
      </c>
      <c r="G3" s="28" t="s">
        <v>8</v>
      </c>
      <c r="H3" s="28" t="s">
        <v>9</v>
      </c>
      <c r="I3" s="17" t="s">
        <v>10</v>
      </c>
      <c r="J3" s="17" t="s">
        <v>56</v>
      </c>
      <c r="K3" s="28" t="s">
        <v>11</v>
      </c>
      <c r="L3" s="17" t="s">
        <v>12</v>
      </c>
      <c r="M3" s="40" t="s">
        <v>13</v>
      </c>
      <c r="N3" s="31" t="s">
        <v>14</v>
      </c>
      <c r="O3" s="25" t="s">
        <v>15</v>
      </c>
      <c r="P3" s="18" t="s">
        <v>9</v>
      </c>
      <c r="Q3" s="18" t="s">
        <v>16</v>
      </c>
      <c r="R3" s="18" t="s">
        <v>17</v>
      </c>
      <c r="S3" s="25" t="s">
        <v>18</v>
      </c>
      <c r="T3" s="25" t="s">
        <v>19</v>
      </c>
      <c r="U3" s="25" t="s">
        <v>20</v>
      </c>
      <c r="V3" s="25" t="s">
        <v>21</v>
      </c>
      <c r="W3" s="42" t="s">
        <v>22</v>
      </c>
    </row>
    <row r="4" spans="1:27" ht="25" customHeight="1" x14ac:dyDescent="0.35">
      <c r="A4" s="2">
        <v>1</v>
      </c>
      <c r="B4" t="s">
        <v>23</v>
      </c>
      <c r="C4" s="26">
        <v>2483770</v>
      </c>
      <c r="D4" s="20">
        <v>1098072</v>
      </c>
      <c r="E4" s="3">
        <v>65880</v>
      </c>
      <c r="F4" s="3">
        <v>43074</v>
      </c>
      <c r="G4" s="3">
        <v>0</v>
      </c>
      <c r="H4" s="3">
        <v>441218</v>
      </c>
      <c r="I4" s="3">
        <v>0</v>
      </c>
      <c r="J4" s="3">
        <v>0</v>
      </c>
      <c r="K4" s="3">
        <f>SUM(D4:J4)</f>
        <v>1648244</v>
      </c>
      <c r="L4" s="21">
        <f t="shared" ref="L4:L22" si="0">(G4*65463+J4*25463+D4*1543)*0.000023</f>
        <v>38969.477207999997</v>
      </c>
      <c r="M4" s="41">
        <f t="shared" ref="M4:M22" si="1">(E4*8222+F4*8399+H4*13227+I4*2611)*0.000023</f>
        <v>155006.990556</v>
      </c>
      <c r="N4" s="27">
        <v>785424</v>
      </c>
      <c r="O4" s="43">
        <v>81539</v>
      </c>
      <c r="P4" s="43">
        <v>781281</v>
      </c>
      <c r="Q4" s="43">
        <v>0</v>
      </c>
      <c r="R4" s="43">
        <v>0</v>
      </c>
      <c r="S4" s="43">
        <v>0</v>
      </c>
      <c r="T4" s="43">
        <f>(P4-H4)+(O4-E4)+N4+Q4+R4+S4</f>
        <v>1141146</v>
      </c>
      <c r="U4" s="44">
        <f t="shared" ref="U4:U22" si="2">(S4*65463)*0.000023</f>
        <v>0</v>
      </c>
      <c r="V4" s="44">
        <f>(N4*3108+O4*8222+P4*13227+R4*3174+Q4*10117)*0.000023</f>
        <v>309246.85045099998</v>
      </c>
      <c r="W4" s="45">
        <f t="shared" ref="W4:W22" si="3">L4-M4-U4+V4</f>
        <v>193209.33710299997</v>
      </c>
      <c r="AA4" s="119"/>
    </row>
    <row r="5" spans="1:27" ht="25" customHeight="1" x14ac:dyDescent="0.35">
      <c r="A5" s="2">
        <v>2</v>
      </c>
      <c r="B5" t="s">
        <v>24</v>
      </c>
      <c r="C5" s="26">
        <v>577788</v>
      </c>
      <c r="D5" s="20">
        <v>255248</v>
      </c>
      <c r="E5" s="3">
        <v>27629</v>
      </c>
      <c r="F5" s="22">
        <v>0</v>
      </c>
      <c r="G5" s="22">
        <v>0</v>
      </c>
      <c r="H5" s="3">
        <v>49078</v>
      </c>
      <c r="I5" s="3">
        <v>3001</v>
      </c>
      <c r="J5" s="3">
        <v>0</v>
      </c>
      <c r="K5" s="3">
        <f t="shared" ref="K5:K22" si="4">SUM(D5:J5)</f>
        <v>334956</v>
      </c>
      <c r="L5" s="21">
        <f t="shared" si="0"/>
        <v>9058.4962720000003</v>
      </c>
      <c r="M5" s="41">
        <f t="shared" si="1"/>
        <v>20335.586964999999</v>
      </c>
      <c r="N5" s="27">
        <v>152813</v>
      </c>
      <c r="O5" s="43">
        <v>5255</v>
      </c>
      <c r="P5" s="43">
        <v>140659</v>
      </c>
      <c r="Q5" s="43">
        <v>30552</v>
      </c>
      <c r="R5" s="43">
        <v>5677</v>
      </c>
      <c r="S5" s="43">
        <v>0</v>
      </c>
      <c r="T5" s="43">
        <f t="shared" ref="T5:T22" si="5">(P5-H5)+(O5-E5)+N5+Q5+R5+S5</f>
        <v>258249</v>
      </c>
      <c r="U5" s="44">
        <f t="shared" si="2"/>
        <v>0</v>
      </c>
      <c r="V5" s="44">
        <f t="shared" ref="V5:V20" si="6">(N5*3108+O5*8222+P5*13227+R5*3174+Q5*10117)*0.000023</f>
        <v>62232.465946999997</v>
      </c>
      <c r="W5" s="45">
        <f t="shared" si="3"/>
        <v>50955.375253999999</v>
      </c>
    </row>
    <row r="6" spans="1:27" ht="25" customHeight="1" x14ac:dyDescent="0.35">
      <c r="A6" s="2">
        <v>3</v>
      </c>
      <c r="B6" t="s">
        <v>25</v>
      </c>
      <c r="C6" s="26">
        <v>1321521</v>
      </c>
      <c r="D6" s="20">
        <v>314651</v>
      </c>
      <c r="E6" s="3">
        <v>271751</v>
      </c>
      <c r="F6" s="22">
        <v>9100</v>
      </c>
      <c r="G6" s="3">
        <v>0</v>
      </c>
      <c r="H6" s="3">
        <v>107953</v>
      </c>
      <c r="I6" s="3">
        <v>126483</v>
      </c>
      <c r="J6" s="3">
        <v>24037</v>
      </c>
      <c r="K6" s="3">
        <f t="shared" si="4"/>
        <v>853975</v>
      </c>
      <c r="L6" s="21">
        <f t="shared" si="0"/>
        <v>25243.894351999999</v>
      </c>
      <c r="M6" s="41">
        <f t="shared" si="1"/>
        <v>93584.908517999997</v>
      </c>
      <c r="N6" s="27">
        <v>368311</v>
      </c>
      <c r="O6" s="43">
        <v>1799</v>
      </c>
      <c r="P6" s="43">
        <v>339186</v>
      </c>
      <c r="Q6" s="43">
        <v>140580</v>
      </c>
      <c r="R6" s="43">
        <v>4099</v>
      </c>
      <c r="S6" s="43">
        <v>0</v>
      </c>
      <c r="T6" s="43">
        <f t="shared" si="5"/>
        <v>474271</v>
      </c>
      <c r="U6" s="44">
        <f t="shared" si="2"/>
        <v>0</v>
      </c>
      <c r="V6" s="44">
        <f t="shared" si="6"/>
        <v>162866.98530199999</v>
      </c>
      <c r="W6" s="45">
        <f t="shared" si="3"/>
        <v>94525.971135999993</v>
      </c>
    </row>
    <row r="7" spans="1:27" ht="25" customHeight="1" x14ac:dyDescent="0.35">
      <c r="A7" s="2">
        <v>4</v>
      </c>
      <c r="B7" t="s">
        <v>26</v>
      </c>
      <c r="C7" s="26">
        <v>1242078</v>
      </c>
      <c r="D7" s="20">
        <v>521835</v>
      </c>
      <c r="E7" s="3">
        <v>78189</v>
      </c>
      <c r="F7" s="22">
        <v>121581</v>
      </c>
      <c r="G7" s="3">
        <v>0</v>
      </c>
      <c r="H7" s="3">
        <v>31016</v>
      </c>
      <c r="I7" s="3">
        <v>41962</v>
      </c>
      <c r="J7" s="3">
        <v>13341</v>
      </c>
      <c r="K7" s="3">
        <f t="shared" si="4"/>
        <v>807924</v>
      </c>
      <c r="L7" s="21">
        <f t="shared" si="0"/>
        <v>26332.545623999998</v>
      </c>
      <c r="M7" s="41">
        <f t="shared" si="1"/>
        <v>50228.324393000003</v>
      </c>
      <c r="N7" s="27">
        <v>309934</v>
      </c>
      <c r="O7" s="43">
        <v>96853</v>
      </c>
      <c r="P7" s="43">
        <v>359655</v>
      </c>
      <c r="Q7" s="43">
        <v>13292</v>
      </c>
      <c r="R7" s="43">
        <v>28190</v>
      </c>
      <c r="S7" s="43">
        <v>0</v>
      </c>
      <c r="T7" s="43">
        <f t="shared" si="5"/>
        <v>698719</v>
      </c>
      <c r="U7" s="44">
        <f t="shared" si="2"/>
        <v>0</v>
      </c>
      <c r="V7" s="44">
        <f t="shared" si="6"/>
        <v>155036.26438099999</v>
      </c>
      <c r="W7" s="45">
        <f t="shared" si="3"/>
        <v>131140.48561199999</v>
      </c>
    </row>
    <row r="8" spans="1:27" ht="25" customHeight="1" x14ac:dyDescent="0.35">
      <c r="A8" s="2">
        <v>5</v>
      </c>
      <c r="B8" t="s">
        <v>27</v>
      </c>
      <c r="C8" s="26">
        <v>7310657</v>
      </c>
      <c r="D8" s="20">
        <v>3381488</v>
      </c>
      <c r="E8" s="3">
        <v>236279</v>
      </c>
      <c r="F8" s="22">
        <v>284342</v>
      </c>
      <c r="G8" s="3">
        <v>0</v>
      </c>
      <c r="H8" s="3">
        <v>634871</v>
      </c>
      <c r="I8" s="3">
        <v>0</v>
      </c>
      <c r="J8" s="3">
        <v>0</v>
      </c>
      <c r="K8" s="3">
        <f t="shared" si="4"/>
        <v>4536980</v>
      </c>
      <c r="L8" s="21">
        <f t="shared" si="0"/>
        <v>120005.627632</v>
      </c>
      <c r="M8" s="41">
        <f t="shared" si="1"/>
        <v>292751.20159900002</v>
      </c>
      <c r="N8" s="27">
        <v>2251327</v>
      </c>
      <c r="O8" s="43">
        <v>202306</v>
      </c>
      <c r="P8" s="43">
        <v>2012492</v>
      </c>
      <c r="Q8" s="43">
        <v>0</v>
      </c>
      <c r="R8" s="43">
        <v>70855</v>
      </c>
      <c r="S8" s="43">
        <v>0</v>
      </c>
      <c r="T8" s="43">
        <f t="shared" si="5"/>
        <v>3665830</v>
      </c>
      <c r="U8" s="44">
        <f t="shared" si="2"/>
        <v>0</v>
      </c>
      <c r="V8" s="44">
        <f t="shared" si="6"/>
        <v>816606.02314599999</v>
      </c>
      <c r="W8" s="45">
        <f t="shared" si="3"/>
        <v>643860.44917899999</v>
      </c>
    </row>
    <row r="9" spans="1:27" ht="25" customHeight="1" x14ac:dyDescent="0.35">
      <c r="A9" s="2">
        <v>6</v>
      </c>
      <c r="B9" t="s">
        <v>28</v>
      </c>
      <c r="C9" s="26">
        <v>831392</v>
      </c>
      <c r="D9" s="20">
        <v>209869</v>
      </c>
      <c r="E9" s="3">
        <v>90279</v>
      </c>
      <c r="F9" s="22">
        <v>30640</v>
      </c>
      <c r="G9" s="3">
        <v>0</v>
      </c>
      <c r="H9" s="3">
        <v>124010</v>
      </c>
      <c r="I9" s="3">
        <v>25305</v>
      </c>
      <c r="J9" s="3">
        <v>3671</v>
      </c>
      <c r="K9" s="3">
        <f t="shared" si="4"/>
        <v>483774</v>
      </c>
      <c r="L9" s="21">
        <f t="shared" si="0"/>
        <v>9597.9584200000008</v>
      </c>
      <c r="M9" s="41">
        <f t="shared" si="1"/>
        <v>62237.331229000003</v>
      </c>
      <c r="N9" s="27">
        <v>207891</v>
      </c>
      <c r="O9" s="43">
        <v>13340</v>
      </c>
      <c r="P9" s="43">
        <v>171843</v>
      </c>
      <c r="Q9" s="43">
        <v>90700</v>
      </c>
      <c r="R9" s="43">
        <v>0</v>
      </c>
      <c r="S9" s="43">
        <v>0</v>
      </c>
      <c r="T9" s="43">
        <f t="shared" si="5"/>
        <v>269485</v>
      </c>
      <c r="U9" s="44">
        <f t="shared" si="2"/>
        <v>0</v>
      </c>
      <c r="V9" s="44">
        <f t="shared" si="6"/>
        <v>90766.877286999996</v>
      </c>
      <c r="W9" s="45">
        <f t="shared" si="3"/>
        <v>38127.504477999995</v>
      </c>
    </row>
    <row r="10" spans="1:27" ht="25" customHeight="1" x14ac:dyDescent="0.35">
      <c r="A10" s="2">
        <v>7</v>
      </c>
      <c r="B10" t="s">
        <v>29</v>
      </c>
      <c r="C10" s="26">
        <v>889178</v>
      </c>
      <c r="D10" s="20">
        <v>164589</v>
      </c>
      <c r="E10" s="3">
        <v>0</v>
      </c>
      <c r="F10" s="22">
        <v>0</v>
      </c>
      <c r="G10" s="3">
        <v>0</v>
      </c>
      <c r="H10" s="3">
        <v>381254</v>
      </c>
      <c r="I10" s="3">
        <v>0</v>
      </c>
      <c r="J10" s="3">
        <v>22760</v>
      </c>
      <c r="K10" s="3">
        <f t="shared" si="4"/>
        <v>568603</v>
      </c>
      <c r="L10" s="21">
        <f t="shared" si="0"/>
        <v>19170.470260999999</v>
      </c>
      <c r="M10" s="41">
        <f t="shared" si="1"/>
        <v>115985.473134</v>
      </c>
      <c r="N10" s="27">
        <v>186351</v>
      </c>
      <c r="O10" s="43">
        <v>6357</v>
      </c>
      <c r="P10" s="43">
        <v>319769</v>
      </c>
      <c r="Q10" s="43">
        <v>56126</v>
      </c>
      <c r="R10" s="43">
        <v>0</v>
      </c>
      <c r="S10" s="43">
        <v>0</v>
      </c>
      <c r="T10" s="43">
        <f t="shared" si="5"/>
        <v>187349</v>
      </c>
      <c r="U10" s="44">
        <f t="shared" si="2"/>
        <v>0</v>
      </c>
      <c r="V10" s="44">
        <f t="shared" si="6"/>
        <v>124863.721741</v>
      </c>
      <c r="W10" s="45">
        <f t="shared" si="3"/>
        <v>28048.718867999996</v>
      </c>
    </row>
    <row r="11" spans="1:27" ht="25" customHeight="1" x14ac:dyDescent="0.35">
      <c r="A11" s="2">
        <v>8</v>
      </c>
      <c r="B11" t="s">
        <v>30</v>
      </c>
      <c r="C11" s="26">
        <v>6885089</v>
      </c>
      <c r="D11" s="20">
        <v>4108908</v>
      </c>
      <c r="E11" s="3">
        <v>75536</v>
      </c>
      <c r="F11" s="22">
        <v>42262</v>
      </c>
      <c r="G11" s="3">
        <v>0</v>
      </c>
      <c r="H11" s="3">
        <v>1187464</v>
      </c>
      <c r="I11" s="3">
        <v>0</v>
      </c>
      <c r="J11" s="3">
        <v>76966</v>
      </c>
      <c r="K11" s="3">
        <f t="shared" si="4"/>
        <v>5491136</v>
      </c>
      <c r="L11" s="21">
        <f t="shared" si="0"/>
        <v>190896.09694600001</v>
      </c>
      <c r="M11" s="41">
        <f t="shared" si="1"/>
        <v>383699.84273400001</v>
      </c>
      <c r="N11" s="27">
        <v>1684207</v>
      </c>
      <c r="O11" s="43">
        <v>612330</v>
      </c>
      <c r="P11" s="43">
        <v>3121854</v>
      </c>
      <c r="Q11" s="43">
        <v>72745</v>
      </c>
      <c r="R11" s="43">
        <v>0</v>
      </c>
      <c r="S11" s="43">
        <v>0</v>
      </c>
      <c r="T11" s="43">
        <f t="shared" si="5"/>
        <v>4228136</v>
      </c>
      <c r="U11" s="44">
        <f t="shared" si="2"/>
        <v>0</v>
      </c>
      <c r="V11" s="44">
        <f t="shared" si="6"/>
        <v>1202849.7826970001</v>
      </c>
      <c r="W11" s="45">
        <f t="shared" si="3"/>
        <v>1010046.036909</v>
      </c>
    </row>
    <row r="12" spans="1:27" ht="25" customHeight="1" x14ac:dyDescent="0.35">
      <c r="A12" s="2">
        <v>9</v>
      </c>
      <c r="B12" t="s">
        <v>31</v>
      </c>
      <c r="C12" s="26">
        <v>598294</v>
      </c>
      <c r="D12" s="20">
        <v>104894</v>
      </c>
      <c r="E12" s="3">
        <v>7546</v>
      </c>
      <c r="F12" s="22">
        <v>30057</v>
      </c>
      <c r="G12" s="23"/>
      <c r="H12" s="3">
        <v>161046</v>
      </c>
      <c r="I12" s="3">
        <v>0</v>
      </c>
      <c r="J12" s="3">
        <v>6424</v>
      </c>
      <c r="K12" s="3">
        <f t="shared" si="4"/>
        <v>309967</v>
      </c>
      <c r="L12" s="21">
        <f t="shared" si="0"/>
        <v>7484.7923419999997</v>
      </c>
      <c r="M12" s="41">
        <f t="shared" si="1"/>
        <v>56226.890131</v>
      </c>
      <c r="N12" s="27">
        <v>134733</v>
      </c>
      <c r="O12" s="43">
        <v>0</v>
      </c>
      <c r="P12" s="43">
        <v>175234</v>
      </c>
      <c r="Q12" s="43">
        <v>0</v>
      </c>
      <c r="R12" s="43">
        <v>0</v>
      </c>
      <c r="S12" s="43">
        <v>0</v>
      </c>
      <c r="T12" s="43">
        <f t="shared" si="5"/>
        <v>141375</v>
      </c>
      <c r="U12" s="44">
        <f t="shared" si="2"/>
        <v>0</v>
      </c>
      <c r="V12" s="44">
        <f t="shared" si="6"/>
        <v>62941.116485999999</v>
      </c>
      <c r="W12" s="45">
        <f t="shared" si="3"/>
        <v>14199.018697</v>
      </c>
    </row>
    <row r="13" spans="1:27" ht="25" customHeight="1" x14ac:dyDescent="0.35">
      <c r="A13" s="2">
        <v>10</v>
      </c>
      <c r="B13" t="s">
        <v>32</v>
      </c>
      <c r="C13" s="26">
        <f>2555510-C20</f>
        <v>1967250</v>
      </c>
      <c r="D13" s="24">
        <f>763961-D20</f>
        <v>626023</v>
      </c>
      <c r="E13" s="23">
        <v>98961</v>
      </c>
      <c r="F13" s="23">
        <v>374489</v>
      </c>
      <c r="G13" s="23">
        <f>494109-450322</f>
        <v>43787</v>
      </c>
      <c r="H13" s="23">
        <v>229178</v>
      </c>
      <c r="I13" s="3">
        <v>0</v>
      </c>
      <c r="J13" s="3">
        <v>0</v>
      </c>
      <c r="K13" s="3">
        <f t="shared" ref="K13" si="7">SUM(D13:J13)</f>
        <v>1372438</v>
      </c>
      <c r="L13" s="21">
        <f t="shared" si="0"/>
        <v>88144.783009999999</v>
      </c>
      <c r="M13" s="41">
        <f t="shared" si="1"/>
        <v>160777.54075700001</v>
      </c>
      <c r="N13" s="27">
        <v>475712</v>
      </c>
      <c r="O13" s="43">
        <v>166331</v>
      </c>
      <c r="P13" s="43">
        <f>553106-P20</f>
        <v>402518</v>
      </c>
      <c r="Q13" s="43">
        <f>315227</f>
        <v>315227</v>
      </c>
      <c r="R13" s="43">
        <v>0</v>
      </c>
      <c r="S13" s="43"/>
      <c r="T13" s="43">
        <f t="shared" si="5"/>
        <v>1031649</v>
      </c>
      <c r="U13" s="44">
        <f t="shared" si="2"/>
        <v>0</v>
      </c>
      <c r="V13" s="44">
        <f t="shared" si="6"/>
        <v>261264.901029</v>
      </c>
      <c r="W13" s="45">
        <f t="shared" si="3"/>
        <v>188632.14328199998</v>
      </c>
    </row>
    <row r="14" spans="1:27" ht="25" customHeight="1" x14ac:dyDescent="0.35">
      <c r="A14" s="2">
        <v>11</v>
      </c>
      <c r="B14" t="s">
        <v>33</v>
      </c>
      <c r="C14" s="26">
        <v>1557937</v>
      </c>
      <c r="D14" s="20">
        <v>390406</v>
      </c>
      <c r="E14" s="3">
        <v>30961</v>
      </c>
      <c r="F14" s="22">
        <v>0</v>
      </c>
      <c r="G14" s="3">
        <v>0</v>
      </c>
      <c r="H14" s="3">
        <v>595873</v>
      </c>
      <c r="I14" s="3">
        <v>22376</v>
      </c>
      <c r="J14" s="3">
        <v>0</v>
      </c>
      <c r="K14" s="3">
        <f t="shared" si="4"/>
        <v>1039616</v>
      </c>
      <c r="L14" s="21">
        <f t="shared" si="0"/>
        <v>13855.118533999999</v>
      </c>
      <c r="M14" s="41">
        <f t="shared" si="1"/>
        <v>188475.73672700001</v>
      </c>
      <c r="N14" s="27">
        <v>345381</v>
      </c>
      <c r="O14" s="43">
        <v>148327</v>
      </c>
      <c r="P14" s="43">
        <v>545908</v>
      </c>
      <c r="Q14" s="43">
        <v>0</v>
      </c>
      <c r="R14" s="43">
        <v>0</v>
      </c>
      <c r="S14" s="43">
        <v>0</v>
      </c>
      <c r="T14" s="43">
        <f t="shared" si="5"/>
        <v>412782</v>
      </c>
      <c r="U14" s="44">
        <f t="shared" si="2"/>
        <v>0</v>
      </c>
      <c r="V14" s="44">
        <f t="shared" si="6"/>
        <v>218815.41873400001</v>
      </c>
      <c r="W14" s="45">
        <f t="shared" si="3"/>
        <v>44194.800541000004</v>
      </c>
    </row>
    <row r="15" spans="1:27" ht="25" customHeight="1" x14ac:dyDescent="0.35">
      <c r="A15" s="2">
        <v>12</v>
      </c>
      <c r="B15" t="s">
        <v>34</v>
      </c>
      <c r="C15" s="26">
        <v>2355678</v>
      </c>
      <c r="D15" s="20">
        <v>1340072</v>
      </c>
      <c r="E15" s="3">
        <v>40745</v>
      </c>
      <c r="F15" s="22">
        <v>68755</v>
      </c>
      <c r="G15" s="3">
        <v>0</v>
      </c>
      <c r="H15" s="3">
        <v>364709</v>
      </c>
      <c r="I15" s="3">
        <v>0</v>
      </c>
      <c r="J15" s="23"/>
      <c r="K15" s="3">
        <f t="shared" si="4"/>
        <v>1814281</v>
      </c>
      <c r="L15" s="21">
        <f t="shared" si="0"/>
        <v>47557.815208</v>
      </c>
      <c r="M15" s="41">
        <f t="shared" si="1"/>
        <v>131939.14529399999</v>
      </c>
      <c r="N15" s="27">
        <v>625273</v>
      </c>
      <c r="O15" s="43">
        <v>320564</v>
      </c>
      <c r="P15" s="43">
        <v>868444</v>
      </c>
      <c r="Q15" s="43">
        <v>0</v>
      </c>
      <c r="R15" s="43">
        <v>0</v>
      </c>
      <c r="S15" s="43">
        <v>0</v>
      </c>
      <c r="T15" s="43">
        <f t="shared" si="5"/>
        <v>1408827</v>
      </c>
      <c r="U15" s="44">
        <f t="shared" si="2"/>
        <v>0</v>
      </c>
      <c r="V15" s="44">
        <f t="shared" si="6"/>
        <v>369516.49303999997</v>
      </c>
      <c r="W15" s="45">
        <f t="shared" si="3"/>
        <v>285135.162954</v>
      </c>
    </row>
    <row r="16" spans="1:27" ht="25" customHeight="1" x14ac:dyDescent="0.35">
      <c r="A16" s="2">
        <v>13</v>
      </c>
      <c r="B16" t="s">
        <v>35</v>
      </c>
      <c r="C16" s="26">
        <v>1929955</v>
      </c>
      <c r="D16" s="20">
        <v>984932</v>
      </c>
      <c r="E16" s="3">
        <v>0</v>
      </c>
      <c r="F16" s="22">
        <v>0</v>
      </c>
      <c r="G16" s="3">
        <v>0</v>
      </c>
      <c r="H16" s="3">
        <v>387227</v>
      </c>
      <c r="I16" s="3">
        <v>0</v>
      </c>
      <c r="J16" s="3">
        <v>0</v>
      </c>
      <c r="K16" s="3">
        <f t="shared" si="4"/>
        <v>1372159</v>
      </c>
      <c r="L16" s="21">
        <f t="shared" si="0"/>
        <v>34954.251748000002</v>
      </c>
      <c r="M16" s="41">
        <f t="shared" si="1"/>
        <v>117802.585167</v>
      </c>
      <c r="N16" s="27">
        <v>476086</v>
      </c>
      <c r="O16" s="43">
        <v>296526</v>
      </c>
      <c r="P16" s="43">
        <v>599547</v>
      </c>
      <c r="Q16" s="43">
        <v>0</v>
      </c>
      <c r="R16" s="43">
        <v>0</v>
      </c>
      <c r="S16" s="43">
        <v>0</v>
      </c>
      <c r="T16" s="43">
        <f t="shared" si="5"/>
        <v>984932</v>
      </c>
      <c r="U16" s="44">
        <f t="shared" si="2"/>
        <v>0</v>
      </c>
      <c r="V16" s="44">
        <f t="shared" si="6"/>
        <v>272502.16526699997</v>
      </c>
      <c r="W16" s="45">
        <f t="shared" si="3"/>
        <v>189653.83184799997</v>
      </c>
    </row>
    <row r="17" spans="1:23" ht="25" customHeight="1" x14ac:dyDescent="0.35">
      <c r="A17" s="2">
        <v>14</v>
      </c>
      <c r="B17" t="s">
        <v>36</v>
      </c>
      <c r="C17" s="26">
        <v>2225834</v>
      </c>
      <c r="D17" s="20">
        <v>887795</v>
      </c>
      <c r="E17" s="3">
        <v>0</v>
      </c>
      <c r="F17" s="22">
        <v>33228</v>
      </c>
      <c r="G17" s="3">
        <v>0</v>
      </c>
      <c r="H17" s="3">
        <v>670586</v>
      </c>
      <c r="I17" s="3">
        <v>0</v>
      </c>
      <c r="J17" s="3">
        <v>0</v>
      </c>
      <c r="K17" s="3">
        <v>0</v>
      </c>
      <c r="L17" s="21">
        <f t="shared" si="0"/>
        <v>31506.956754999999</v>
      </c>
      <c r="M17" s="41">
        <f t="shared" si="1"/>
        <v>210425.22886199999</v>
      </c>
      <c r="N17" s="27">
        <v>561065</v>
      </c>
      <c r="O17" s="43">
        <v>360625</v>
      </c>
      <c r="P17" s="43">
        <v>669919</v>
      </c>
      <c r="Q17" s="43">
        <v>0</v>
      </c>
      <c r="R17" s="43">
        <v>0</v>
      </c>
      <c r="S17" s="43">
        <v>0</v>
      </c>
      <c r="T17" s="43">
        <f t="shared" si="5"/>
        <v>921023</v>
      </c>
      <c r="U17" s="44">
        <f t="shared" si="2"/>
        <v>0</v>
      </c>
      <c r="V17" s="44">
        <f t="shared" si="6"/>
        <v>312106.94980900001</v>
      </c>
      <c r="W17" s="45">
        <f t="shared" si="3"/>
        <v>133188.67770200002</v>
      </c>
    </row>
    <row r="18" spans="1:23" ht="25" customHeight="1" x14ac:dyDescent="0.35">
      <c r="A18" s="2">
        <v>15</v>
      </c>
      <c r="B18" t="s">
        <v>37</v>
      </c>
      <c r="C18" s="26">
        <v>1268524</v>
      </c>
      <c r="D18" s="20">
        <v>448536</v>
      </c>
      <c r="E18" s="3">
        <v>21981</v>
      </c>
      <c r="F18" s="22">
        <v>0</v>
      </c>
      <c r="G18" s="3">
        <v>0</v>
      </c>
      <c r="H18" s="3">
        <v>404897</v>
      </c>
      <c r="I18" s="3">
        <v>0</v>
      </c>
      <c r="J18" s="3">
        <v>22824</v>
      </c>
      <c r="K18" s="3">
        <f t="shared" si="4"/>
        <v>898238</v>
      </c>
      <c r="L18" s="21">
        <f t="shared" si="0"/>
        <v>29284.94688</v>
      </c>
      <c r="M18" s="41">
        <f t="shared" si="1"/>
        <v>127334.909223</v>
      </c>
      <c r="N18" s="27">
        <v>245377</v>
      </c>
      <c r="O18" s="43">
        <v>203787</v>
      </c>
      <c r="P18" s="43">
        <v>449074</v>
      </c>
      <c r="Q18" s="43">
        <v>0</v>
      </c>
      <c r="R18" s="43">
        <v>0</v>
      </c>
      <c r="S18" s="43">
        <v>0</v>
      </c>
      <c r="T18" s="43">
        <f t="shared" si="5"/>
        <v>471360</v>
      </c>
      <c r="U18" s="44">
        <f t="shared" si="2"/>
        <v>0</v>
      </c>
      <c r="V18" s="44">
        <f t="shared" si="6"/>
        <v>192695.61524399999</v>
      </c>
      <c r="W18" s="45">
        <f t="shared" si="3"/>
        <v>94645.652900999994</v>
      </c>
    </row>
    <row r="19" spans="1:23" ht="25" customHeight="1" x14ac:dyDescent="0.35">
      <c r="A19" s="2">
        <v>16</v>
      </c>
      <c r="B19" t="s">
        <v>38</v>
      </c>
      <c r="C19" s="26">
        <v>947796</v>
      </c>
      <c r="D19" s="20">
        <v>345474</v>
      </c>
      <c r="E19" s="3">
        <v>113033</v>
      </c>
      <c r="F19" s="22">
        <v>12223</v>
      </c>
      <c r="G19" s="3">
        <v>0</v>
      </c>
      <c r="H19" s="3">
        <v>65557</v>
      </c>
      <c r="I19" s="3">
        <v>19999</v>
      </c>
      <c r="J19" s="3">
        <v>5793</v>
      </c>
      <c r="K19" s="3">
        <f t="shared" si="4"/>
        <v>562079</v>
      </c>
      <c r="L19" s="21">
        <f t="shared" si="0"/>
        <v>15653.191443</v>
      </c>
      <c r="M19" s="41">
        <f t="shared" si="1"/>
        <v>44881.237012999998</v>
      </c>
      <c r="N19" s="27">
        <v>268735</v>
      </c>
      <c r="O19" s="43">
        <v>22735</v>
      </c>
      <c r="P19" s="43">
        <v>246356</v>
      </c>
      <c r="Q19" s="43">
        <v>24253</v>
      </c>
      <c r="R19" s="43">
        <v>0</v>
      </c>
      <c r="S19" s="43">
        <v>0</v>
      </c>
      <c r="T19" s="43">
        <f t="shared" si="5"/>
        <v>383489</v>
      </c>
      <c r="U19" s="44">
        <f t="shared" si="2"/>
        <v>0</v>
      </c>
      <c r="V19" s="44">
        <f t="shared" si="6"/>
        <v>104099.701149</v>
      </c>
      <c r="W19" s="45">
        <f t="shared" si="3"/>
        <v>74871.655578999998</v>
      </c>
    </row>
    <row r="20" spans="1:23" ht="25" customHeight="1" x14ac:dyDescent="0.35">
      <c r="A20" s="2">
        <v>17</v>
      </c>
      <c r="B20" t="s">
        <v>39</v>
      </c>
      <c r="C20" s="26">
        <f>450322+137938</f>
        <v>588260</v>
      </c>
      <c r="D20" s="20">
        <v>137938</v>
      </c>
      <c r="E20" s="23"/>
      <c r="F20" s="23"/>
      <c r="G20" s="23">
        <v>450322</v>
      </c>
      <c r="H20" s="23"/>
      <c r="I20" s="3">
        <v>0</v>
      </c>
      <c r="J20" s="3">
        <v>0</v>
      </c>
      <c r="K20" s="3">
        <f t="shared" si="4"/>
        <v>588260</v>
      </c>
      <c r="L20" s="21">
        <f t="shared" si="0"/>
        <v>682922.15066000004</v>
      </c>
      <c r="M20" s="41">
        <f t="shared" si="1"/>
        <v>0</v>
      </c>
      <c r="N20" s="27"/>
      <c r="O20" s="43"/>
      <c r="P20" s="43">
        <v>150588</v>
      </c>
      <c r="Q20" s="43">
        <v>0</v>
      </c>
      <c r="R20" s="43">
        <v>0</v>
      </c>
      <c r="S20" s="43">
        <v>437672</v>
      </c>
      <c r="T20" s="43">
        <f t="shared" si="5"/>
        <v>588260</v>
      </c>
      <c r="U20" s="44">
        <f t="shared" si="2"/>
        <v>658980.40912800003</v>
      </c>
      <c r="V20" s="44">
        <f t="shared" si="6"/>
        <v>45812.031948000003</v>
      </c>
      <c r="W20" s="45">
        <f t="shared" si="3"/>
        <v>69753.773480000018</v>
      </c>
    </row>
    <row r="21" spans="1:23" ht="25" customHeight="1" x14ac:dyDescent="0.35">
      <c r="A21" s="2">
        <v>18</v>
      </c>
      <c r="B21" t="s">
        <v>40</v>
      </c>
      <c r="C21" s="26">
        <f>71311*70</f>
        <v>4991770</v>
      </c>
      <c r="D21" s="20">
        <f>71311*70</f>
        <v>4991770</v>
      </c>
      <c r="E21" s="3">
        <v>0</v>
      </c>
      <c r="F21" s="22">
        <v>0</v>
      </c>
      <c r="G21" s="3">
        <v>0</v>
      </c>
      <c r="H21" s="22">
        <v>0</v>
      </c>
      <c r="I21" s="3">
        <v>0</v>
      </c>
      <c r="J21" s="3">
        <v>0</v>
      </c>
      <c r="K21" s="3">
        <f t="shared" ref="K21" si="8">SUM(D21:J21)</f>
        <v>4991770</v>
      </c>
      <c r="L21" s="21">
        <f t="shared" si="0"/>
        <v>177152.92553000001</v>
      </c>
      <c r="M21" s="41">
        <f t="shared" si="1"/>
        <v>0</v>
      </c>
      <c r="N21" s="27">
        <v>0</v>
      </c>
      <c r="O21" s="4">
        <f>71311*70</f>
        <v>4991770</v>
      </c>
      <c r="P21" s="43">
        <v>0</v>
      </c>
      <c r="Q21" s="43">
        <v>0</v>
      </c>
      <c r="R21" s="43">
        <v>0</v>
      </c>
      <c r="S21" s="43">
        <v>0</v>
      </c>
      <c r="T21" s="43">
        <f t="shared" si="5"/>
        <v>4991770</v>
      </c>
      <c r="U21" s="44">
        <f t="shared" si="2"/>
        <v>0</v>
      </c>
      <c r="V21" s="44">
        <f t="shared" ref="V21:V22" si="9">(N21*3108+O21*8222+P21*13227+R21*2611+Q21*10117)*0.000023</f>
        <v>943973.65761999995</v>
      </c>
      <c r="W21" s="45">
        <f t="shared" si="3"/>
        <v>1121126.5831499998</v>
      </c>
    </row>
    <row r="22" spans="1:23" ht="27" customHeight="1" x14ac:dyDescent="0.35">
      <c r="A22" s="2">
        <v>19</v>
      </c>
      <c r="B22" t="s">
        <v>41</v>
      </c>
      <c r="C22" s="26">
        <f>14308*30</f>
        <v>429240</v>
      </c>
      <c r="D22" s="20">
        <f>14308*30</f>
        <v>429240</v>
      </c>
      <c r="E22" s="3">
        <v>0</v>
      </c>
      <c r="F22" s="22">
        <v>0</v>
      </c>
      <c r="G22" s="3">
        <v>0</v>
      </c>
      <c r="H22" s="22">
        <v>0</v>
      </c>
      <c r="I22" s="3">
        <v>0</v>
      </c>
      <c r="J22" s="3">
        <v>0</v>
      </c>
      <c r="K22" s="3">
        <f t="shared" si="4"/>
        <v>429240</v>
      </c>
      <c r="L22" s="21">
        <f t="shared" si="0"/>
        <v>15233.298360000001</v>
      </c>
      <c r="M22" s="41">
        <f t="shared" si="1"/>
        <v>0</v>
      </c>
      <c r="N22" s="27">
        <v>0</v>
      </c>
      <c r="O22" s="4">
        <f>14308*30</f>
        <v>429240</v>
      </c>
      <c r="P22" s="43">
        <v>0</v>
      </c>
      <c r="Q22" s="43">
        <v>0</v>
      </c>
      <c r="R22" s="43">
        <v>0</v>
      </c>
      <c r="S22" s="43">
        <v>0</v>
      </c>
      <c r="T22" s="43">
        <f t="shared" si="5"/>
        <v>429240</v>
      </c>
      <c r="U22" s="44">
        <f t="shared" si="2"/>
        <v>0</v>
      </c>
      <c r="V22" s="44">
        <f t="shared" si="9"/>
        <v>81171.85944</v>
      </c>
      <c r="W22" s="45">
        <f t="shared" si="3"/>
        <v>96405.157800000001</v>
      </c>
    </row>
    <row r="23" spans="1:23" ht="31.5" customHeight="1" x14ac:dyDescent="0.35">
      <c r="A23" s="46" t="s">
        <v>42</v>
      </c>
      <c r="B23" s="47"/>
      <c r="C23" s="48">
        <f>SUM(C4:C22)</f>
        <v>40402011</v>
      </c>
      <c r="D23" s="49">
        <f t="shared" ref="D23:M23" si="10">SUM(D4:D22)</f>
        <v>20741740</v>
      </c>
      <c r="E23" s="49">
        <f t="shared" si="10"/>
        <v>1158770</v>
      </c>
      <c r="F23" s="49">
        <f t="shared" si="10"/>
        <v>1049751</v>
      </c>
      <c r="G23" s="49">
        <f t="shared" si="10"/>
        <v>494109</v>
      </c>
      <c r="H23" s="49">
        <f t="shared" si="10"/>
        <v>5835937</v>
      </c>
      <c r="I23" s="49">
        <f t="shared" si="10"/>
        <v>239126</v>
      </c>
      <c r="J23" s="49">
        <f t="shared" si="10"/>
        <v>175816</v>
      </c>
      <c r="K23" s="49">
        <f t="shared" si="10"/>
        <v>28103640</v>
      </c>
      <c r="L23" s="49">
        <f t="shared" si="10"/>
        <v>1583024.797185</v>
      </c>
      <c r="M23" s="49">
        <f t="shared" si="10"/>
        <v>2211692.932302</v>
      </c>
      <c r="N23" s="50">
        <f t="shared" ref="N23:V23" si="11">SUM(N4:N22)</f>
        <v>9078620</v>
      </c>
      <c r="O23" s="50">
        <f t="shared" si="11"/>
        <v>7959684</v>
      </c>
      <c r="P23" s="50">
        <f t="shared" si="11"/>
        <v>11354327</v>
      </c>
      <c r="Q23" s="50">
        <f t="shared" si="11"/>
        <v>743475</v>
      </c>
      <c r="R23" s="50">
        <f t="shared" si="11"/>
        <v>108821</v>
      </c>
      <c r="S23" s="50">
        <f t="shared" si="11"/>
        <v>437672</v>
      </c>
      <c r="T23" s="50">
        <f t="shared" si="11"/>
        <v>22687892</v>
      </c>
      <c r="U23" s="50">
        <f t="shared" si="11"/>
        <v>658980.40912800003</v>
      </c>
      <c r="V23" s="50">
        <f t="shared" si="11"/>
        <v>5789368.8807179993</v>
      </c>
      <c r="W23" s="51">
        <f>SUM(W4:W22)</f>
        <v>4501720.3364729993</v>
      </c>
    </row>
    <row r="24" spans="1:23" ht="33" customHeight="1" x14ac:dyDescent="0.35">
      <c r="A24" s="52" t="s">
        <v>43</v>
      </c>
      <c r="B24" s="53"/>
      <c r="C24" s="54">
        <f>C23*0.000023</f>
        <v>929.24625300000002</v>
      </c>
      <c r="D24" s="55">
        <f t="shared" ref="D24:K24" si="12">D23*0.000023</f>
        <v>477.06002000000001</v>
      </c>
      <c r="E24" s="55">
        <f t="shared" si="12"/>
        <v>26.651710000000001</v>
      </c>
      <c r="F24" s="55">
        <f t="shared" si="12"/>
        <v>24.144272999999998</v>
      </c>
      <c r="G24" s="55">
        <f t="shared" si="12"/>
        <v>11.364507</v>
      </c>
      <c r="H24" s="55">
        <f t="shared" si="12"/>
        <v>134.226551</v>
      </c>
      <c r="I24" s="55">
        <f t="shared" si="12"/>
        <v>5.499898</v>
      </c>
      <c r="J24" s="55">
        <f t="shared" si="12"/>
        <v>4.043768</v>
      </c>
      <c r="K24" s="55">
        <f t="shared" si="12"/>
        <v>646.38372000000004</v>
      </c>
      <c r="L24" s="55">
        <f>L23*0.00045</f>
        <v>712.36115873325002</v>
      </c>
      <c r="M24" s="55">
        <f>M23*0.00045</f>
        <v>995.26181953589992</v>
      </c>
      <c r="N24" s="56">
        <f t="shared" ref="N24:O24" si="13">N23*0.000023</f>
        <v>208.80825999999999</v>
      </c>
      <c r="O24" s="56">
        <f t="shared" si="13"/>
        <v>183.072732</v>
      </c>
      <c r="P24" s="56">
        <f>P23*0.000023</f>
        <v>261.14952099999999</v>
      </c>
      <c r="Q24" s="56">
        <f t="shared" ref="Q24:S24" si="14">Q23*0.000023</f>
        <v>17.099924999999999</v>
      </c>
      <c r="R24" s="56">
        <f t="shared" si="14"/>
        <v>2.5028830000000002</v>
      </c>
      <c r="S24" s="56">
        <f t="shared" si="14"/>
        <v>10.066456000000001</v>
      </c>
      <c r="T24" s="56">
        <f>T23*0.000023</f>
        <v>521.82151599999997</v>
      </c>
      <c r="U24" s="56">
        <f>U23*0.00045</f>
        <v>296.54118410760003</v>
      </c>
      <c r="V24" s="56">
        <f>V23*0.0004535</f>
        <v>2625.4787874056128</v>
      </c>
      <c r="W24" s="57">
        <f>W23*0.0004535</f>
        <v>2041.5301725905053</v>
      </c>
    </row>
    <row r="25" spans="1:23" x14ac:dyDescent="0.35">
      <c r="V25" s="5"/>
    </row>
    <row r="26" spans="1:23" x14ac:dyDescent="0.35">
      <c r="K26" s="6"/>
      <c r="L26" s="7"/>
      <c r="M26" s="6"/>
      <c r="V26" s="8"/>
    </row>
    <row r="27" spans="1:23" x14ac:dyDescent="0.35">
      <c r="K27" s="6"/>
      <c r="L27" s="7"/>
      <c r="M27" s="6"/>
      <c r="P27" s="5"/>
    </row>
    <row r="28" spans="1:23" x14ac:dyDescent="0.35">
      <c r="K28" s="6"/>
      <c r="L28" s="7"/>
      <c r="M28" s="6"/>
      <c r="V28" s="6"/>
    </row>
    <row r="29" spans="1:23" ht="15" thickBot="1" x14ac:dyDescent="0.4">
      <c r="K29" s="6"/>
      <c r="L29" s="7"/>
      <c r="M29" s="6"/>
      <c r="V29" s="6"/>
    </row>
    <row r="30" spans="1:23" ht="28.5" customHeight="1" x14ac:dyDescent="0.35">
      <c r="A30" s="33" t="s">
        <v>44</v>
      </c>
      <c r="B30" s="32" t="s">
        <v>45</v>
      </c>
      <c r="C30" s="32" t="s">
        <v>57</v>
      </c>
      <c r="K30" s="6"/>
      <c r="L30" s="7"/>
      <c r="M30" s="6"/>
      <c r="V30" s="6"/>
    </row>
    <row r="31" spans="1:23" ht="25" customHeight="1" x14ac:dyDescent="0.35">
      <c r="A31" s="9" t="s">
        <v>46</v>
      </c>
      <c r="B31" s="29">
        <v>13227</v>
      </c>
      <c r="C31" s="58">
        <f>B31/43560</f>
        <v>0.30365013774104682</v>
      </c>
      <c r="D31" s="10"/>
      <c r="K31" s="6"/>
      <c r="L31" s="7"/>
      <c r="M31" s="6"/>
      <c r="V31" s="6"/>
    </row>
    <row r="32" spans="1:23" ht="25" customHeight="1" x14ac:dyDescent="0.35">
      <c r="A32" s="11" t="s">
        <v>47</v>
      </c>
      <c r="B32" s="29">
        <v>8222</v>
      </c>
      <c r="C32" s="58">
        <f t="shared" ref="C32:C39" si="15">B32/43560</f>
        <v>0.18875114784205693</v>
      </c>
      <c r="K32" s="6"/>
      <c r="L32" s="7"/>
      <c r="M32" s="6"/>
      <c r="V32" s="6"/>
    </row>
    <row r="33" spans="1:22" ht="25" customHeight="1" x14ac:dyDescent="0.35">
      <c r="A33" s="12" t="s">
        <v>48</v>
      </c>
      <c r="B33" s="29">
        <v>5000</v>
      </c>
      <c r="C33" s="58">
        <f t="shared" si="15"/>
        <v>0.1147842056932966</v>
      </c>
      <c r="D33" s="13"/>
      <c r="K33" s="6"/>
      <c r="L33" s="7"/>
      <c r="M33" s="6"/>
      <c r="V33" s="6"/>
    </row>
    <row r="34" spans="1:22" ht="25" customHeight="1" x14ac:dyDescent="0.35">
      <c r="A34" s="14" t="s">
        <v>49</v>
      </c>
      <c r="B34" s="29">
        <v>3527</v>
      </c>
      <c r="C34" s="58">
        <f t="shared" si="15"/>
        <v>8.096877869605143E-2</v>
      </c>
      <c r="D34" s="15"/>
      <c r="K34" s="6"/>
      <c r="L34" s="7"/>
      <c r="M34" s="6"/>
      <c r="V34" s="6"/>
    </row>
    <row r="35" spans="1:22" ht="25" customHeight="1" x14ac:dyDescent="0.35">
      <c r="A35" s="12" t="s">
        <v>50</v>
      </c>
      <c r="B35" s="29">
        <v>3108</v>
      </c>
      <c r="C35" s="58">
        <f t="shared" si="15"/>
        <v>7.1349862258953164E-2</v>
      </c>
      <c r="D35" s="13"/>
      <c r="K35" s="6"/>
      <c r="L35" s="7"/>
      <c r="M35" s="6"/>
      <c r="V35" s="6"/>
    </row>
    <row r="36" spans="1:22" ht="25" customHeight="1" x14ac:dyDescent="0.35">
      <c r="A36" s="9" t="s">
        <v>51</v>
      </c>
      <c r="B36" s="29">
        <v>10117</v>
      </c>
      <c r="C36" s="58">
        <f t="shared" si="15"/>
        <v>0.23225436179981634</v>
      </c>
      <c r="D36" s="10"/>
      <c r="K36" s="6"/>
      <c r="L36" s="7"/>
      <c r="M36" s="6"/>
      <c r="V36" s="6"/>
    </row>
    <row r="37" spans="1:22" ht="25" customHeight="1" x14ac:dyDescent="0.35">
      <c r="A37" s="12" t="s">
        <v>52</v>
      </c>
      <c r="B37" s="29">
        <v>8399</v>
      </c>
      <c r="C37" s="58">
        <f t="shared" si="15"/>
        <v>0.19281450872359962</v>
      </c>
      <c r="D37" s="13"/>
      <c r="K37" s="6"/>
      <c r="L37" s="7"/>
      <c r="M37" s="6"/>
      <c r="V37" s="6"/>
    </row>
    <row r="38" spans="1:22" ht="25" customHeight="1" x14ac:dyDescent="0.35">
      <c r="A38" s="12" t="s">
        <v>53</v>
      </c>
      <c r="B38" s="29">
        <v>3174</v>
      </c>
      <c r="C38" s="58">
        <f t="shared" si="15"/>
        <v>7.2865013774104689E-2</v>
      </c>
      <c r="D38" s="13"/>
      <c r="K38" s="6"/>
      <c r="L38" s="7"/>
      <c r="M38" s="6"/>
      <c r="V38" s="6"/>
    </row>
    <row r="39" spans="1:22" ht="25" customHeight="1" thickBot="1" x14ac:dyDescent="0.4">
      <c r="A39" s="16" t="s">
        <v>54</v>
      </c>
      <c r="B39" s="30">
        <v>2611</v>
      </c>
      <c r="C39" s="58">
        <f t="shared" si="15"/>
        <v>5.9940312213039484E-2</v>
      </c>
      <c r="D39" s="13"/>
      <c r="K39" s="6"/>
      <c r="L39" s="7"/>
      <c r="M39" s="6"/>
      <c r="V39" s="6"/>
    </row>
    <row r="40" spans="1:22" x14ac:dyDescent="0.35">
      <c r="V40" s="6"/>
    </row>
    <row r="41" spans="1:22" x14ac:dyDescent="0.35">
      <c r="A41" s="36" t="s">
        <v>44</v>
      </c>
      <c r="B41" s="37" t="s">
        <v>55</v>
      </c>
      <c r="V41" s="6"/>
    </row>
    <row r="42" spans="1:22" x14ac:dyDescent="0.35">
      <c r="A42" s="34"/>
      <c r="B42" s="38"/>
      <c r="V42" s="6"/>
    </row>
    <row r="43" spans="1:22" x14ac:dyDescent="0.35">
      <c r="A43" s="35" t="s">
        <v>5</v>
      </c>
      <c r="B43" s="39">
        <v>1543</v>
      </c>
      <c r="V43" s="6"/>
    </row>
    <row r="44" spans="1:22" x14ac:dyDescent="0.35">
      <c r="V44" s="6"/>
    </row>
    <row r="45" spans="1:22" x14ac:dyDescent="0.35">
      <c r="V45" s="6"/>
    </row>
    <row r="46" spans="1:22" x14ac:dyDescent="0.35">
      <c r="V46" s="6"/>
    </row>
  </sheetData>
  <sheetProtection sheet="1" objects="1" scenarios="1"/>
  <mergeCells count="5">
    <mergeCell ref="A2:A3"/>
    <mergeCell ref="B2:B3"/>
    <mergeCell ref="C2:C3"/>
    <mergeCell ref="D2:M2"/>
    <mergeCell ref="N2:W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FD3DE-414D-4EBB-A0B3-A1622E10CC91}">
  <dimension ref="B1:D28"/>
  <sheetViews>
    <sheetView workbookViewId="0">
      <selection activeCell="F8" sqref="F8"/>
    </sheetView>
  </sheetViews>
  <sheetFormatPr defaultRowHeight="14.5" x14ac:dyDescent="0.35"/>
  <cols>
    <col min="2" max="2" width="18.08984375" customWidth="1"/>
    <col min="3" max="3" width="17.26953125" customWidth="1"/>
    <col min="4" max="4" width="87.7265625" customWidth="1"/>
  </cols>
  <sheetData>
    <row r="1" spans="2:4" x14ac:dyDescent="0.35">
      <c r="B1" s="138" t="s">
        <v>58</v>
      </c>
      <c r="C1" s="139"/>
      <c r="D1" s="140"/>
    </row>
    <row r="2" spans="2:4" ht="43.5" x14ac:dyDescent="0.35">
      <c r="B2" s="59" t="s">
        <v>59</v>
      </c>
      <c r="C2" s="60" t="s">
        <v>60</v>
      </c>
      <c r="D2" s="61" t="s">
        <v>61</v>
      </c>
    </row>
    <row r="3" spans="2:4" x14ac:dyDescent="0.35">
      <c r="B3" s="132" t="s">
        <v>62</v>
      </c>
      <c r="C3" s="135">
        <v>13227</v>
      </c>
      <c r="D3" s="62" t="s">
        <v>63</v>
      </c>
    </row>
    <row r="4" spans="2:4" ht="29" x14ac:dyDescent="0.35">
      <c r="B4" s="133"/>
      <c r="C4" s="136"/>
      <c r="D4" s="65" t="s">
        <v>64</v>
      </c>
    </row>
    <row r="5" spans="2:4" x14ac:dyDescent="0.35">
      <c r="B5" s="134"/>
      <c r="C5" s="137"/>
      <c r="D5" s="66" t="s">
        <v>65</v>
      </c>
    </row>
    <row r="6" spans="2:4" x14ac:dyDescent="0.35">
      <c r="B6" s="141" t="s">
        <v>47</v>
      </c>
      <c r="C6" s="135">
        <v>8222</v>
      </c>
      <c r="D6" s="62" t="s">
        <v>63</v>
      </c>
    </row>
    <row r="7" spans="2:4" ht="29" x14ac:dyDescent="0.35">
      <c r="B7" s="142"/>
      <c r="C7" s="136"/>
      <c r="D7" s="65" t="s">
        <v>66</v>
      </c>
    </row>
    <row r="8" spans="2:4" ht="43.5" x14ac:dyDescent="0.35">
      <c r="B8" s="143"/>
      <c r="C8" s="137"/>
      <c r="D8" s="67" t="s">
        <v>67</v>
      </c>
    </row>
    <row r="9" spans="2:4" x14ac:dyDescent="0.35">
      <c r="B9" s="132" t="s">
        <v>50</v>
      </c>
      <c r="C9" s="135">
        <v>3108</v>
      </c>
      <c r="D9" s="62" t="s">
        <v>63</v>
      </c>
    </row>
    <row r="10" spans="2:4" x14ac:dyDescent="0.35">
      <c r="B10" s="133"/>
      <c r="C10" s="136"/>
      <c r="D10" s="65" t="s">
        <v>68</v>
      </c>
    </row>
    <row r="11" spans="2:4" ht="43.5" x14ac:dyDescent="0.35">
      <c r="B11" s="134"/>
      <c r="C11" s="137"/>
      <c r="D11" s="67" t="s">
        <v>69</v>
      </c>
    </row>
    <row r="12" spans="2:4" x14ac:dyDescent="0.35">
      <c r="B12" s="141" t="s">
        <v>5</v>
      </c>
      <c r="C12" s="144" t="s">
        <v>70</v>
      </c>
      <c r="D12" s="62" t="s">
        <v>63</v>
      </c>
    </row>
    <row r="13" spans="2:4" ht="29" x14ac:dyDescent="0.35">
      <c r="B13" s="142"/>
      <c r="C13" s="145"/>
      <c r="D13" s="65" t="s">
        <v>71</v>
      </c>
    </row>
    <row r="14" spans="2:4" ht="43.5" x14ac:dyDescent="0.35">
      <c r="B14" s="143"/>
      <c r="C14" s="146"/>
      <c r="D14" s="67" t="s">
        <v>69</v>
      </c>
    </row>
    <row r="15" spans="2:4" x14ac:dyDescent="0.35">
      <c r="B15" s="63" t="s">
        <v>51</v>
      </c>
      <c r="C15" s="64">
        <v>10117</v>
      </c>
      <c r="D15" s="145" t="s">
        <v>72</v>
      </c>
    </row>
    <row r="16" spans="2:4" ht="5" customHeight="1" x14ac:dyDescent="0.35">
      <c r="B16" s="63"/>
      <c r="C16" s="64"/>
      <c r="D16" s="147"/>
    </row>
    <row r="17" spans="2:4" hidden="1" x14ac:dyDescent="0.35">
      <c r="B17" s="63"/>
      <c r="C17" s="64"/>
      <c r="D17" s="147"/>
    </row>
    <row r="18" spans="2:4" hidden="1" x14ac:dyDescent="0.35">
      <c r="B18" s="63"/>
      <c r="C18" s="64"/>
      <c r="D18" s="147"/>
    </row>
    <row r="19" spans="2:4" x14ac:dyDescent="0.35">
      <c r="B19" s="133" t="s">
        <v>52</v>
      </c>
      <c r="C19" s="136">
        <v>8399</v>
      </c>
      <c r="D19" s="147"/>
    </row>
    <row r="20" spans="2:4" x14ac:dyDescent="0.35">
      <c r="B20" s="133"/>
      <c r="C20" s="136"/>
      <c r="D20" s="147"/>
    </row>
    <row r="21" spans="2:4" ht="4" customHeight="1" x14ac:dyDescent="0.35">
      <c r="B21" s="133"/>
      <c r="C21" s="136"/>
      <c r="D21" s="147"/>
    </row>
    <row r="22" spans="2:4" hidden="1" x14ac:dyDescent="0.35">
      <c r="B22" s="133"/>
      <c r="C22" s="136"/>
      <c r="D22" s="147"/>
    </row>
    <row r="23" spans="2:4" x14ac:dyDescent="0.35">
      <c r="B23" s="133" t="s">
        <v>53</v>
      </c>
      <c r="C23" s="136">
        <v>3174</v>
      </c>
      <c r="D23" s="147"/>
    </row>
    <row r="24" spans="2:4" x14ac:dyDescent="0.35">
      <c r="B24" s="133"/>
      <c r="C24" s="136"/>
      <c r="D24" s="147"/>
    </row>
    <row r="25" spans="2:4" ht="3.5" customHeight="1" x14ac:dyDescent="0.35">
      <c r="B25" s="133"/>
      <c r="C25" s="136"/>
      <c r="D25" s="147"/>
    </row>
    <row r="26" spans="2:4" hidden="1" x14ac:dyDescent="0.35">
      <c r="B26" s="133"/>
      <c r="C26" s="136"/>
      <c r="D26" s="147"/>
    </row>
    <row r="27" spans="2:4" x14ac:dyDescent="0.35">
      <c r="B27" s="133" t="s">
        <v>54</v>
      </c>
      <c r="C27" s="136">
        <v>2611</v>
      </c>
      <c r="D27" s="147"/>
    </row>
    <row r="28" spans="2:4" ht="30.5" customHeight="1" x14ac:dyDescent="0.35">
      <c r="B28" s="134"/>
      <c r="C28" s="137"/>
      <c r="D28" s="148"/>
    </row>
  </sheetData>
  <sheetProtection sheet="1" objects="1" scenarios="1"/>
  <mergeCells count="16">
    <mergeCell ref="B12:B14"/>
    <mergeCell ref="C12:C14"/>
    <mergeCell ref="D15:D28"/>
    <mergeCell ref="B19:B22"/>
    <mergeCell ref="C19:C22"/>
    <mergeCell ref="B23:B26"/>
    <mergeCell ref="C23:C26"/>
    <mergeCell ref="B27:B28"/>
    <mergeCell ref="C27:C28"/>
    <mergeCell ref="B9:B11"/>
    <mergeCell ref="C9:C11"/>
    <mergeCell ref="B1:D1"/>
    <mergeCell ref="B3:B5"/>
    <mergeCell ref="C3:C5"/>
    <mergeCell ref="B6:B8"/>
    <mergeCell ref="C6:C8"/>
  </mergeCells>
  <hyperlinks>
    <hyperlink ref="D5" r:id="rId1" display="https://www.fao.org/3/Y0900E/y0900e04.htm" xr:uid="{50E523AB-70D0-445D-B3AC-76A0A2DF377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B619A-FD62-49B5-85E8-14CE03BCC9F1}">
  <dimension ref="A1:AZ58"/>
  <sheetViews>
    <sheetView topLeftCell="AD1" zoomScale="80" zoomScaleNormal="80" workbookViewId="0">
      <selection activeCell="AB9" sqref="AB9"/>
    </sheetView>
  </sheetViews>
  <sheetFormatPr defaultRowHeight="14.5" x14ac:dyDescent="0.35"/>
  <cols>
    <col min="1" max="1" width="15.1796875" hidden="1" customWidth="1"/>
    <col min="2" max="2" width="15.1796875" customWidth="1"/>
    <col min="3" max="3" width="29.81640625" customWidth="1"/>
    <col min="4" max="4" width="16.81640625" hidden="1" customWidth="1"/>
    <col min="5" max="5" width="13.453125" hidden="1" customWidth="1"/>
    <col min="6" max="6" width="13.1796875" hidden="1" customWidth="1"/>
    <col min="7" max="7" width="11.1796875" hidden="1" customWidth="1"/>
    <col min="8" max="8" width="10.26953125" hidden="1" customWidth="1"/>
    <col min="9" max="9" width="14.81640625" hidden="1" customWidth="1"/>
    <col min="10" max="10" width="11.453125" hidden="1" customWidth="1"/>
    <col min="11" max="12" width="13.81640625" hidden="1" customWidth="1"/>
    <col min="13" max="13" width="17" hidden="1" customWidth="1"/>
    <col min="14" max="14" width="19.54296875" hidden="1" customWidth="1"/>
    <col min="15" max="15" width="15.26953125" hidden="1" customWidth="1"/>
    <col min="16" max="16" width="16.81640625" hidden="1" customWidth="1"/>
    <col min="17" max="19" width="14" hidden="1" customWidth="1"/>
    <col min="20" max="20" width="17.26953125" hidden="1" customWidth="1"/>
    <col min="21" max="21" width="17.90625" hidden="1" customWidth="1"/>
    <col min="22" max="22" width="14.453125" hidden="1" customWidth="1"/>
    <col min="23" max="23" width="19.36328125" hidden="1" customWidth="1"/>
    <col min="24" max="24" width="26" customWidth="1"/>
    <col min="25" max="25" width="14.6328125" customWidth="1"/>
    <col min="52" max="52" width="11.453125" customWidth="1"/>
  </cols>
  <sheetData>
    <row r="1" spans="1:52" x14ac:dyDescent="0.35">
      <c r="O1" s="1"/>
      <c r="P1" s="1"/>
      <c r="Q1" s="1"/>
      <c r="R1" s="1"/>
      <c r="S1" s="1"/>
      <c r="T1" s="1"/>
      <c r="U1" s="1"/>
      <c r="V1" s="1"/>
      <c r="W1" s="1"/>
    </row>
    <row r="2" spans="1:52" ht="21.65" customHeight="1" x14ac:dyDescent="0.35">
      <c r="A2" s="68" t="s">
        <v>73</v>
      </c>
      <c r="B2" s="69"/>
      <c r="C2" s="70"/>
      <c r="D2" s="150" t="s">
        <v>2</v>
      </c>
      <c r="E2" s="126" t="s">
        <v>3</v>
      </c>
      <c r="F2" s="127"/>
      <c r="G2" s="127"/>
      <c r="H2" s="127"/>
      <c r="I2" s="127"/>
      <c r="J2" s="127"/>
      <c r="K2" s="127"/>
      <c r="L2" s="127"/>
      <c r="M2" s="127"/>
      <c r="N2" s="128"/>
      <c r="O2" s="152" t="s">
        <v>4</v>
      </c>
      <c r="P2" s="153"/>
      <c r="Q2" s="153"/>
      <c r="R2" s="153"/>
      <c r="S2" s="153"/>
      <c r="T2" s="153"/>
      <c r="U2" s="153"/>
      <c r="V2" s="153"/>
      <c r="W2" s="153"/>
      <c r="X2" s="154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</row>
    <row r="3" spans="1:52" ht="55" customHeight="1" x14ac:dyDescent="0.35">
      <c r="A3" s="72"/>
      <c r="B3" s="73" t="s">
        <v>74</v>
      </c>
      <c r="C3" s="74" t="s">
        <v>1</v>
      </c>
      <c r="D3" s="151"/>
      <c r="E3" s="75" t="s">
        <v>5</v>
      </c>
      <c r="F3" s="76" t="s">
        <v>6</v>
      </c>
      <c r="G3" s="77" t="s">
        <v>7</v>
      </c>
      <c r="H3" s="76" t="s">
        <v>8</v>
      </c>
      <c r="I3" s="76" t="s">
        <v>9</v>
      </c>
      <c r="J3" s="77" t="s">
        <v>10</v>
      </c>
      <c r="K3" s="77" t="s">
        <v>56</v>
      </c>
      <c r="L3" s="76" t="s">
        <v>11</v>
      </c>
      <c r="M3" s="77" t="s">
        <v>12</v>
      </c>
      <c r="N3" s="78" t="s">
        <v>13</v>
      </c>
      <c r="O3" s="79" t="s">
        <v>14</v>
      </c>
      <c r="P3" s="80" t="s">
        <v>15</v>
      </c>
      <c r="Q3" s="81" t="s">
        <v>9</v>
      </c>
      <c r="R3" s="81" t="s">
        <v>16</v>
      </c>
      <c r="S3" s="81" t="s">
        <v>17</v>
      </c>
      <c r="T3" s="80" t="s">
        <v>18</v>
      </c>
      <c r="U3" s="80" t="s">
        <v>19</v>
      </c>
      <c r="V3" s="80" t="s">
        <v>75</v>
      </c>
      <c r="W3" s="80" t="s">
        <v>76</v>
      </c>
      <c r="X3" s="82" t="s">
        <v>77</v>
      </c>
      <c r="Y3" s="83" t="s">
        <v>78</v>
      </c>
      <c r="Z3" s="84">
        <v>2025</v>
      </c>
      <c r="AA3" s="84">
        <f>+Z3+1</f>
        <v>2026</v>
      </c>
      <c r="AB3" s="84">
        <f t="shared" ref="AB3:AY3" si="0">+AA3+1</f>
        <v>2027</v>
      </c>
      <c r="AC3" s="84">
        <f t="shared" si="0"/>
        <v>2028</v>
      </c>
      <c r="AD3" s="84">
        <f t="shared" si="0"/>
        <v>2029</v>
      </c>
      <c r="AE3" s="84">
        <f t="shared" si="0"/>
        <v>2030</v>
      </c>
      <c r="AF3" s="84">
        <f t="shared" si="0"/>
        <v>2031</v>
      </c>
      <c r="AG3" s="84">
        <f t="shared" si="0"/>
        <v>2032</v>
      </c>
      <c r="AH3" s="84">
        <f t="shared" si="0"/>
        <v>2033</v>
      </c>
      <c r="AI3" s="84">
        <f t="shared" si="0"/>
        <v>2034</v>
      </c>
      <c r="AJ3" s="84">
        <f t="shared" si="0"/>
        <v>2035</v>
      </c>
      <c r="AK3" s="84">
        <f t="shared" si="0"/>
        <v>2036</v>
      </c>
      <c r="AL3" s="84">
        <f t="shared" si="0"/>
        <v>2037</v>
      </c>
      <c r="AM3" s="84">
        <f t="shared" si="0"/>
        <v>2038</v>
      </c>
      <c r="AN3" s="84">
        <f t="shared" si="0"/>
        <v>2039</v>
      </c>
      <c r="AO3" s="84">
        <f t="shared" si="0"/>
        <v>2040</v>
      </c>
      <c r="AP3" s="84">
        <f t="shared" si="0"/>
        <v>2041</v>
      </c>
      <c r="AQ3" s="84">
        <f t="shared" si="0"/>
        <v>2042</v>
      </c>
      <c r="AR3" s="84">
        <f t="shared" si="0"/>
        <v>2043</v>
      </c>
      <c r="AS3" s="84">
        <f t="shared" si="0"/>
        <v>2044</v>
      </c>
      <c r="AT3" s="84">
        <f t="shared" si="0"/>
        <v>2045</v>
      </c>
      <c r="AU3" s="84">
        <f t="shared" si="0"/>
        <v>2046</v>
      </c>
      <c r="AV3" s="84">
        <f t="shared" si="0"/>
        <v>2047</v>
      </c>
      <c r="AW3" s="84">
        <f t="shared" si="0"/>
        <v>2048</v>
      </c>
      <c r="AX3" s="84">
        <f t="shared" si="0"/>
        <v>2049</v>
      </c>
      <c r="AY3" s="84">
        <f t="shared" si="0"/>
        <v>2050</v>
      </c>
      <c r="AZ3" s="85" t="s">
        <v>79</v>
      </c>
    </row>
    <row r="4" spans="1:52" ht="25" customHeight="1" x14ac:dyDescent="0.35">
      <c r="A4" s="86">
        <v>1</v>
      </c>
      <c r="B4" s="87">
        <v>1</v>
      </c>
      <c r="C4" t="s">
        <v>23</v>
      </c>
      <c r="D4" s="88">
        <v>2483770</v>
      </c>
      <c r="E4" s="20">
        <v>1098072</v>
      </c>
      <c r="F4" s="3">
        <v>65880</v>
      </c>
      <c r="G4" s="3">
        <v>43074</v>
      </c>
      <c r="H4" s="3">
        <v>0</v>
      </c>
      <c r="I4" s="3">
        <v>441218</v>
      </c>
      <c r="J4" s="3">
        <v>0</v>
      </c>
      <c r="K4" s="3">
        <v>0</v>
      </c>
      <c r="L4" s="3">
        <f>SUM(E4:K4)</f>
        <v>1648244</v>
      </c>
      <c r="M4" s="21">
        <f t="shared" ref="M4:M22" si="1">(H4*65463+K4*25463+E4*1543)*0.000023</f>
        <v>38969.477207999997</v>
      </c>
      <c r="N4" s="41">
        <f t="shared" ref="N4:N22" si="2">(F4*8222+G4*8399+I4*13227+J4*2611)*0.000023</f>
        <v>155006.990556</v>
      </c>
      <c r="O4" s="27">
        <v>785424</v>
      </c>
      <c r="P4" s="43">
        <v>81539</v>
      </c>
      <c r="Q4" s="43">
        <v>781281</v>
      </c>
      <c r="R4" s="43">
        <v>0</v>
      </c>
      <c r="S4" s="43">
        <v>0</v>
      </c>
      <c r="T4" s="43">
        <v>0</v>
      </c>
      <c r="U4" s="43">
        <f t="shared" ref="U4:U22" si="3">(Q4-I4)+(P4-F4)+O4+R4+S4+T4</f>
        <v>1141146</v>
      </c>
      <c r="V4" s="44">
        <f t="shared" ref="V4:V22" si="4">(T4*65463)*0.000023</f>
        <v>0</v>
      </c>
      <c r="W4" s="44">
        <f>(O4*3108+P4*8222+Q4*13227+S4*3174+R4*10117)*0.000023</f>
        <v>309246.85045099998</v>
      </c>
      <c r="X4" s="45">
        <f t="shared" ref="X4:X22" si="5">M4-N4-V4+W4</f>
        <v>193209.33710299997</v>
      </c>
      <c r="Y4" s="89">
        <f>+(X4/2000)*0.907185</f>
        <v>87.638306239892515</v>
      </c>
      <c r="Z4" s="89"/>
      <c r="AA4" s="89"/>
      <c r="AB4" s="89">
        <f>+AA4+(Y4*0.5)</f>
        <v>43.819153119946257</v>
      </c>
      <c r="AC4" s="89">
        <f>+AB4+(Y4*0.5)</f>
        <v>87.638306239892515</v>
      </c>
      <c r="AD4" s="89">
        <f>AC4</f>
        <v>87.638306239892515</v>
      </c>
      <c r="AE4" s="89">
        <v>87.638306239892515</v>
      </c>
      <c r="AF4" s="89">
        <v>87.638306239892515</v>
      </c>
      <c r="AG4" s="89">
        <v>87.638306239892515</v>
      </c>
      <c r="AH4" s="89">
        <v>87.638306239892515</v>
      </c>
      <c r="AI4" s="89">
        <v>87.638306239892515</v>
      </c>
      <c r="AJ4" s="89">
        <v>87.638306239892515</v>
      </c>
      <c r="AK4" s="89">
        <v>87.638306239892515</v>
      </c>
      <c r="AL4" s="89">
        <v>87.638306239892515</v>
      </c>
      <c r="AM4" s="89">
        <v>87.638306239892515</v>
      </c>
      <c r="AN4" s="89">
        <v>87.638306239892515</v>
      </c>
      <c r="AO4" s="89">
        <v>87.638306239892515</v>
      </c>
      <c r="AP4" s="89">
        <v>87.638306239892515</v>
      </c>
      <c r="AQ4" s="89">
        <v>87.638306239892515</v>
      </c>
      <c r="AR4" s="89">
        <v>87.638306239892515</v>
      </c>
      <c r="AS4" s="89">
        <v>87.638306239892515</v>
      </c>
      <c r="AT4" s="89">
        <v>87.638306239892515</v>
      </c>
      <c r="AU4" s="89">
        <v>87.638306239892515</v>
      </c>
      <c r="AV4" s="89">
        <v>87.638306239892515</v>
      </c>
      <c r="AW4" s="89">
        <v>87.638306239892515</v>
      </c>
      <c r="AX4" s="89">
        <v>87.638306239892515</v>
      </c>
      <c r="AY4" s="89">
        <v>87.638306239892515</v>
      </c>
      <c r="AZ4" s="90">
        <f t="shared" ref="AZ4:AZ15" si="6">SUM(Z4:AY4)</f>
        <v>2059.5001966374734</v>
      </c>
    </row>
    <row r="5" spans="1:52" ht="25" customHeight="1" x14ac:dyDescent="0.35">
      <c r="A5" s="86">
        <v>2</v>
      </c>
      <c r="B5" s="87">
        <f>+B4+1</f>
        <v>2</v>
      </c>
      <c r="C5" t="s">
        <v>24</v>
      </c>
      <c r="D5" s="88">
        <v>577788</v>
      </c>
      <c r="E5" s="20">
        <v>255248</v>
      </c>
      <c r="F5" s="3">
        <v>27629</v>
      </c>
      <c r="G5" s="22">
        <v>0</v>
      </c>
      <c r="H5" s="22">
        <v>0</v>
      </c>
      <c r="I5" s="3">
        <v>49078</v>
      </c>
      <c r="J5" s="3">
        <v>3001</v>
      </c>
      <c r="K5" s="3">
        <v>0</v>
      </c>
      <c r="L5" s="3">
        <f t="shared" ref="L5:L22" si="7">SUM(E5:K5)</f>
        <v>334956</v>
      </c>
      <c r="M5" s="21">
        <f t="shared" si="1"/>
        <v>9058.4962720000003</v>
      </c>
      <c r="N5" s="41">
        <f t="shared" si="2"/>
        <v>20335.586964999999</v>
      </c>
      <c r="O5" s="27">
        <v>152813</v>
      </c>
      <c r="P5" s="43">
        <v>5255</v>
      </c>
      <c r="Q5" s="43">
        <v>140659</v>
      </c>
      <c r="R5" s="43">
        <v>30552</v>
      </c>
      <c r="S5" s="43">
        <v>5677</v>
      </c>
      <c r="T5" s="43">
        <v>0</v>
      </c>
      <c r="U5" s="43">
        <f t="shared" si="3"/>
        <v>258249</v>
      </c>
      <c r="V5" s="44">
        <f t="shared" si="4"/>
        <v>0</v>
      </c>
      <c r="W5" s="44">
        <f t="shared" ref="W5:W20" si="8">(O5*3108+P5*8222+Q5*13227+S5*3174+R5*10117)*0.000023</f>
        <v>62232.465946999997</v>
      </c>
      <c r="X5" s="45">
        <f t="shared" si="5"/>
        <v>50955.375253999999</v>
      </c>
      <c r="Y5" s="89">
        <f t="shared" ref="Y5:Y22" si="9">+(X5/2000)*0.907185</f>
        <v>23.112976049899995</v>
      </c>
      <c r="Z5" s="89"/>
      <c r="AA5" s="89"/>
      <c r="AB5" s="89">
        <f>+AA5+(Y5*0.5)</f>
        <v>11.556488024949997</v>
      </c>
      <c r="AC5" s="89">
        <f>+AB5+(Y5*0.5)</f>
        <v>23.112976049899995</v>
      </c>
      <c r="AD5" s="89">
        <f t="shared" ref="AD5:AE20" si="10">AC5</f>
        <v>23.112976049899995</v>
      </c>
      <c r="AE5" s="89">
        <v>23.11</v>
      </c>
      <c r="AF5" s="89">
        <v>23.11</v>
      </c>
      <c r="AG5" s="89">
        <v>23.11</v>
      </c>
      <c r="AH5" s="89">
        <v>23.11</v>
      </c>
      <c r="AI5" s="89">
        <v>23.11</v>
      </c>
      <c r="AJ5" s="89">
        <v>23.11</v>
      </c>
      <c r="AK5" s="89">
        <v>23.11</v>
      </c>
      <c r="AL5" s="89">
        <v>23.11</v>
      </c>
      <c r="AM5" s="89">
        <v>23.11</v>
      </c>
      <c r="AN5" s="89">
        <v>23.11</v>
      </c>
      <c r="AO5" s="89">
        <v>23.11</v>
      </c>
      <c r="AP5" s="89">
        <v>23.11</v>
      </c>
      <c r="AQ5" s="89">
        <v>23.11</v>
      </c>
      <c r="AR5" s="89">
        <v>23.11</v>
      </c>
      <c r="AS5" s="89">
        <v>23.11</v>
      </c>
      <c r="AT5" s="89">
        <v>23.11</v>
      </c>
      <c r="AU5" s="89">
        <v>23.11</v>
      </c>
      <c r="AV5" s="89">
        <v>23.11</v>
      </c>
      <c r="AW5" s="89">
        <v>23.11</v>
      </c>
      <c r="AX5" s="89">
        <v>23.11</v>
      </c>
      <c r="AY5" s="89">
        <v>23.11</v>
      </c>
      <c r="AZ5" s="90">
        <f t="shared" si="6"/>
        <v>543.09244012475017</v>
      </c>
    </row>
    <row r="6" spans="1:52" ht="25" customHeight="1" x14ac:dyDescent="0.35">
      <c r="A6" s="86">
        <v>3</v>
      </c>
      <c r="B6" s="87">
        <f t="shared" ref="B6:B22" si="11">+B5+1</f>
        <v>3</v>
      </c>
      <c r="C6" t="s">
        <v>25</v>
      </c>
      <c r="D6" s="88">
        <v>1321521</v>
      </c>
      <c r="E6" s="20">
        <v>314651</v>
      </c>
      <c r="F6" s="3">
        <v>271751</v>
      </c>
      <c r="G6" s="22">
        <v>9100</v>
      </c>
      <c r="H6" s="3">
        <v>0</v>
      </c>
      <c r="I6" s="3">
        <v>107953</v>
      </c>
      <c r="J6" s="3">
        <v>126483</v>
      </c>
      <c r="K6" s="3">
        <v>24037</v>
      </c>
      <c r="L6" s="3">
        <f t="shared" si="7"/>
        <v>853975</v>
      </c>
      <c r="M6" s="21">
        <f t="shared" si="1"/>
        <v>25243.894351999999</v>
      </c>
      <c r="N6" s="41">
        <f t="shared" si="2"/>
        <v>93584.908517999997</v>
      </c>
      <c r="O6" s="27">
        <v>368311</v>
      </c>
      <c r="P6" s="43">
        <v>1799</v>
      </c>
      <c r="Q6" s="43">
        <v>339186</v>
      </c>
      <c r="R6" s="43">
        <v>140580</v>
      </c>
      <c r="S6" s="43">
        <v>4099</v>
      </c>
      <c r="T6" s="43">
        <v>0</v>
      </c>
      <c r="U6" s="43">
        <f t="shared" si="3"/>
        <v>474271</v>
      </c>
      <c r="V6" s="44">
        <f t="shared" si="4"/>
        <v>0</v>
      </c>
      <c r="W6" s="44">
        <f t="shared" si="8"/>
        <v>162866.98530199999</v>
      </c>
      <c r="X6" s="45">
        <f t="shared" si="5"/>
        <v>94525.971135999993</v>
      </c>
      <c r="Y6" s="89">
        <f t="shared" si="9"/>
        <v>42.876271562506076</v>
      </c>
      <c r="Z6" s="89"/>
      <c r="AA6" s="89"/>
      <c r="AB6" s="89">
        <f t="shared" ref="AB6:AB22" si="12">+AA6+(Y6*0.5)</f>
        <v>21.438135781253038</v>
      </c>
      <c r="AC6" s="89">
        <f>+AB6+(Y6*0.5)</f>
        <v>42.876271562506076</v>
      </c>
      <c r="AD6" s="89">
        <f t="shared" si="10"/>
        <v>42.876271562506076</v>
      </c>
      <c r="AE6" s="89">
        <v>42.88</v>
      </c>
      <c r="AF6" s="89">
        <v>42.88</v>
      </c>
      <c r="AG6" s="89">
        <v>42.88</v>
      </c>
      <c r="AH6" s="89">
        <v>42.88</v>
      </c>
      <c r="AI6" s="89">
        <v>42.88</v>
      </c>
      <c r="AJ6" s="89">
        <v>42.88</v>
      </c>
      <c r="AK6" s="89">
        <v>42.88</v>
      </c>
      <c r="AL6" s="89">
        <v>42.88</v>
      </c>
      <c r="AM6" s="89">
        <v>42.88</v>
      </c>
      <c r="AN6" s="89">
        <v>42.88</v>
      </c>
      <c r="AO6" s="89">
        <v>42.88</v>
      </c>
      <c r="AP6" s="89">
        <v>42.88</v>
      </c>
      <c r="AQ6" s="89">
        <v>42.88</v>
      </c>
      <c r="AR6" s="89">
        <v>42.88</v>
      </c>
      <c r="AS6" s="89">
        <v>42.88</v>
      </c>
      <c r="AT6" s="89">
        <v>42.88</v>
      </c>
      <c r="AU6" s="89">
        <v>42.88</v>
      </c>
      <c r="AV6" s="89">
        <v>42.88</v>
      </c>
      <c r="AW6" s="89">
        <v>42.88</v>
      </c>
      <c r="AX6" s="89">
        <v>42.88</v>
      </c>
      <c r="AY6" s="89">
        <v>42.88</v>
      </c>
      <c r="AZ6" s="90">
        <f t="shared" si="6"/>
        <v>1007.6706789062652</v>
      </c>
    </row>
    <row r="7" spans="1:52" ht="25" customHeight="1" x14ac:dyDescent="0.35">
      <c r="A7" s="86">
        <v>4</v>
      </c>
      <c r="B7" s="87">
        <f t="shared" si="11"/>
        <v>4</v>
      </c>
      <c r="C7" t="s">
        <v>26</v>
      </c>
      <c r="D7" s="88">
        <v>1242078</v>
      </c>
      <c r="E7" s="20">
        <v>521835</v>
      </c>
      <c r="F7" s="3">
        <v>78189</v>
      </c>
      <c r="G7" s="22">
        <v>121581</v>
      </c>
      <c r="H7" s="3">
        <v>0</v>
      </c>
      <c r="I7" s="3">
        <v>31016</v>
      </c>
      <c r="J7" s="3">
        <v>41962</v>
      </c>
      <c r="K7" s="3">
        <v>13341</v>
      </c>
      <c r="L7" s="3">
        <f t="shared" si="7"/>
        <v>807924</v>
      </c>
      <c r="M7" s="21">
        <f t="shared" si="1"/>
        <v>26332.545623999998</v>
      </c>
      <c r="N7" s="41">
        <f t="shared" si="2"/>
        <v>50228.324393000003</v>
      </c>
      <c r="O7" s="27">
        <v>309934</v>
      </c>
      <c r="P7" s="43">
        <v>96853</v>
      </c>
      <c r="Q7" s="43">
        <v>359655</v>
      </c>
      <c r="R7" s="43">
        <v>13292</v>
      </c>
      <c r="S7" s="43">
        <v>28190</v>
      </c>
      <c r="T7" s="43">
        <v>0</v>
      </c>
      <c r="U7" s="43">
        <f t="shared" si="3"/>
        <v>698719</v>
      </c>
      <c r="V7" s="44">
        <f t="shared" si="4"/>
        <v>0</v>
      </c>
      <c r="W7" s="44">
        <f t="shared" si="8"/>
        <v>155036.26438099999</v>
      </c>
      <c r="X7" s="45">
        <f t="shared" si="5"/>
        <v>131140.48561199999</v>
      </c>
      <c r="Y7" s="89">
        <f t="shared" si="9"/>
        <v>59.484340719961111</v>
      </c>
      <c r="Z7" s="89"/>
      <c r="AA7" s="89"/>
      <c r="AB7" s="89">
        <f t="shared" si="12"/>
        <v>29.742170359980555</v>
      </c>
      <c r="AC7" s="89">
        <f t="shared" ref="AC7:AC22" si="13">+AB7+(Y7*0.5)</f>
        <v>59.484340719961111</v>
      </c>
      <c r="AD7" s="89">
        <f t="shared" si="10"/>
        <v>59.484340719961111</v>
      </c>
      <c r="AE7" s="89">
        <v>59.484340719961111</v>
      </c>
      <c r="AF7" s="89">
        <v>59.484340719961111</v>
      </c>
      <c r="AG7" s="89">
        <v>59.484340719961111</v>
      </c>
      <c r="AH7" s="89">
        <v>59.484340719961111</v>
      </c>
      <c r="AI7" s="89">
        <v>59.484340719961111</v>
      </c>
      <c r="AJ7" s="89">
        <v>59.484340719961111</v>
      </c>
      <c r="AK7" s="89">
        <v>59.484340719961111</v>
      </c>
      <c r="AL7" s="89">
        <v>59.484340719961111</v>
      </c>
      <c r="AM7" s="89">
        <v>59.484340719961111</v>
      </c>
      <c r="AN7" s="89">
        <v>59.484340719961111</v>
      </c>
      <c r="AO7" s="89">
        <v>59.484340719961111</v>
      </c>
      <c r="AP7" s="89">
        <v>59.484340719961111</v>
      </c>
      <c r="AQ7" s="89">
        <v>59.484340719961111</v>
      </c>
      <c r="AR7" s="89">
        <v>59.484340719961111</v>
      </c>
      <c r="AS7" s="89">
        <v>59.484340719961111</v>
      </c>
      <c r="AT7" s="89">
        <v>59.484340719961111</v>
      </c>
      <c r="AU7" s="89">
        <v>59.484340719961111</v>
      </c>
      <c r="AV7" s="89">
        <v>59.484340719961111</v>
      </c>
      <c r="AW7" s="89">
        <v>59.484340719961111</v>
      </c>
      <c r="AX7" s="89">
        <v>59.484340719961111</v>
      </c>
      <c r="AY7" s="89">
        <v>59.484340719961111</v>
      </c>
      <c r="AZ7" s="90">
        <f t="shared" si="6"/>
        <v>1397.8820069190865</v>
      </c>
    </row>
    <row r="8" spans="1:52" ht="25" customHeight="1" x14ac:dyDescent="0.35">
      <c r="A8" s="86">
        <v>5</v>
      </c>
      <c r="B8" s="87">
        <f t="shared" si="11"/>
        <v>5</v>
      </c>
      <c r="C8" t="s">
        <v>27</v>
      </c>
      <c r="D8" s="88">
        <v>7310657</v>
      </c>
      <c r="E8" s="20">
        <v>3381488</v>
      </c>
      <c r="F8" s="3">
        <v>236279</v>
      </c>
      <c r="G8" s="22">
        <v>284342</v>
      </c>
      <c r="H8" s="3">
        <v>0</v>
      </c>
      <c r="I8" s="3">
        <v>634871</v>
      </c>
      <c r="J8" s="3">
        <v>0</v>
      </c>
      <c r="K8" s="3">
        <v>0</v>
      </c>
      <c r="L8" s="3">
        <f t="shared" si="7"/>
        <v>4536980</v>
      </c>
      <c r="M8" s="21">
        <f t="shared" si="1"/>
        <v>120005.627632</v>
      </c>
      <c r="N8" s="41">
        <f t="shared" si="2"/>
        <v>292751.20159900002</v>
      </c>
      <c r="O8" s="27">
        <v>2251327</v>
      </c>
      <c r="P8" s="43">
        <v>202306</v>
      </c>
      <c r="Q8" s="43">
        <v>2012492</v>
      </c>
      <c r="R8" s="43">
        <v>0</v>
      </c>
      <c r="S8" s="43">
        <v>70855</v>
      </c>
      <c r="T8" s="43">
        <v>0</v>
      </c>
      <c r="U8" s="43">
        <f t="shared" si="3"/>
        <v>3665830</v>
      </c>
      <c r="V8" s="44">
        <f t="shared" si="4"/>
        <v>0</v>
      </c>
      <c r="W8" s="44">
        <f t="shared" si="8"/>
        <v>816606.02314599999</v>
      </c>
      <c r="X8" s="45">
        <f t="shared" si="5"/>
        <v>643860.44917899999</v>
      </c>
      <c r="Y8" s="89">
        <f t="shared" si="9"/>
        <v>292.05027079422553</v>
      </c>
      <c r="Z8" s="89"/>
      <c r="AA8" s="89"/>
      <c r="AB8" s="89">
        <f t="shared" si="12"/>
        <v>146.02513539711276</v>
      </c>
      <c r="AC8" s="89">
        <f t="shared" si="13"/>
        <v>292.05027079422553</v>
      </c>
      <c r="AD8" s="89">
        <f t="shared" si="10"/>
        <v>292.05027079422553</v>
      </c>
      <c r="AE8" s="89">
        <f t="shared" si="10"/>
        <v>292.05027079422553</v>
      </c>
      <c r="AF8" s="89">
        <v>292.05027079422553</v>
      </c>
      <c r="AG8" s="89">
        <v>292.05027079422553</v>
      </c>
      <c r="AH8" s="89">
        <v>292.05027079422553</v>
      </c>
      <c r="AI8" s="89">
        <v>292.05027079422553</v>
      </c>
      <c r="AJ8" s="89">
        <v>292.05027079422553</v>
      </c>
      <c r="AK8" s="89">
        <v>292.05027079422553</v>
      </c>
      <c r="AL8" s="89">
        <v>292.05027079422553</v>
      </c>
      <c r="AM8" s="89">
        <v>292.05027079422553</v>
      </c>
      <c r="AN8" s="89">
        <v>292.05027079422553</v>
      </c>
      <c r="AO8" s="89">
        <v>292.05027079422553</v>
      </c>
      <c r="AP8" s="89">
        <v>292.05027079422553</v>
      </c>
      <c r="AQ8" s="89">
        <v>292.05027079422553</v>
      </c>
      <c r="AR8" s="89">
        <v>292.05027079422553</v>
      </c>
      <c r="AS8" s="89">
        <v>292.05027079422553</v>
      </c>
      <c r="AT8" s="89">
        <v>292.05027079422553</v>
      </c>
      <c r="AU8" s="89">
        <v>292.05027079422553</v>
      </c>
      <c r="AV8" s="89">
        <v>292.05027079422553</v>
      </c>
      <c r="AW8" s="89">
        <v>292.05027079422553</v>
      </c>
      <c r="AX8" s="89">
        <v>292.05027079422553</v>
      </c>
      <c r="AY8" s="89">
        <v>292.05027079422553</v>
      </c>
      <c r="AZ8" s="90">
        <f t="shared" si="6"/>
        <v>6863.1813636642964</v>
      </c>
    </row>
    <row r="9" spans="1:52" ht="25" customHeight="1" x14ac:dyDescent="0.35">
      <c r="A9" s="86">
        <v>6</v>
      </c>
      <c r="B9" s="87">
        <f t="shared" si="11"/>
        <v>6</v>
      </c>
      <c r="C9" t="s">
        <v>28</v>
      </c>
      <c r="D9" s="88">
        <v>831392</v>
      </c>
      <c r="E9" s="20">
        <v>209869</v>
      </c>
      <c r="F9" s="3">
        <v>90279</v>
      </c>
      <c r="G9" s="22">
        <v>30640</v>
      </c>
      <c r="H9" s="3">
        <v>0</v>
      </c>
      <c r="I9" s="3">
        <v>124010</v>
      </c>
      <c r="J9" s="3">
        <v>25305</v>
      </c>
      <c r="K9" s="3">
        <v>3671</v>
      </c>
      <c r="L9" s="3">
        <f t="shared" si="7"/>
        <v>483774</v>
      </c>
      <c r="M9" s="21">
        <f t="shared" si="1"/>
        <v>9597.9584200000008</v>
      </c>
      <c r="N9" s="41">
        <f t="shared" si="2"/>
        <v>62237.331229000003</v>
      </c>
      <c r="O9" s="27">
        <v>207891</v>
      </c>
      <c r="P9" s="43">
        <v>13340</v>
      </c>
      <c r="Q9" s="43">
        <v>171843</v>
      </c>
      <c r="R9" s="43">
        <v>90700</v>
      </c>
      <c r="S9" s="43">
        <v>0</v>
      </c>
      <c r="T9" s="43">
        <v>0</v>
      </c>
      <c r="U9" s="43">
        <f t="shared" si="3"/>
        <v>269485</v>
      </c>
      <c r="V9" s="44">
        <f t="shared" si="4"/>
        <v>0</v>
      </c>
      <c r="W9" s="44">
        <f t="shared" si="8"/>
        <v>90766.877286999996</v>
      </c>
      <c r="X9" s="45">
        <f t="shared" si="5"/>
        <v>38127.504477999995</v>
      </c>
      <c r="Y9" s="89">
        <f t="shared" si="9"/>
        <v>17.294350074937213</v>
      </c>
      <c r="Z9" s="89"/>
      <c r="AA9" s="89"/>
      <c r="AB9" s="89">
        <f t="shared" si="12"/>
        <v>8.6471750374686067</v>
      </c>
      <c r="AC9" s="89">
        <f t="shared" si="13"/>
        <v>17.294350074937213</v>
      </c>
      <c r="AD9" s="89">
        <f t="shared" si="10"/>
        <v>17.294350074937213</v>
      </c>
      <c r="AE9" s="89">
        <v>17.294350074937213</v>
      </c>
      <c r="AF9" s="89">
        <v>17.294350074937213</v>
      </c>
      <c r="AG9" s="89">
        <v>17.294350074937213</v>
      </c>
      <c r="AH9" s="89">
        <v>17.294350074937213</v>
      </c>
      <c r="AI9" s="89">
        <v>17.294350074937213</v>
      </c>
      <c r="AJ9" s="89">
        <v>17.294350074937213</v>
      </c>
      <c r="AK9" s="89">
        <v>17.294350074937213</v>
      </c>
      <c r="AL9" s="89">
        <v>17.294350074937213</v>
      </c>
      <c r="AM9" s="89">
        <v>17.294350074937213</v>
      </c>
      <c r="AN9" s="89">
        <v>17.294350074937213</v>
      </c>
      <c r="AO9" s="89">
        <v>17.294350074937213</v>
      </c>
      <c r="AP9" s="89">
        <v>17.294350074937213</v>
      </c>
      <c r="AQ9" s="89">
        <v>17.294350074937213</v>
      </c>
      <c r="AR9" s="89">
        <v>17.294350074937213</v>
      </c>
      <c r="AS9" s="89">
        <v>17.294350074937213</v>
      </c>
      <c r="AT9" s="89">
        <v>17.294350074937213</v>
      </c>
      <c r="AU9" s="89">
        <v>17.294350074937213</v>
      </c>
      <c r="AV9" s="89">
        <v>17.294350074937213</v>
      </c>
      <c r="AW9" s="89">
        <v>17.294350074937213</v>
      </c>
      <c r="AX9" s="89">
        <v>17.294350074937213</v>
      </c>
      <c r="AY9" s="89">
        <v>17.294350074937213</v>
      </c>
      <c r="AZ9" s="90">
        <f t="shared" si="6"/>
        <v>406.41722676102427</v>
      </c>
    </row>
    <row r="10" spans="1:52" ht="25" customHeight="1" x14ac:dyDescent="0.35">
      <c r="A10" s="86">
        <v>7</v>
      </c>
      <c r="B10" s="87">
        <f t="shared" si="11"/>
        <v>7</v>
      </c>
      <c r="C10" t="s">
        <v>29</v>
      </c>
      <c r="D10" s="88">
        <v>889178</v>
      </c>
      <c r="E10" s="20">
        <v>164589</v>
      </c>
      <c r="F10" s="3">
        <v>0</v>
      </c>
      <c r="G10" s="22">
        <v>0</v>
      </c>
      <c r="H10" s="3">
        <v>0</v>
      </c>
      <c r="I10" s="3">
        <v>381254</v>
      </c>
      <c r="J10" s="3">
        <v>0</v>
      </c>
      <c r="K10" s="3">
        <v>22760</v>
      </c>
      <c r="L10" s="3">
        <f t="shared" si="7"/>
        <v>568603</v>
      </c>
      <c r="M10" s="21">
        <f t="shared" si="1"/>
        <v>19170.470260999999</v>
      </c>
      <c r="N10" s="41">
        <f t="shared" si="2"/>
        <v>115985.473134</v>
      </c>
      <c r="O10" s="27">
        <v>186351</v>
      </c>
      <c r="P10" s="43">
        <v>6357</v>
      </c>
      <c r="Q10" s="43">
        <v>319769</v>
      </c>
      <c r="R10" s="43">
        <v>56126</v>
      </c>
      <c r="S10" s="43">
        <v>0</v>
      </c>
      <c r="T10" s="43">
        <v>0</v>
      </c>
      <c r="U10" s="43">
        <f t="shared" si="3"/>
        <v>187349</v>
      </c>
      <c r="V10" s="44">
        <f t="shared" si="4"/>
        <v>0</v>
      </c>
      <c r="W10" s="44">
        <f t="shared" si="8"/>
        <v>124863.721741</v>
      </c>
      <c r="X10" s="45">
        <f t="shared" si="5"/>
        <v>28048.718867999996</v>
      </c>
      <c r="Y10" s="89">
        <f t="shared" si="9"/>
        <v>12.722688513133289</v>
      </c>
      <c r="Z10" s="89"/>
      <c r="AA10" s="89"/>
      <c r="AB10" s="89">
        <f t="shared" si="12"/>
        <v>6.3613442565666443</v>
      </c>
      <c r="AC10" s="89">
        <f t="shared" si="13"/>
        <v>12.722688513133289</v>
      </c>
      <c r="AD10" s="89">
        <f t="shared" si="10"/>
        <v>12.722688513133289</v>
      </c>
      <c r="AE10" s="89">
        <v>12.722688513133289</v>
      </c>
      <c r="AF10" s="89">
        <v>12.722688513133289</v>
      </c>
      <c r="AG10" s="89">
        <v>12.722688513133289</v>
      </c>
      <c r="AH10" s="89">
        <v>12.722688513133289</v>
      </c>
      <c r="AI10" s="89">
        <v>12.722688513133289</v>
      </c>
      <c r="AJ10" s="89">
        <v>12.722688513133289</v>
      </c>
      <c r="AK10" s="89">
        <v>12.722688513133289</v>
      </c>
      <c r="AL10" s="89">
        <v>12.722688513133289</v>
      </c>
      <c r="AM10" s="89">
        <v>12.722688513133289</v>
      </c>
      <c r="AN10" s="89">
        <v>12.722688513133289</v>
      </c>
      <c r="AO10" s="89">
        <v>12.722688513133289</v>
      </c>
      <c r="AP10" s="89">
        <v>12.722688513133289</v>
      </c>
      <c r="AQ10" s="89">
        <v>12.722688513133289</v>
      </c>
      <c r="AR10" s="89">
        <v>12.722688513133289</v>
      </c>
      <c r="AS10" s="89">
        <v>12.722688513133289</v>
      </c>
      <c r="AT10" s="89">
        <v>12.722688513133289</v>
      </c>
      <c r="AU10" s="89">
        <v>12.722688513133289</v>
      </c>
      <c r="AV10" s="89">
        <v>12.722688513133289</v>
      </c>
      <c r="AW10" s="89">
        <v>12.722688513133289</v>
      </c>
      <c r="AX10" s="89">
        <v>12.722688513133289</v>
      </c>
      <c r="AY10" s="89">
        <v>12.722688513133289</v>
      </c>
      <c r="AZ10" s="90">
        <f t="shared" si="6"/>
        <v>298.98318005863217</v>
      </c>
    </row>
    <row r="11" spans="1:52" ht="25" customHeight="1" x14ac:dyDescent="0.35">
      <c r="A11" s="86">
        <v>8</v>
      </c>
      <c r="B11" s="87">
        <f t="shared" si="11"/>
        <v>8</v>
      </c>
      <c r="C11" t="s">
        <v>30</v>
      </c>
      <c r="D11" s="88">
        <v>6885089</v>
      </c>
      <c r="E11" s="20">
        <v>4108908</v>
      </c>
      <c r="F11" s="3">
        <v>75536</v>
      </c>
      <c r="G11" s="22">
        <v>42262</v>
      </c>
      <c r="H11" s="3">
        <v>0</v>
      </c>
      <c r="I11" s="3">
        <v>1187464</v>
      </c>
      <c r="J11" s="3">
        <v>0</v>
      </c>
      <c r="K11" s="3">
        <v>76966</v>
      </c>
      <c r="L11" s="3">
        <f t="shared" si="7"/>
        <v>5491136</v>
      </c>
      <c r="M11" s="21">
        <f t="shared" si="1"/>
        <v>190896.09694600001</v>
      </c>
      <c r="N11" s="41">
        <f t="shared" si="2"/>
        <v>383699.84273400001</v>
      </c>
      <c r="O11" s="27">
        <v>1684207</v>
      </c>
      <c r="P11" s="43">
        <v>612330</v>
      </c>
      <c r="Q11" s="43">
        <v>3121854</v>
      </c>
      <c r="R11" s="43">
        <v>72745</v>
      </c>
      <c r="S11" s="43">
        <v>0</v>
      </c>
      <c r="T11" s="43">
        <v>0</v>
      </c>
      <c r="U11" s="43">
        <f t="shared" si="3"/>
        <v>4228136</v>
      </c>
      <c r="V11" s="44">
        <f t="shared" si="4"/>
        <v>0</v>
      </c>
      <c r="W11" s="44">
        <f t="shared" si="8"/>
        <v>1202849.7826970001</v>
      </c>
      <c r="X11" s="45">
        <f t="shared" si="5"/>
        <v>1010046.036909</v>
      </c>
      <c r="Y11" s="89">
        <f t="shared" si="9"/>
        <v>458.14930699664558</v>
      </c>
      <c r="Z11" s="89"/>
      <c r="AA11" s="89"/>
      <c r="AB11" s="89">
        <f t="shared" si="12"/>
        <v>229.07465349832279</v>
      </c>
      <c r="AC11" s="89">
        <f t="shared" si="13"/>
        <v>458.14930699664558</v>
      </c>
      <c r="AD11" s="89">
        <f t="shared" si="10"/>
        <v>458.14930699664558</v>
      </c>
      <c r="AE11" s="89">
        <v>458.14930699664558</v>
      </c>
      <c r="AF11" s="89">
        <v>458.14930699664558</v>
      </c>
      <c r="AG11" s="89">
        <v>458.14930699664558</v>
      </c>
      <c r="AH11" s="89">
        <v>458.14930699664558</v>
      </c>
      <c r="AI11" s="89">
        <v>458.14930699664558</v>
      </c>
      <c r="AJ11" s="89">
        <v>458.14930699664558</v>
      </c>
      <c r="AK11" s="89">
        <v>458.14930699664558</v>
      </c>
      <c r="AL11" s="89">
        <v>458.14930699664558</v>
      </c>
      <c r="AM11" s="89">
        <v>458.14930699664558</v>
      </c>
      <c r="AN11" s="89">
        <v>458.14930699664558</v>
      </c>
      <c r="AO11" s="89">
        <v>458.14930699664558</v>
      </c>
      <c r="AP11" s="89">
        <v>458.14930699664558</v>
      </c>
      <c r="AQ11" s="89">
        <v>458.14930699664558</v>
      </c>
      <c r="AR11" s="89">
        <v>458.14930699664558</v>
      </c>
      <c r="AS11" s="89">
        <v>458.14930699664558</v>
      </c>
      <c r="AT11" s="89">
        <v>458.14930699664558</v>
      </c>
      <c r="AU11" s="89">
        <v>458.14930699664558</v>
      </c>
      <c r="AV11" s="89">
        <v>458.14930699664558</v>
      </c>
      <c r="AW11" s="89">
        <v>458.14930699664558</v>
      </c>
      <c r="AX11" s="89">
        <v>458.14930699664558</v>
      </c>
      <c r="AY11" s="89">
        <v>458.14930699664558</v>
      </c>
      <c r="AZ11" s="90">
        <f t="shared" si="6"/>
        <v>10766.50871442117</v>
      </c>
    </row>
    <row r="12" spans="1:52" ht="25" customHeight="1" x14ac:dyDescent="0.35">
      <c r="A12" s="86">
        <v>9</v>
      </c>
      <c r="B12" s="87">
        <f t="shared" si="11"/>
        <v>9</v>
      </c>
      <c r="C12" t="s">
        <v>31</v>
      </c>
      <c r="D12" s="88">
        <v>598294</v>
      </c>
      <c r="E12" s="20">
        <v>104894</v>
      </c>
      <c r="F12" s="3">
        <v>7546</v>
      </c>
      <c r="G12" s="22">
        <v>30057</v>
      </c>
      <c r="H12" s="23"/>
      <c r="I12" s="3">
        <v>161046</v>
      </c>
      <c r="J12" s="3">
        <v>0</v>
      </c>
      <c r="K12" s="3">
        <v>6424</v>
      </c>
      <c r="L12" s="3">
        <f t="shared" si="7"/>
        <v>309967</v>
      </c>
      <c r="M12" s="21">
        <f t="shared" si="1"/>
        <v>7484.7923419999997</v>
      </c>
      <c r="N12" s="41">
        <f t="shared" si="2"/>
        <v>56226.890131</v>
      </c>
      <c r="O12" s="27">
        <v>134733</v>
      </c>
      <c r="P12" s="43">
        <v>0</v>
      </c>
      <c r="Q12" s="43">
        <v>175234</v>
      </c>
      <c r="R12" s="43">
        <v>0</v>
      </c>
      <c r="S12" s="43">
        <v>0</v>
      </c>
      <c r="T12" s="43">
        <v>0</v>
      </c>
      <c r="U12" s="43">
        <f t="shared" si="3"/>
        <v>141375</v>
      </c>
      <c r="V12" s="44">
        <f t="shared" si="4"/>
        <v>0</v>
      </c>
      <c r="W12" s="44">
        <f t="shared" si="8"/>
        <v>62941.116485999999</v>
      </c>
      <c r="X12" s="45">
        <f t="shared" si="5"/>
        <v>14199.018697</v>
      </c>
      <c r="Y12" s="89">
        <f t="shared" si="9"/>
        <v>6.4405683883189724</v>
      </c>
      <c r="Z12" s="89"/>
      <c r="AA12" s="89"/>
      <c r="AB12" s="89">
        <f t="shared" si="12"/>
        <v>3.2202841941594862</v>
      </c>
      <c r="AC12" s="89">
        <f t="shared" si="13"/>
        <v>6.4405683883189724</v>
      </c>
      <c r="AD12" s="89">
        <f t="shared" si="10"/>
        <v>6.4405683883189724</v>
      </c>
      <c r="AE12" s="89">
        <v>6.4405683883189724</v>
      </c>
      <c r="AF12" s="89">
        <v>6.4405683883189724</v>
      </c>
      <c r="AG12" s="89">
        <v>6.4405683883189724</v>
      </c>
      <c r="AH12" s="89">
        <v>6.4405683883189724</v>
      </c>
      <c r="AI12" s="89">
        <v>6.4405683883189724</v>
      </c>
      <c r="AJ12" s="89">
        <v>6.4405683883189724</v>
      </c>
      <c r="AK12" s="89">
        <v>6.4405683883189724</v>
      </c>
      <c r="AL12" s="89">
        <v>6.4405683883189724</v>
      </c>
      <c r="AM12" s="89">
        <v>6.4405683883189724</v>
      </c>
      <c r="AN12" s="89">
        <v>6.4405683883189724</v>
      </c>
      <c r="AO12" s="89">
        <v>6.4405683883189724</v>
      </c>
      <c r="AP12" s="89">
        <v>6.4405683883189724</v>
      </c>
      <c r="AQ12" s="89">
        <v>6.4405683883189724</v>
      </c>
      <c r="AR12" s="89">
        <v>6.4405683883189724</v>
      </c>
      <c r="AS12" s="89">
        <v>6.4405683883189724</v>
      </c>
      <c r="AT12" s="89">
        <v>6.4405683883189724</v>
      </c>
      <c r="AU12" s="89">
        <v>6.4405683883189724</v>
      </c>
      <c r="AV12" s="89">
        <v>6.4405683883189724</v>
      </c>
      <c r="AW12" s="89">
        <v>6.4405683883189724</v>
      </c>
      <c r="AX12" s="89">
        <v>6.4405683883189724</v>
      </c>
      <c r="AY12" s="89">
        <v>6.4405683883189724</v>
      </c>
      <c r="AZ12" s="90">
        <f t="shared" si="6"/>
        <v>151.35335712549593</v>
      </c>
    </row>
    <row r="13" spans="1:52" ht="25" customHeight="1" x14ac:dyDescent="0.35">
      <c r="A13" s="86">
        <v>10</v>
      </c>
      <c r="B13" s="87">
        <f t="shared" si="11"/>
        <v>10</v>
      </c>
      <c r="C13" t="s">
        <v>32</v>
      </c>
      <c r="D13" s="88">
        <f>2555510-D20</f>
        <v>1967250</v>
      </c>
      <c r="E13" s="24">
        <f>763961-E20</f>
        <v>626023</v>
      </c>
      <c r="F13" s="23">
        <v>98961</v>
      </c>
      <c r="G13" s="23">
        <v>374489</v>
      </c>
      <c r="H13" s="23">
        <f>494109-450322</f>
        <v>43787</v>
      </c>
      <c r="I13" s="23">
        <v>229178</v>
      </c>
      <c r="J13" s="3">
        <v>0</v>
      </c>
      <c r="K13" s="3">
        <v>0</v>
      </c>
      <c r="L13" s="3">
        <f t="shared" ref="L13" si="14">SUM(E13:K13)</f>
        <v>1372438</v>
      </c>
      <c r="M13" s="21">
        <f t="shared" si="1"/>
        <v>88144.783009999999</v>
      </c>
      <c r="N13" s="41">
        <f t="shared" si="2"/>
        <v>160777.54075700001</v>
      </c>
      <c r="O13" s="27">
        <v>475712</v>
      </c>
      <c r="P13" s="43">
        <v>166331</v>
      </c>
      <c r="Q13" s="43">
        <f>553106-Q20</f>
        <v>402518</v>
      </c>
      <c r="R13" s="43">
        <f>315227</f>
        <v>315227</v>
      </c>
      <c r="S13" s="43">
        <v>0</v>
      </c>
      <c r="T13" s="43"/>
      <c r="U13" s="43">
        <f t="shared" si="3"/>
        <v>1031649</v>
      </c>
      <c r="V13" s="44">
        <f t="shared" si="4"/>
        <v>0</v>
      </c>
      <c r="W13" s="44">
        <f t="shared" si="8"/>
        <v>261264.901029</v>
      </c>
      <c r="X13" s="45">
        <f t="shared" si="5"/>
        <v>188632.14328199998</v>
      </c>
      <c r="Y13" s="89">
        <f t="shared" si="9"/>
        <v>85.562125451640583</v>
      </c>
      <c r="Z13" s="89"/>
      <c r="AA13" s="89"/>
      <c r="AB13" s="89">
        <f t="shared" si="12"/>
        <v>42.781062725820291</v>
      </c>
      <c r="AC13" s="89">
        <f t="shared" si="13"/>
        <v>85.562125451640583</v>
      </c>
      <c r="AD13" s="89">
        <f t="shared" si="10"/>
        <v>85.562125451640583</v>
      </c>
      <c r="AE13" s="89">
        <v>85.562125451640583</v>
      </c>
      <c r="AF13" s="89">
        <v>85.562125451640583</v>
      </c>
      <c r="AG13" s="89">
        <v>85.562125451640583</v>
      </c>
      <c r="AH13" s="89">
        <v>85.562125451640583</v>
      </c>
      <c r="AI13" s="89">
        <v>85.562125451640583</v>
      </c>
      <c r="AJ13" s="89">
        <v>85.562125451640583</v>
      </c>
      <c r="AK13" s="89">
        <v>85.562125451640583</v>
      </c>
      <c r="AL13" s="89">
        <v>85.562125451640583</v>
      </c>
      <c r="AM13" s="89">
        <v>85.562125451640583</v>
      </c>
      <c r="AN13" s="89">
        <v>85.562125451640583</v>
      </c>
      <c r="AO13" s="89">
        <v>85.562125451640583</v>
      </c>
      <c r="AP13" s="89">
        <v>85.562125451640583</v>
      </c>
      <c r="AQ13" s="89">
        <v>85.562125451640583</v>
      </c>
      <c r="AR13" s="89">
        <v>85.562125451640583</v>
      </c>
      <c r="AS13" s="89">
        <v>85.562125451640583</v>
      </c>
      <c r="AT13" s="89">
        <v>85.562125451640583</v>
      </c>
      <c r="AU13" s="89">
        <v>85.562125451640583</v>
      </c>
      <c r="AV13" s="89">
        <v>85.562125451640583</v>
      </c>
      <c r="AW13" s="89">
        <v>85.562125451640583</v>
      </c>
      <c r="AX13" s="89">
        <v>85.562125451640583</v>
      </c>
      <c r="AY13" s="89">
        <v>85.562125451640583</v>
      </c>
      <c r="AZ13" s="90">
        <f t="shared" si="6"/>
        <v>2010.7099481135544</v>
      </c>
    </row>
    <row r="14" spans="1:52" ht="25" customHeight="1" x14ac:dyDescent="0.35">
      <c r="A14" s="86">
        <v>11</v>
      </c>
      <c r="B14" s="87">
        <f t="shared" si="11"/>
        <v>11</v>
      </c>
      <c r="C14" t="s">
        <v>33</v>
      </c>
      <c r="D14" s="88">
        <v>1557937</v>
      </c>
      <c r="E14" s="20">
        <v>390406</v>
      </c>
      <c r="F14" s="3">
        <v>30961</v>
      </c>
      <c r="G14" s="22">
        <v>0</v>
      </c>
      <c r="H14" s="3">
        <v>0</v>
      </c>
      <c r="I14" s="3">
        <v>595873</v>
      </c>
      <c r="J14" s="3">
        <v>22376</v>
      </c>
      <c r="K14" s="3">
        <v>0</v>
      </c>
      <c r="L14" s="3">
        <f t="shared" si="7"/>
        <v>1039616</v>
      </c>
      <c r="M14" s="21">
        <f t="shared" si="1"/>
        <v>13855.118533999999</v>
      </c>
      <c r="N14" s="41">
        <f t="shared" si="2"/>
        <v>188475.73672700001</v>
      </c>
      <c r="O14" s="27">
        <v>345381</v>
      </c>
      <c r="P14" s="43">
        <v>148327</v>
      </c>
      <c r="Q14" s="43">
        <v>545908</v>
      </c>
      <c r="R14" s="43">
        <v>0</v>
      </c>
      <c r="S14" s="43">
        <v>0</v>
      </c>
      <c r="T14" s="43">
        <v>0</v>
      </c>
      <c r="U14" s="43">
        <f t="shared" si="3"/>
        <v>412782</v>
      </c>
      <c r="V14" s="44">
        <f t="shared" si="4"/>
        <v>0</v>
      </c>
      <c r="W14" s="44">
        <f t="shared" si="8"/>
        <v>218815.41873400001</v>
      </c>
      <c r="X14" s="45">
        <f t="shared" si="5"/>
        <v>44194.800541000004</v>
      </c>
      <c r="Y14" s="89">
        <f t="shared" si="9"/>
        <v>20.046430064393547</v>
      </c>
      <c r="Z14" s="89"/>
      <c r="AA14" s="89"/>
      <c r="AB14" s="89">
        <f t="shared" si="12"/>
        <v>10.023215032196774</v>
      </c>
      <c r="AC14" s="89">
        <f t="shared" si="13"/>
        <v>20.046430064393547</v>
      </c>
      <c r="AD14" s="89">
        <f t="shared" si="10"/>
        <v>20.046430064393547</v>
      </c>
      <c r="AE14" s="89">
        <v>20.046430064393547</v>
      </c>
      <c r="AF14" s="89">
        <v>20.046430064393547</v>
      </c>
      <c r="AG14" s="89">
        <v>20.046430064393547</v>
      </c>
      <c r="AH14" s="89">
        <v>20.046430064393547</v>
      </c>
      <c r="AI14" s="89">
        <v>20.046430064393547</v>
      </c>
      <c r="AJ14" s="89">
        <v>20.046430064393547</v>
      </c>
      <c r="AK14" s="89">
        <v>20.046430064393547</v>
      </c>
      <c r="AL14" s="89">
        <v>20.046430064393547</v>
      </c>
      <c r="AM14" s="89">
        <v>20.046430064393547</v>
      </c>
      <c r="AN14" s="89">
        <v>20.046430064393547</v>
      </c>
      <c r="AO14" s="89">
        <v>20.046430064393547</v>
      </c>
      <c r="AP14" s="89">
        <v>20.046430064393547</v>
      </c>
      <c r="AQ14" s="89">
        <v>20.046430064393547</v>
      </c>
      <c r="AR14" s="89">
        <v>20.046430064393547</v>
      </c>
      <c r="AS14" s="89">
        <v>20.046430064393547</v>
      </c>
      <c r="AT14" s="89">
        <v>20.046430064393547</v>
      </c>
      <c r="AU14" s="89">
        <v>20.046430064393547</v>
      </c>
      <c r="AV14" s="89">
        <v>20.046430064393547</v>
      </c>
      <c r="AW14" s="89">
        <v>20.046430064393547</v>
      </c>
      <c r="AX14" s="89">
        <v>20.046430064393547</v>
      </c>
      <c r="AY14" s="89">
        <v>20.046430064393547</v>
      </c>
      <c r="AZ14" s="90">
        <f t="shared" si="6"/>
        <v>471.09110651324863</v>
      </c>
    </row>
    <row r="15" spans="1:52" ht="25" customHeight="1" x14ac:dyDescent="0.35">
      <c r="A15" s="86">
        <v>12</v>
      </c>
      <c r="B15" s="87">
        <f t="shared" si="11"/>
        <v>12</v>
      </c>
      <c r="C15" t="s">
        <v>34</v>
      </c>
      <c r="D15" s="88">
        <v>2355678</v>
      </c>
      <c r="E15" s="20">
        <v>1340072</v>
      </c>
      <c r="F15" s="3">
        <v>40745</v>
      </c>
      <c r="G15" s="22">
        <v>68755</v>
      </c>
      <c r="H15" s="3">
        <v>0</v>
      </c>
      <c r="I15" s="3">
        <v>364709</v>
      </c>
      <c r="J15" s="3">
        <v>0</v>
      </c>
      <c r="K15" s="23"/>
      <c r="L15" s="3">
        <f t="shared" si="7"/>
        <v>1814281</v>
      </c>
      <c r="M15" s="21">
        <f t="shared" si="1"/>
        <v>47557.815208</v>
      </c>
      <c r="N15" s="41">
        <f t="shared" si="2"/>
        <v>131939.14529399999</v>
      </c>
      <c r="O15" s="27">
        <v>625273</v>
      </c>
      <c r="P15" s="43">
        <v>320564</v>
      </c>
      <c r="Q15" s="43">
        <v>868444</v>
      </c>
      <c r="R15" s="43">
        <v>0</v>
      </c>
      <c r="S15" s="43">
        <v>0</v>
      </c>
      <c r="T15" s="43">
        <v>0</v>
      </c>
      <c r="U15" s="43">
        <f t="shared" si="3"/>
        <v>1408827</v>
      </c>
      <c r="V15" s="44">
        <f t="shared" si="4"/>
        <v>0</v>
      </c>
      <c r="W15" s="44">
        <f t="shared" si="8"/>
        <v>369516.49303999997</v>
      </c>
      <c r="X15" s="45">
        <f t="shared" si="5"/>
        <v>285135.162954</v>
      </c>
      <c r="Y15" s="89">
        <f t="shared" si="9"/>
        <v>129.33517140221224</v>
      </c>
      <c r="Z15" s="89"/>
      <c r="AA15" s="89"/>
      <c r="AB15" s="89">
        <f t="shared" si="12"/>
        <v>64.66758570110612</v>
      </c>
      <c r="AC15" s="89">
        <f t="shared" si="13"/>
        <v>129.33517140221224</v>
      </c>
      <c r="AD15" s="89">
        <f t="shared" si="10"/>
        <v>129.33517140221224</v>
      </c>
      <c r="AE15" s="89">
        <v>129.33517140221224</v>
      </c>
      <c r="AF15" s="89">
        <v>129.33517140221224</v>
      </c>
      <c r="AG15" s="89">
        <v>129.33517140221224</v>
      </c>
      <c r="AH15" s="89">
        <v>129.33517140221224</v>
      </c>
      <c r="AI15" s="89">
        <v>129.33517140221224</v>
      </c>
      <c r="AJ15" s="89">
        <v>129.33517140221224</v>
      </c>
      <c r="AK15" s="89">
        <v>129.33517140221224</v>
      </c>
      <c r="AL15" s="89">
        <v>129.33517140221224</v>
      </c>
      <c r="AM15" s="89">
        <v>129.33517140221224</v>
      </c>
      <c r="AN15" s="89">
        <v>129.33517140221224</v>
      </c>
      <c r="AO15" s="89">
        <v>129.33517140221224</v>
      </c>
      <c r="AP15" s="89">
        <v>129.33517140221224</v>
      </c>
      <c r="AQ15" s="89">
        <v>129.33517140221224</v>
      </c>
      <c r="AR15" s="89">
        <v>129.33517140221224</v>
      </c>
      <c r="AS15" s="89">
        <v>129.33517140221224</v>
      </c>
      <c r="AT15" s="89">
        <v>129.33517140221224</v>
      </c>
      <c r="AU15" s="89">
        <v>129.33517140221224</v>
      </c>
      <c r="AV15" s="89">
        <v>129.33517140221224</v>
      </c>
      <c r="AW15" s="89">
        <v>129.33517140221224</v>
      </c>
      <c r="AX15" s="89">
        <v>129.33517140221224</v>
      </c>
      <c r="AY15" s="89">
        <v>129.33517140221224</v>
      </c>
      <c r="AZ15" s="90">
        <f t="shared" si="6"/>
        <v>3039.376527951988</v>
      </c>
    </row>
    <row r="16" spans="1:52" ht="25" customHeight="1" x14ac:dyDescent="0.35">
      <c r="A16" s="86">
        <v>13</v>
      </c>
      <c r="B16" s="87">
        <f t="shared" si="11"/>
        <v>13</v>
      </c>
      <c r="C16" t="s">
        <v>35</v>
      </c>
      <c r="D16" s="88">
        <v>1929955</v>
      </c>
      <c r="E16" s="20">
        <v>984932</v>
      </c>
      <c r="F16" s="3">
        <v>0</v>
      </c>
      <c r="G16" s="22">
        <v>0</v>
      </c>
      <c r="H16" s="3">
        <v>0</v>
      </c>
      <c r="I16" s="3">
        <v>387227</v>
      </c>
      <c r="J16" s="3">
        <v>0</v>
      </c>
      <c r="K16" s="3">
        <v>0</v>
      </c>
      <c r="L16" s="3">
        <f t="shared" si="7"/>
        <v>1372159</v>
      </c>
      <c r="M16" s="21">
        <f t="shared" si="1"/>
        <v>34954.251748000002</v>
      </c>
      <c r="N16" s="41">
        <f t="shared" si="2"/>
        <v>117802.585167</v>
      </c>
      <c r="O16" s="27">
        <v>476086</v>
      </c>
      <c r="P16" s="43">
        <v>296526</v>
      </c>
      <c r="Q16" s="43">
        <v>599547</v>
      </c>
      <c r="R16" s="43">
        <v>0</v>
      </c>
      <c r="S16" s="43">
        <v>0</v>
      </c>
      <c r="T16" s="43">
        <v>0</v>
      </c>
      <c r="U16" s="43">
        <f t="shared" si="3"/>
        <v>984932</v>
      </c>
      <c r="V16" s="44">
        <f t="shared" si="4"/>
        <v>0</v>
      </c>
      <c r="W16" s="44">
        <f t="shared" si="8"/>
        <v>272502.16526699997</v>
      </c>
      <c r="X16" s="45">
        <f t="shared" si="5"/>
        <v>189653.83184799997</v>
      </c>
      <c r="Y16" s="89">
        <f t="shared" si="9"/>
        <v>86.025555722513928</v>
      </c>
      <c r="Z16" s="89"/>
      <c r="AA16" s="89"/>
      <c r="AB16" s="89">
        <f t="shared" si="12"/>
        <v>43.012777861256964</v>
      </c>
      <c r="AC16" s="89">
        <f t="shared" si="13"/>
        <v>86.025555722513928</v>
      </c>
      <c r="AD16" s="89">
        <f t="shared" si="10"/>
        <v>86.025555722513928</v>
      </c>
      <c r="AE16" s="89">
        <v>86.025555722513928</v>
      </c>
      <c r="AF16" s="89">
        <v>86.025555722513928</v>
      </c>
      <c r="AG16" s="89">
        <v>86.025555722513928</v>
      </c>
      <c r="AH16" s="89">
        <v>86.025555722513928</v>
      </c>
      <c r="AI16" s="89">
        <v>86.025555722513928</v>
      </c>
      <c r="AJ16" s="89">
        <v>86.025555722513928</v>
      </c>
      <c r="AK16" s="89">
        <v>86.025555722513928</v>
      </c>
      <c r="AL16" s="89">
        <v>86.025555722513928</v>
      </c>
      <c r="AM16" s="89">
        <v>86.025555722513928</v>
      </c>
      <c r="AN16" s="89">
        <v>86.025555722513928</v>
      </c>
      <c r="AO16" s="89">
        <v>86.025555722513928</v>
      </c>
      <c r="AP16" s="89">
        <v>86.025555722513928</v>
      </c>
      <c r="AQ16" s="89">
        <v>86.025555722513928</v>
      </c>
      <c r="AR16" s="89">
        <v>86.025555722513928</v>
      </c>
      <c r="AS16" s="89">
        <v>86.025555722513928</v>
      </c>
      <c r="AT16" s="89">
        <v>86.025555722513928</v>
      </c>
      <c r="AU16" s="89">
        <v>86.025555722513928</v>
      </c>
      <c r="AV16" s="89">
        <v>86.025555722513928</v>
      </c>
      <c r="AW16" s="89">
        <v>86.025555722513928</v>
      </c>
      <c r="AX16" s="89">
        <v>86.025555722513928</v>
      </c>
      <c r="AY16" s="89">
        <v>86.025555722513928</v>
      </c>
      <c r="AZ16" s="90">
        <f t="shared" ref="AZ16:AZ22" si="15">SUM(Z16:AY16)</f>
        <v>2021.6005594790768</v>
      </c>
    </row>
    <row r="17" spans="1:52" ht="25" customHeight="1" x14ac:dyDescent="0.35">
      <c r="A17" s="86">
        <v>14</v>
      </c>
      <c r="B17" s="87">
        <f t="shared" si="11"/>
        <v>14</v>
      </c>
      <c r="C17" t="s">
        <v>36</v>
      </c>
      <c r="D17" s="88">
        <v>2225834</v>
      </c>
      <c r="E17" s="20">
        <v>887795</v>
      </c>
      <c r="F17" s="3">
        <v>0</v>
      </c>
      <c r="G17" s="22">
        <v>33228</v>
      </c>
      <c r="H17" s="3">
        <v>0</v>
      </c>
      <c r="I17" s="3">
        <v>670586</v>
      </c>
      <c r="J17" s="3">
        <v>0</v>
      </c>
      <c r="K17" s="3">
        <v>0</v>
      </c>
      <c r="L17" s="3">
        <v>0</v>
      </c>
      <c r="M17" s="21">
        <f t="shared" si="1"/>
        <v>31506.956754999999</v>
      </c>
      <c r="N17" s="41">
        <f t="shared" si="2"/>
        <v>210425.22886199999</v>
      </c>
      <c r="O17" s="27">
        <v>561065</v>
      </c>
      <c r="P17" s="43">
        <v>360625</v>
      </c>
      <c r="Q17" s="43">
        <v>669919</v>
      </c>
      <c r="R17" s="43">
        <v>0</v>
      </c>
      <c r="S17" s="43">
        <v>0</v>
      </c>
      <c r="T17" s="43">
        <v>0</v>
      </c>
      <c r="U17" s="43">
        <f t="shared" si="3"/>
        <v>921023</v>
      </c>
      <c r="V17" s="44">
        <f t="shared" si="4"/>
        <v>0</v>
      </c>
      <c r="W17" s="44">
        <f t="shared" si="8"/>
        <v>312106.94980900001</v>
      </c>
      <c r="X17" s="45">
        <f t="shared" si="5"/>
        <v>133188.67770200002</v>
      </c>
      <c r="Y17" s="89">
        <f t="shared" si="9"/>
        <v>60.41338529054444</v>
      </c>
      <c r="Z17" s="89"/>
      <c r="AA17" s="89"/>
      <c r="AB17" s="89">
        <f t="shared" si="12"/>
        <v>30.20669264527222</v>
      </c>
      <c r="AC17" s="89">
        <f t="shared" si="13"/>
        <v>60.41338529054444</v>
      </c>
      <c r="AD17" s="89">
        <f t="shared" si="10"/>
        <v>60.41338529054444</v>
      </c>
      <c r="AE17" s="89">
        <v>60.41338529054444</v>
      </c>
      <c r="AF17" s="89">
        <v>60.41338529054444</v>
      </c>
      <c r="AG17" s="89">
        <v>60.41338529054444</v>
      </c>
      <c r="AH17" s="89">
        <v>60.41338529054444</v>
      </c>
      <c r="AI17" s="89">
        <v>60.41338529054444</v>
      </c>
      <c r="AJ17" s="89">
        <v>60.41338529054444</v>
      </c>
      <c r="AK17" s="89">
        <v>60.41338529054444</v>
      </c>
      <c r="AL17" s="89">
        <v>60.41338529054444</v>
      </c>
      <c r="AM17" s="89">
        <v>60.41338529054444</v>
      </c>
      <c r="AN17" s="89">
        <v>60.41338529054444</v>
      </c>
      <c r="AO17" s="89">
        <v>60.41338529054444</v>
      </c>
      <c r="AP17" s="89">
        <v>60.41338529054444</v>
      </c>
      <c r="AQ17" s="89">
        <v>60.41338529054444</v>
      </c>
      <c r="AR17" s="89">
        <v>60.41338529054444</v>
      </c>
      <c r="AS17" s="89">
        <v>60.41338529054444</v>
      </c>
      <c r="AT17" s="89">
        <v>60.41338529054444</v>
      </c>
      <c r="AU17" s="89">
        <v>60.41338529054444</v>
      </c>
      <c r="AV17" s="89">
        <v>60.41338529054444</v>
      </c>
      <c r="AW17" s="89">
        <v>60.41338529054444</v>
      </c>
      <c r="AX17" s="89">
        <v>60.41338529054444</v>
      </c>
      <c r="AY17" s="89">
        <v>60.41338529054444</v>
      </c>
      <c r="AZ17" s="90">
        <f t="shared" si="15"/>
        <v>1419.7145543277945</v>
      </c>
    </row>
    <row r="18" spans="1:52" ht="25" customHeight="1" x14ac:dyDescent="0.35">
      <c r="A18" s="86">
        <v>15</v>
      </c>
      <c r="B18" s="87">
        <f t="shared" si="11"/>
        <v>15</v>
      </c>
      <c r="C18" t="s">
        <v>37</v>
      </c>
      <c r="D18" s="88">
        <v>1268524</v>
      </c>
      <c r="E18" s="20">
        <v>448536</v>
      </c>
      <c r="F18" s="3">
        <v>21981</v>
      </c>
      <c r="G18" s="22">
        <v>0</v>
      </c>
      <c r="H18" s="3">
        <v>0</v>
      </c>
      <c r="I18" s="3">
        <v>404897</v>
      </c>
      <c r="J18" s="3">
        <v>0</v>
      </c>
      <c r="K18" s="3">
        <v>22824</v>
      </c>
      <c r="L18" s="3">
        <f t="shared" si="7"/>
        <v>898238</v>
      </c>
      <c r="M18" s="21">
        <f t="shared" si="1"/>
        <v>29284.94688</v>
      </c>
      <c r="N18" s="41">
        <f t="shared" si="2"/>
        <v>127334.909223</v>
      </c>
      <c r="O18" s="27">
        <v>245377</v>
      </c>
      <c r="P18" s="43">
        <v>203787</v>
      </c>
      <c r="Q18" s="43">
        <v>449074</v>
      </c>
      <c r="R18" s="43">
        <v>0</v>
      </c>
      <c r="S18" s="43">
        <v>0</v>
      </c>
      <c r="T18" s="43">
        <v>0</v>
      </c>
      <c r="U18" s="43">
        <f t="shared" si="3"/>
        <v>471360</v>
      </c>
      <c r="V18" s="44">
        <f t="shared" si="4"/>
        <v>0</v>
      </c>
      <c r="W18" s="44">
        <f t="shared" si="8"/>
        <v>192695.61524399999</v>
      </c>
      <c r="X18" s="45">
        <f t="shared" si="5"/>
        <v>94645.652900999994</v>
      </c>
      <c r="Y18" s="89">
        <f t="shared" si="9"/>
        <v>42.930558313496839</v>
      </c>
      <c r="Z18" s="89"/>
      <c r="AA18" s="89"/>
      <c r="AB18" s="89">
        <f t="shared" si="12"/>
        <v>21.465279156748419</v>
      </c>
      <c r="AC18" s="89">
        <f t="shared" si="13"/>
        <v>42.930558313496839</v>
      </c>
      <c r="AD18" s="89">
        <f t="shared" si="10"/>
        <v>42.930558313496839</v>
      </c>
      <c r="AE18" s="89">
        <v>42.930558313496839</v>
      </c>
      <c r="AF18" s="89">
        <v>42.930558313496839</v>
      </c>
      <c r="AG18" s="89">
        <v>42.930558313496839</v>
      </c>
      <c r="AH18" s="89">
        <v>42.930558313496839</v>
      </c>
      <c r="AI18" s="89">
        <v>42.930558313496839</v>
      </c>
      <c r="AJ18" s="89">
        <v>42.930558313496839</v>
      </c>
      <c r="AK18" s="89">
        <v>42.930558313496839</v>
      </c>
      <c r="AL18" s="89">
        <v>42.930558313496839</v>
      </c>
      <c r="AM18" s="89">
        <v>42.930558313496839</v>
      </c>
      <c r="AN18" s="89">
        <v>42.930558313496839</v>
      </c>
      <c r="AO18" s="89">
        <v>42.930558313496839</v>
      </c>
      <c r="AP18" s="89">
        <v>42.930558313496839</v>
      </c>
      <c r="AQ18" s="89">
        <v>42.930558313496839</v>
      </c>
      <c r="AR18" s="89">
        <v>42.930558313496839</v>
      </c>
      <c r="AS18" s="89">
        <v>42.930558313496839</v>
      </c>
      <c r="AT18" s="89">
        <v>42.930558313496839</v>
      </c>
      <c r="AU18" s="89">
        <v>42.930558313496839</v>
      </c>
      <c r="AV18" s="89">
        <v>42.930558313496839</v>
      </c>
      <c r="AW18" s="89">
        <v>42.930558313496839</v>
      </c>
      <c r="AX18" s="89">
        <v>42.930558313496839</v>
      </c>
      <c r="AY18" s="89">
        <v>42.930558313496839</v>
      </c>
      <c r="AZ18" s="90">
        <f t="shared" si="15"/>
        <v>1008.8681203671754</v>
      </c>
    </row>
    <row r="19" spans="1:52" ht="25" customHeight="1" x14ac:dyDescent="0.35">
      <c r="A19" s="86">
        <v>16</v>
      </c>
      <c r="B19" s="87">
        <f t="shared" si="11"/>
        <v>16</v>
      </c>
      <c r="C19" t="s">
        <v>38</v>
      </c>
      <c r="D19" s="88">
        <v>947796</v>
      </c>
      <c r="E19" s="20">
        <v>345474</v>
      </c>
      <c r="F19" s="3">
        <v>113033</v>
      </c>
      <c r="G19" s="22">
        <v>12223</v>
      </c>
      <c r="H19" s="3">
        <v>0</v>
      </c>
      <c r="I19" s="3">
        <v>65557</v>
      </c>
      <c r="J19" s="3">
        <v>19999</v>
      </c>
      <c r="K19" s="3">
        <v>5793</v>
      </c>
      <c r="L19" s="3">
        <f t="shared" si="7"/>
        <v>562079</v>
      </c>
      <c r="M19" s="21">
        <f t="shared" si="1"/>
        <v>15653.191443</v>
      </c>
      <c r="N19" s="41">
        <f t="shared" si="2"/>
        <v>44881.237012999998</v>
      </c>
      <c r="O19" s="27">
        <v>268735</v>
      </c>
      <c r="P19" s="43">
        <v>22735</v>
      </c>
      <c r="Q19" s="43">
        <v>246356</v>
      </c>
      <c r="R19" s="43">
        <v>24253</v>
      </c>
      <c r="S19" s="43">
        <v>0</v>
      </c>
      <c r="T19" s="43">
        <v>0</v>
      </c>
      <c r="U19" s="43">
        <f t="shared" si="3"/>
        <v>383489</v>
      </c>
      <c r="V19" s="44">
        <f t="shared" si="4"/>
        <v>0</v>
      </c>
      <c r="W19" s="44">
        <f t="shared" si="8"/>
        <v>104099.701149</v>
      </c>
      <c r="X19" s="45">
        <f t="shared" si="5"/>
        <v>74871.655578999998</v>
      </c>
      <c r="Y19" s="89">
        <f t="shared" si="9"/>
        <v>33.961221433217553</v>
      </c>
      <c r="Z19" s="89"/>
      <c r="AA19" s="89"/>
      <c r="AB19" s="89">
        <f t="shared" si="12"/>
        <v>16.980610716608776</v>
      </c>
      <c r="AC19" s="89">
        <f t="shared" si="13"/>
        <v>33.961221433217553</v>
      </c>
      <c r="AD19" s="89">
        <f t="shared" si="10"/>
        <v>33.961221433217553</v>
      </c>
      <c r="AE19" s="89">
        <v>33.961221433217553</v>
      </c>
      <c r="AF19" s="89">
        <v>33.961221433217553</v>
      </c>
      <c r="AG19" s="89">
        <v>33.961221433217553</v>
      </c>
      <c r="AH19" s="89">
        <v>33.961221433217553</v>
      </c>
      <c r="AI19" s="89">
        <v>33.961221433217553</v>
      </c>
      <c r="AJ19" s="89">
        <v>33.961221433217553</v>
      </c>
      <c r="AK19" s="89">
        <v>33.961221433217553</v>
      </c>
      <c r="AL19" s="89">
        <v>33.961221433217553</v>
      </c>
      <c r="AM19" s="89">
        <v>33.961221433217553</v>
      </c>
      <c r="AN19" s="89">
        <v>33.961221433217553</v>
      </c>
      <c r="AO19" s="89">
        <v>33.961221433217553</v>
      </c>
      <c r="AP19" s="89">
        <v>33.961221433217553</v>
      </c>
      <c r="AQ19" s="89">
        <v>33.961221433217553</v>
      </c>
      <c r="AR19" s="89">
        <v>33.961221433217553</v>
      </c>
      <c r="AS19" s="89">
        <v>33.961221433217553</v>
      </c>
      <c r="AT19" s="89">
        <v>33.961221433217553</v>
      </c>
      <c r="AU19" s="89">
        <v>33.961221433217553</v>
      </c>
      <c r="AV19" s="89">
        <v>33.961221433217553</v>
      </c>
      <c r="AW19" s="89">
        <v>33.961221433217553</v>
      </c>
      <c r="AX19" s="89">
        <v>33.961221433217553</v>
      </c>
      <c r="AY19" s="89">
        <v>33.961221433217553</v>
      </c>
      <c r="AZ19" s="90">
        <f t="shared" si="15"/>
        <v>798.08870368061264</v>
      </c>
    </row>
    <row r="20" spans="1:52" ht="25" customHeight="1" x14ac:dyDescent="0.35">
      <c r="A20" s="86">
        <v>17</v>
      </c>
      <c r="B20" s="87">
        <f t="shared" si="11"/>
        <v>17</v>
      </c>
      <c r="C20" t="s">
        <v>39</v>
      </c>
      <c r="D20" s="88">
        <f>450322+137938</f>
        <v>588260</v>
      </c>
      <c r="E20" s="20">
        <v>137938</v>
      </c>
      <c r="F20" s="23"/>
      <c r="G20" s="23"/>
      <c r="H20" s="23">
        <v>450322</v>
      </c>
      <c r="I20" s="23"/>
      <c r="J20" s="3">
        <v>0</v>
      </c>
      <c r="K20" s="3">
        <v>0</v>
      </c>
      <c r="L20" s="3">
        <f t="shared" si="7"/>
        <v>588260</v>
      </c>
      <c r="M20" s="21">
        <f t="shared" si="1"/>
        <v>682922.15066000004</v>
      </c>
      <c r="N20" s="41">
        <f t="shared" si="2"/>
        <v>0</v>
      </c>
      <c r="O20" s="27"/>
      <c r="P20" s="43"/>
      <c r="Q20" s="43">
        <v>150588</v>
      </c>
      <c r="R20" s="43">
        <v>0</v>
      </c>
      <c r="S20" s="43">
        <v>0</v>
      </c>
      <c r="T20" s="43">
        <v>437672</v>
      </c>
      <c r="U20" s="43">
        <f t="shared" si="3"/>
        <v>588260</v>
      </c>
      <c r="V20" s="44">
        <f t="shared" si="4"/>
        <v>658980.40912800003</v>
      </c>
      <c r="W20" s="44">
        <f t="shared" si="8"/>
        <v>45812.031948000003</v>
      </c>
      <c r="X20" s="45">
        <f t="shared" si="5"/>
        <v>69753.773480000018</v>
      </c>
      <c r="Y20" s="89">
        <f t="shared" si="9"/>
        <v>31.63978849722691</v>
      </c>
      <c r="Z20" s="89"/>
      <c r="AA20" s="89"/>
      <c r="AB20" s="89">
        <f t="shared" si="12"/>
        <v>15.819894248613455</v>
      </c>
      <c r="AC20" s="89">
        <f t="shared" si="13"/>
        <v>31.63978849722691</v>
      </c>
      <c r="AD20" s="89">
        <f t="shared" si="10"/>
        <v>31.63978849722691</v>
      </c>
      <c r="AE20" s="89">
        <v>31.63978849722691</v>
      </c>
      <c r="AF20" s="89">
        <v>31.63978849722691</v>
      </c>
      <c r="AG20" s="89">
        <v>31.63978849722691</v>
      </c>
      <c r="AH20" s="89">
        <v>31.63978849722691</v>
      </c>
      <c r="AI20" s="89">
        <v>31.63978849722691</v>
      </c>
      <c r="AJ20" s="89">
        <v>31.63978849722691</v>
      </c>
      <c r="AK20" s="89">
        <v>31.63978849722691</v>
      </c>
      <c r="AL20" s="89">
        <v>31.63978849722691</v>
      </c>
      <c r="AM20" s="89">
        <v>31.63978849722691</v>
      </c>
      <c r="AN20" s="89">
        <v>31.63978849722691</v>
      </c>
      <c r="AO20" s="89">
        <v>31.63978849722691</v>
      </c>
      <c r="AP20" s="89">
        <v>31.63978849722691</v>
      </c>
      <c r="AQ20" s="89">
        <v>31.63978849722691</v>
      </c>
      <c r="AR20" s="89">
        <v>31.63978849722691</v>
      </c>
      <c r="AS20" s="89">
        <v>31.63978849722691</v>
      </c>
      <c r="AT20" s="89">
        <v>31.63978849722691</v>
      </c>
      <c r="AU20" s="89">
        <v>31.63978849722691</v>
      </c>
      <c r="AV20" s="89">
        <v>31.63978849722691</v>
      </c>
      <c r="AW20" s="89">
        <v>31.63978849722691</v>
      </c>
      <c r="AX20" s="89">
        <v>31.63978849722691</v>
      </c>
      <c r="AY20" s="89">
        <v>31.63978849722691</v>
      </c>
      <c r="AZ20" s="90">
        <f t="shared" si="15"/>
        <v>743.53502968483269</v>
      </c>
    </row>
    <row r="21" spans="1:52" ht="25" customHeight="1" x14ac:dyDescent="0.35">
      <c r="A21" s="86">
        <v>18</v>
      </c>
      <c r="B21" s="87">
        <f t="shared" si="11"/>
        <v>18</v>
      </c>
      <c r="C21" t="s">
        <v>40</v>
      </c>
      <c r="D21" s="88">
        <f>71311*70</f>
        <v>4991770</v>
      </c>
      <c r="E21" s="20">
        <f>71311*70</f>
        <v>4991770</v>
      </c>
      <c r="F21" s="3">
        <v>0</v>
      </c>
      <c r="G21" s="22">
        <v>0</v>
      </c>
      <c r="H21" s="3">
        <v>0</v>
      </c>
      <c r="I21" s="22">
        <v>0</v>
      </c>
      <c r="J21" s="3">
        <v>0</v>
      </c>
      <c r="K21" s="3">
        <v>0</v>
      </c>
      <c r="L21" s="3">
        <f t="shared" ref="L21" si="16">SUM(E21:K21)</f>
        <v>4991770</v>
      </c>
      <c r="M21" s="21">
        <f t="shared" si="1"/>
        <v>177152.92553000001</v>
      </c>
      <c r="N21" s="41">
        <f t="shared" si="2"/>
        <v>0</v>
      </c>
      <c r="O21" s="27">
        <v>0</v>
      </c>
      <c r="P21" s="4">
        <f>71311*70</f>
        <v>4991770</v>
      </c>
      <c r="Q21" s="43">
        <v>0</v>
      </c>
      <c r="R21" s="43">
        <v>0</v>
      </c>
      <c r="S21" s="43">
        <v>0</v>
      </c>
      <c r="T21" s="43">
        <v>0</v>
      </c>
      <c r="U21" s="43">
        <f t="shared" si="3"/>
        <v>4991770</v>
      </c>
      <c r="V21" s="44">
        <f t="shared" si="4"/>
        <v>0</v>
      </c>
      <c r="W21" s="44">
        <f t="shared" ref="W21:W22" si="17">(O21*3108+P21*8222+Q21*13227+S21*2611+R21*10117)*0.000023</f>
        <v>943973.65761999995</v>
      </c>
      <c r="X21" s="45">
        <f t="shared" si="5"/>
        <v>1121126.5831499998</v>
      </c>
      <c r="Y21" s="89">
        <f t="shared" si="9"/>
        <v>508.53460966746627</v>
      </c>
      <c r="Z21" s="89"/>
      <c r="AA21" s="89"/>
      <c r="AB21" s="89">
        <f t="shared" si="12"/>
        <v>254.26730483373314</v>
      </c>
      <c r="AC21" s="89">
        <f t="shared" si="13"/>
        <v>508.53460966746627</v>
      </c>
      <c r="AD21" s="89">
        <f t="shared" ref="AD21:AD22" si="18">AC21</f>
        <v>508.53460966746627</v>
      </c>
      <c r="AE21" s="89">
        <v>508.53460966746627</v>
      </c>
      <c r="AF21" s="89">
        <v>508.53460966746627</v>
      </c>
      <c r="AG21" s="89">
        <v>508.53460966746627</v>
      </c>
      <c r="AH21" s="89">
        <v>508.53460966746627</v>
      </c>
      <c r="AI21" s="89">
        <v>508.53460966746627</v>
      </c>
      <c r="AJ21" s="89">
        <v>508.53460966746627</v>
      </c>
      <c r="AK21" s="89">
        <v>508.53460966746627</v>
      </c>
      <c r="AL21" s="89">
        <v>508.53460966746627</v>
      </c>
      <c r="AM21" s="89">
        <v>508.53460966746627</v>
      </c>
      <c r="AN21" s="89">
        <v>508.53460966746627</v>
      </c>
      <c r="AO21" s="89">
        <v>508.53460966746627</v>
      </c>
      <c r="AP21" s="89">
        <v>508.53460966746627</v>
      </c>
      <c r="AQ21" s="89">
        <v>508.53460966746627</v>
      </c>
      <c r="AR21" s="89">
        <v>508.53460966746627</v>
      </c>
      <c r="AS21" s="89">
        <v>508.53460966746627</v>
      </c>
      <c r="AT21" s="89">
        <v>508.53460966746627</v>
      </c>
      <c r="AU21" s="89">
        <v>508.53460966746627</v>
      </c>
      <c r="AV21" s="89">
        <v>508.53460966746627</v>
      </c>
      <c r="AW21" s="89">
        <v>508.53460966746627</v>
      </c>
      <c r="AX21" s="89">
        <v>508.53460966746627</v>
      </c>
      <c r="AY21" s="89">
        <v>508.53460966746627</v>
      </c>
      <c r="AZ21" s="90">
        <f t="shared" si="15"/>
        <v>11950.563327185455</v>
      </c>
    </row>
    <row r="22" spans="1:52" ht="27" customHeight="1" x14ac:dyDescent="0.35">
      <c r="A22" s="86">
        <v>19</v>
      </c>
      <c r="B22" s="87">
        <f t="shared" si="11"/>
        <v>19</v>
      </c>
      <c r="C22" t="s">
        <v>41</v>
      </c>
      <c r="D22" s="88">
        <f>14308*30</f>
        <v>429240</v>
      </c>
      <c r="E22" s="20">
        <f>14308*30</f>
        <v>429240</v>
      </c>
      <c r="F22" s="3">
        <v>0</v>
      </c>
      <c r="G22" s="22">
        <v>0</v>
      </c>
      <c r="H22" s="3">
        <v>0</v>
      </c>
      <c r="I22" s="22">
        <v>0</v>
      </c>
      <c r="J22" s="3">
        <v>0</v>
      </c>
      <c r="K22" s="3">
        <v>0</v>
      </c>
      <c r="L22" s="3">
        <f t="shared" si="7"/>
        <v>429240</v>
      </c>
      <c r="M22" s="21">
        <f t="shared" si="1"/>
        <v>15233.298360000001</v>
      </c>
      <c r="N22" s="41">
        <f t="shared" si="2"/>
        <v>0</v>
      </c>
      <c r="O22" s="27">
        <v>0</v>
      </c>
      <c r="P22" s="4">
        <f>14308*30</f>
        <v>429240</v>
      </c>
      <c r="Q22" s="43">
        <v>0</v>
      </c>
      <c r="R22" s="43">
        <v>0</v>
      </c>
      <c r="S22" s="43">
        <v>0</v>
      </c>
      <c r="T22" s="43">
        <v>0</v>
      </c>
      <c r="U22" s="43">
        <f t="shared" si="3"/>
        <v>429240</v>
      </c>
      <c r="V22" s="44">
        <f t="shared" si="4"/>
        <v>0</v>
      </c>
      <c r="W22" s="44">
        <f t="shared" si="17"/>
        <v>81171.85944</v>
      </c>
      <c r="X22" s="45">
        <f t="shared" si="5"/>
        <v>96405.157800000001</v>
      </c>
      <c r="Y22" s="89">
        <f t="shared" si="9"/>
        <v>43.728656539396503</v>
      </c>
      <c r="Z22" s="89"/>
      <c r="AA22" s="89"/>
      <c r="AB22" s="89">
        <f t="shared" si="12"/>
        <v>21.864328269698252</v>
      </c>
      <c r="AC22" s="89">
        <f t="shared" si="13"/>
        <v>43.728656539396503</v>
      </c>
      <c r="AD22" s="89">
        <f t="shared" si="18"/>
        <v>43.728656539396503</v>
      </c>
      <c r="AE22" s="89">
        <v>43.728656539396503</v>
      </c>
      <c r="AF22" s="89">
        <v>43.728656539396503</v>
      </c>
      <c r="AG22" s="89">
        <v>43.728656539396503</v>
      </c>
      <c r="AH22" s="89">
        <v>43.728656539396503</v>
      </c>
      <c r="AI22" s="89">
        <v>43.728656539396503</v>
      </c>
      <c r="AJ22" s="89">
        <v>43.728656539396503</v>
      </c>
      <c r="AK22" s="89">
        <v>43.728656539396503</v>
      </c>
      <c r="AL22" s="89">
        <v>43.728656539396503</v>
      </c>
      <c r="AM22" s="89">
        <v>43.728656539396503</v>
      </c>
      <c r="AN22" s="89">
        <v>43.728656539396503</v>
      </c>
      <c r="AO22" s="89">
        <v>43.728656539396503</v>
      </c>
      <c r="AP22" s="89">
        <v>43.728656539396503</v>
      </c>
      <c r="AQ22" s="89">
        <v>43.728656539396503</v>
      </c>
      <c r="AR22" s="89">
        <v>43.728656539396503</v>
      </c>
      <c r="AS22" s="89">
        <v>43.728656539396503</v>
      </c>
      <c r="AT22" s="89">
        <v>43.728656539396503</v>
      </c>
      <c r="AU22" s="89">
        <v>43.728656539396503</v>
      </c>
      <c r="AV22" s="89">
        <v>43.728656539396503</v>
      </c>
      <c r="AW22" s="89">
        <v>43.728656539396503</v>
      </c>
      <c r="AX22" s="89">
        <v>43.728656539396503</v>
      </c>
      <c r="AY22" s="89">
        <v>43.728656539396503</v>
      </c>
      <c r="AZ22" s="90">
        <f t="shared" si="15"/>
        <v>1027.6234286758181</v>
      </c>
    </row>
    <row r="23" spans="1:52" ht="31.5" customHeight="1" x14ac:dyDescent="0.35">
      <c r="A23" s="155" t="s">
        <v>42</v>
      </c>
      <c r="B23" s="156"/>
      <c r="C23" s="156"/>
      <c r="D23" s="91">
        <f>SUM(D4:D22)</f>
        <v>40402011</v>
      </c>
      <c r="E23" s="92">
        <f t="shared" ref="E23:W23" si="19">SUM(E4:E22)</f>
        <v>20741740</v>
      </c>
      <c r="F23" s="93">
        <f t="shared" si="19"/>
        <v>1158770</v>
      </c>
      <c r="G23" s="93">
        <f t="shared" si="19"/>
        <v>1049751</v>
      </c>
      <c r="H23" s="93">
        <f t="shared" si="19"/>
        <v>494109</v>
      </c>
      <c r="I23" s="93">
        <f t="shared" si="19"/>
        <v>5835937</v>
      </c>
      <c r="J23" s="93">
        <f t="shared" si="19"/>
        <v>239126</v>
      </c>
      <c r="K23" s="93">
        <f t="shared" si="19"/>
        <v>175816</v>
      </c>
      <c r="L23" s="93">
        <f t="shared" si="19"/>
        <v>28103640</v>
      </c>
      <c r="M23" s="93">
        <f t="shared" si="19"/>
        <v>1583024.797185</v>
      </c>
      <c r="N23" s="93">
        <f t="shared" si="19"/>
        <v>2211692.932302</v>
      </c>
      <c r="O23" s="94">
        <f t="shared" si="19"/>
        <v>9078620</v>
      </c>
      <c r="P23" s="95">
        <f t="shared" si="19"/>
        <v>7959684</v>
      </c>
      <c r="Q23" s="95">
        <f t="shared" si="19"/>
        <v>11354327</v>
      </c>
      <c r="R23" s="95">
        <f t="shared" si="19"/>
        <v>743475</v>
      </c>
      <c r="S23" s="95">
        <f t="shared" si="19"/>
        <v>108821</v>
      </c>
      <c r="T23" s="95">
        <f t="shared" si="19"/>
        <v>437672</v>
      </c>
      <c r="U23" s="95">
        <f t="shared" si="19"/>
        <v>22687892</v>
      </c>
      <c r="V23" s="95">
        <f t="shared" si="19"/>
        <v>658980.40912800003</v>
      </c>
      <c r="W23" s="95">
        <f t="shared" si="19"/>
        <v>5789368.8807179993</v>
      </c>
      <c r="X23" s="96">
        <f>SUM(X4:X22)</f>
        <v>4501720.3364729993</v>
      </c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89"/>
    </row>
    <row r="24" spans="1:52" ht="33" customHeight="1" x14ac:dyDescent="0.35">
      <c r="A24" s="157" t="s">
        <v>80</v>
      </c>
      <c r="B24" s="158"/>
      <c r="C24" s="158"/>
      <c r="D24" s="97">
        <f>D23*0.000023</f>
        <v>929.24625300000002</v>
      </c>
      <c r="E24" s="98">
        <f t="shared" ref="E24:L24" si="20">E23*0.000023</f>
        <v>477.06002000000001</v>
      </c>
      <c r="F24" s="55">
        <f t="shared" si="20"/>
        <v>26.651710000000001</v>
      </c>
      <c r="G24" s="55">
        <f t="shared" si="20"/>
        <v>24.144272999999998</v>
      </c>
      <c r="H24" s="55">
        <f t="shared" si="20"/>
        <v>11.364507</v>
      </c>
      <c r="I24" s="55">
        <f t="shared" si="20"/>
        <v>134.226551</v>
      </c>
      <c r="J24" s="55">
        <f t="shared" si="20"/>
        <v>5.499898</v>
      </c>
      <c r="K24" s="55">
        <f t="shared" si="20"/>
        <v>4.043768</v>
      </c>
      <c r="L24" s="55">
        <f t="shared" si="20"/>
        <v>646.38372000000004</v>
      </c>
      <c r="M24" s="55">
        <f>M23*0.00045</f>
        <v>712.36115873325002</v>
      </c>
      <c r="N24" s="55">
        <f>N23*0.00045</f>
        <v>995.26181953589992</v>
      </c>
      <c r="O24" s="99">
        <f t="shared" ref="O24:P24" si="21">O23*0.000023</f>
        <v>208.80825999999999</v>
      </c>
      <c r="P24" s="100">
        <f t="shared" si="21"/>
        <v>183.072732</v>
      </c>
      <c r="Q24" s="100">
        <f>Q23*0.000023</f>
        <v>261.14952099999999</v>
      </c>
      <c r="R24" s="100">
        <f t="shared" ref="R24:T24" si="22">R23*0.000023</f>
        <v>17.099924999999999</v>
      </c>
      <c r="S24" s="100">
        <f t="shared" si="22"/>
        <v>2.5028830000000002</v>
      </c>
      <c r="T24" s="100">
        <f t="shared" si="22"/>
        <v>10.066456000000001</v>
      </c>
      <c r="U24" s="100">
        <f>U23*0.000023</f>
        <v>521.82151599999997</v>
      </c>
      <c r="V24" s="100">
        <f>V23*0.00045</f>
        <v>296.54118410760003</v>
      </c>
      <c r="W24" s="100">
        <f>W23*0.0004535</f>
        <v>2625.4787874056128</v>
      </c>
      <c r="X24" s="101">
        <f>X23*0.0004535</f>
        <v>2041.5301725905053</v>
      </c>
      <c r="Y24" s="102">
        <f t="shared" ref="Y24:AL24" si="23">SUM(Y4:Y23)</f>
        <v>2041.9465817216292</v>
      </c>
      <c r="Z24" s="89">
        <f t="shared" si="23"/>
        <v>0</v>
      </c>
      <c r="AA24" s="89">
        <f t="shared" si="23"/>
        <v>0</v>
      </c>
      <c r="AB24" s="89">
        <f t="shared" si="23"/>
        <v>1020.9732908608146</v>
      </c>
      <c r="AC24" s="89">
        <f t="shared" si="23"/>
        <v>2041.9465817216292</v>
      </c>
      <c r="AD24" s="89">
        <f t="shared" si="23"/>
        <v>2041.9465817216292</v>
      </c>
      <c r="AE24" s="89">
        <f t="shared" si="23"/>
        <v>2041.947334109223</v>
      </c>
      <c r="AF24" s="89">
        <f t="shared" si="23"/>
        <v>2041.947334109223</v>
      </c>
      <c r="AG24" s="89">
        <f t="shared" si="23"/>
        <v>2041.947334109223</v>
      </c>
      <c r="AH24" s="89">
        <f t="shared" si="23"/>
        <v>2041.947334109223</v>
      </c>
      <c r="AI24" s="89">
        <f t="shared" si="23"/>
        <v>2041.947334109223</v>
      </c>
      <c r="AJ24" s="89">
        <f t="shared" si="23"/>
        <v>2041.947334109223</v>
      </c>
      <c r="AK24" s="89">
        <f t="shared" si="23"/>
        <v>2041.947334109223</v>
      </c>
      <c r="AL24" s="89">
        <f t="shared" si="23"/>
        <v>2041.947334109223</v>
      </c>
      <c r="AM24" s="71">
        <f t="shared" ref="AM24:AY24" si="24">SUM(AM4:AM23)</f>
        <v>2041.947334109223</v>
      </c>
      <c r="AN24" s="71">
        <f t="shared" si="24"/>
        <v>2041.947334109223</v>
      </c>
      <c r="AO24" s="71">
        <f t="shared" si="24"/>
        <v>2041.947334109223</v>
      </c>
      <c r="AP24" s="71">
        <f t="shared" si="24"/>
        <v>2041.947334109223</v>
      </c>
      <c r="AQ24" s="71">
        <f t="shared" si="24"/>
        <v>2041.947334109223</v>
      </c>
      <c r="AR24" s="71">
        <f t="shared" si="24"/>
        <v>2041.947334109223</v>
      </c>
      <c r="AS24" s="71">
        <f t="shared" si="24"/>
        <v>2041.947334109223</v>
      </c>
      <c r="AT24" s="71">
        <f t="shared" si="24"/>
        <v>2041.947334109223</v>
      </c>
      <c r="AU24" s="71">
        <f t="shared" si="24"/>
        <v>2041.947334109223</v>
      </c>
      <c r="AV24" s="71">
        <f t="shared" si="24"/>
        <v>2041.947334109223</v>
      </c>
      <c r="AW24" s="71">
        <f t="shared" si="24"/>
        <v>2041.947334109223</v>
      </c>
      <c r="AX24" s="71">
        <f t="shared" si="24"/>
        <v>2041.947334109223</v>
      </c>
      <c r="AY24" s="71">
        <f t="shared" si="24"/>
        <v>2041.947334109223</v>
      </c>
      <c r="AZ24" s="103">
        <f>SUM(AZ4:AZ23)</f>
        <v>47985.760470597757</v>
      </c>
    </row>
    <row r="25" spans="1:52" x14ac:dyDescent="0.35">
      <c r="W25" s="5"/>
    </row>
    <row r="26" spans="1:52" x14ac:dyDescent="0.35">
      <c r="B26" s="71" t="s">
        <v>81</v>
      </c>
      <c r="C26" s="71" t="s">
        <v>82</v>
      </c>
      <c r="D26" s="71"/>
      <c r="E26" s="71"/>
      <c r="F26" s="71"/>
      <c r="G26" s="71"/>
      <c r="H26" s="71"/>
      <c r="I26" s="71"/>
      <c r="J26" s="71"/>
      <c r="K26" s="71"/>
      <c r="L26" s="104"/>
      <c r="M26" s="105"/>
      <c r="N26" s="104"/>
      <c r="O26" s="71"/>
      <c r="P26" s="71"/>
      <c r="Q26" s="106"/>
      <c r="R26" s="71"/>
      <c r="S26" s="71"/>
      <c r="T26" s="71"/>
      <c r="U26" s="71"/>
      <c r="V26" s="71"/>
      <c r="W26" s="71"/>
      <c r="X26" s="107">
        <v>148</v>
      </c>
      <c r="Y26" s="71">
        <v>148</v>
      </c>
      <c r="Z26" s="71">
        <v>148</v>
      </c>
      <c r="AA26" s="71">
        <v>148</v>
      </c>
      <c r="AB26" s="71">
        <v>148</v>
      </c>
      <c r="AC26" s="71">
        <v>148</v>
      </c>
      <c r="AD26" s="71">
        <v>148</v>
      </c>
      <c r="AE26" s="71">
        <v>148</v>
      </c>
      <c r="AF26" s="71">
        <v>148</v>
      </c>
      <c r="AG26" s="71">
        <v>148</v>
      </c>
      <c r="AH26" s="71">
        <v>148</v>
      </c>
      <c r="AI26" s="71">
        <v>148</v>
      </c>
      <c r="AJ26" s="71">
        <v>148</v>
      </c>
      <c r="AK26" s="71">
        <v>148</v>
      </c>
      <c r="AL26" s="71">
        <v>148</v>
      </c>
      <c r="AM26" s="71">
        <v>148</v>
      </c>
      <c r="AN26" s="71">
        <v>148</v>
      </c>
      <c r="AO26" s="71">
        <v>148</v>
      </c>
      <c r="AP26" s="71">
        <v>148</v>
      </c>
      <c r="AQ26" s="71">
        <v>148</v>
      </c>
      <c r="AR26" s="71">
        <v>148</v>
      </c>
      <c r="AS26" s="71">
        <v>148</v>
      </c>
      <c r="AT26" s="71">
        <v>148</v>
      </c>
      <c r="AU26" s="71">
        <v>148</v>
      </c>
      <c r="AV26" s="71">
        <v>148</v>
      </c>
      <c r="AW26" s="71">
        <v>148</v>
      </c>
      <c r="AX26" s="71">
        <v>148</v>
      </c>
      <c r="AY26" s="71">
        <v>148</v>
      </c>
      <c r="AZ26" s="84">
        <f>SUM(Z26:AY26)</f>
        <v>3848</v>
      </c>
    </row>
    <row r="27" spans="1:52" x14ac:dyDescent="0.35">
      <c r="L27" s="6"/>
      <c r="M27" s="7"/>
      <c r="N27" s="6"/>
      <c r="W27" s="6"/>
    </row>
    <row r="28" spans="1:52" ht="15" thickBot="1" x14ac:dyDescent="0.4">
      <c r="L28" s="6"/>
      <c r="M28" s="7"/>
      <c r="N28" s="6"/>
      <c r="W28" s="6"/>
      <c r="AY28" t="s">
        <v>83</v>
      </c>
      <c r="AZ28" s="108">
        <f>+AZ24+AZ26</f>
        <v>51833.760470597757</v>
      </c>
    </row>
    <row r="29" spans="1:52" ht="28.5" customHeight="1" x14ac:dyDescent="0.35">
      <c r="A29" s="33" t="s">
        <v>44</v>
      </c>
      <c r="B29" s="109"/>
      <c r="C29" s="109"/>
      <c r="F29" s="149"/>
      <c r="G29" s="149"/>
      <c r="H29" s="149"/>
      <c r="L29" s="6"/>
      <c r="M29" s="7"/>
      <c r="N29" s="6"/>
      <c r="W29" s="6"/>
    </row>
    <row r="30" spans="1:52" ht="25" customHeight="1" x14ac:dyDescent="0.35">
      <c r="A30" s="9" t="s">
        <v>46</v>
      </c>
      <c r="B30" s="10"/>
      <c r="D30" s="111"/>
      <c r="E30" s="10"/>
      <c r="F30" s="112"/>
      <c r="G30" s="113"/>
      <c r="H30" s="110"/>
      <c r="L30" s="6"/>
      <c r="M30" s="7"/>
      <c r="N30" s="6"/>
      <c r="W30" s="6"/>
    </row>
    <row r="31" spans="1:52" ht="25" customHeight="1" x14ac:dyDescent="0.35">
      <c r="A31" s="11" t="s">
        <v>47</v>
      </c>
      <c r="F31" s="159"/>
      <c r="G31" s="160"/>
      <c r="H31" s="115"/>
      <c r="L31" s="6"/>
      <c r="M31" s="7"/>
      <c r="N31" s="6"/>
      <c r="W31" s="6"/>
    </row>
    <row r="32" spans="1:52" ht="25" customHeight="1" x14ac:dyDescent="0.35">
      <c r="A32" s="12" t="s">
        <v>48</v>
      </c>
      <c r="B32" s="13"/>
      <c r="E32" s="13"/>
      <c r="F32" s="159"/>
      <c r="G32" s="160"/>
      <c r="H32" s="114"/>
      <c r="L32" s="6"/>
      <c r="M32" s="7"/>
      <c r="N32" s="6"/>
      <c r="W32" s="6"/>
    </row>
    <row r="33" spans="1:23" ht="25" customHeight="1" x14ac:dyDescent="0.35">
      <c r="A33" s="14" t="s">
        <v>49</v>
      </c>
      <c r="B33" s="15"/>
      <c r="E33" s="15"/>
      <c r="F33" s="159"/>
      <c r="G33" s="160"/>
      <c r="H33" s="116"/>
      <c r="L33" s="6"/>
      <c r="M33" s="7"/>
      <c r="N33" s="6"/>
      <c r="W33" s="6"/>
    </row>
    <row r="34" spans="1:23" ht="25" customHeight="1" x14ac:dyDescent="0.35">
      <c r="A34" s="12" t="s">
        <v>50</v>
      </c>
      <c r="B34" s="13"/>
      <c r="E34" s="13"/>
      <c r="F34" s="160"/>
      <c r="G34" s="160"/>
      <c r="H34" s="115"/>
      <c r="L34" s="6"/>
      <c r="M34" s="7"/>
      <c r="N34" s="6"/>
      <c r="W34" s="6"/>
    </row>
    <row r="35" spans="1:23" ht="25" customHeight="1" x14ac:dyDescent="0.35">
      <c r="A35" s="9" t="s">
        <v>51</v>
      </c>
      <c r="B35" s="10"/>
      <c r="E35" s="10"/>
      <c r="F35" s="160"/>
      <c r="G35" s="160"/>
      <c r="H35" s="114"/>
      <c r="L35" s="6"/>
      <c r="M35" s="7"/>
      <c r="N35" s="6"/>
      <c r="W35" s="6"/>
    </row>
    <row r="36" spans="1:23" ht="25" customHeight="1" x14ac:dyDescent="0.35">
      <c r="A36" s="12" t="s">
        <v>52</v>
      </c>
      <c r="B36" s="13"/>
      <c r="E36" s="13"/>
      <c r="F36" s="160"/>
      <c r="G36" s="160"/>
      <c r="H36" s="114"/>
      <c r="L36" s="6"/>
      <c r="M36" s="7"/>
      <c r="N36" s="6"/>
      <c r="W36" s="6"/>
    </row>
    <row r="37" spans="1:23" ht="25" customHeight="1" x14ac:dyDescent="0.35">
      <c r="A37" s="12" t="s">
        <v>53</v>
      </c>
      <c r="B37" s="13"/>
      <c r="E37" s="13"/>
      <c r="F37" s="159"/>
      <c r="G37" s="160"/>
      <c r="H37" s="115"/>
      <c r="L37" s="6"/>
      <c r="M37" s="7"/>
      <c r="N37" s="6"/>
      <c r="W37" s="6"/>
    </row>
    <row r="38" spans="1:23" ht="25" customHeight="1" thickBot="1" x14ac:dyDescent="0.4">
      <c r="A38" s="16" t="s">
        <v>54</v>
      </c>
      <c r="B38" s="13"/>
      <c r="E38" s="13"/>
      <c r="F38" s="159"/>
      <c r="G38" s="160"/>
      <c r="H38" s="114"/>
      <c r="L38" s="6"/>
      <c r="M38" s="7"/>
      <c r="N38" s="6"/>
      <c r="W38" s="6"/>
    </row>
    <row r="39" spans="1:23" x14ac:dyDescent="0.35">
      <c r="F39" s="159"/>
      <c r="G39" s="160"/>
      <c r="H39" s="114"/>
      <c r="W39" s="6"/>
    </row>
    <row r="40" spans="1:23" ht="14.5" customHeight="1" x14ac:dyDescent="0.35">
      <c r="A40" s="36" t="s">
        <v>44</v>
      </c>
      <c r="B40" s="13"/>
      <c r="F40" s="160"/>
      <c r="G40" s="159"/>
      <c r="H40" s="115"/>
      <c r="W40" s="6"/>
    </row>
    <row r="41" spans="1:23" x14ac:dyDescent="0.35">
      <c r="A41" s="34"/>
      <c r="F41" s="160"/>
      <c r="G41" s="159"/>
      <c r="H41" s="114"/>
      <c r="W41" s="6"/>
    </row>
    <row r="42" spans="1:23" x14ac:dyDescent="0.35">
      <c r="A42" s="35" t="s">
        <v>5</v>
      </c>
      <c r="B42" s="13"/>
      <c r="F42" s="160"/>
      <c r="G42" s="159"/>
      <c r="H42" s="114"/>
      <c r="W42" s="6"/>
    </row>
    <row r="43" spans="1:23" x14ac:dyDescent="0.35">
      <c r="F43" s="159"/>
      <c r="G43" s="160"/>
      <c r="H43" s="114"/>
      <c r="W43" s="6"/>
    </row>
    <row r="44" spans="1:23" x14ac:dyDescent="0.35">
      <c r="F44" s="159"/>
      <c r="G44" s="160"/>
      <c r="H44" s="117"/>
      <c r="W44" s="6"/>
    </row>
    <row r="45" spans="1:23" x14ac:dyDescent="0.35">
      <c r="F45" s="159"/>
      <c r="G45" s="160"/>
      <c r="H45" s="114"/>
      <c r="W45" s="6"/>
    </row>
    <row r="46" spans="1:23" x14ac:dyDescent="0.35">
      <c r="F46" s="159"/>
      <c r="G46" s="160"/>
      <c r="H46" s="117"/>
    </row>
    <row r="47" spans="1:23" x14ac:dyDescent="0.35">
      <c r="F47" s="159"/>
      <c r="G47" s="160"/>
      <c r="H47" s="114"/>
    </row>
    <row r="48" spans="1:23" x14ac:dyDescent="0.35">
      <c r="F48" s="159"/>
      <c r="G48" s="160"/>
      <c r="H48" s="117"/>
    </row>
    <row r="49" spans="6:8" x14ac:dyDescent="0.35">
      <c r="F49" s="159"/>
      <c r="G49" s="160"/>
      <c r="H49" s="114"/>
    </row>
    <row r="50" spans="6:8" x14ac:dyDescent="0.35">
      <c r="F50" s="159"/>
      <c r="G50" s="160"/>
      <c r="H50" s="117"/>
    </row>
    <row r="51" spans="6:8" x14ac:dyDescent="0.35">
      <c r="F51" s="159"/>
      <c r="G51" s="160"/>
      <c r="H51" s="114"/>
    </row>
    <row r="52" spans="6:8" x14ac:dyDescent="0.35">
      <c r="F52" s="159"/>
      <c r="G52" s="160"/>
      <c r="H52" s="117"/>
    </row>
    <row r="53" spans="6:8" x14ac:dyDescent="0.35">
      <c r="F53" s="159"/>
      <c r="G53" s="160"/>
      <c r="H53" s="114"/>
    </row>
    <row r="54" spans="6:8" x14ac:dyDescent="0.35">
      <c r="F54" s="159"/>
      <c r="G54" s="160"/>
      <c r="H54" s="117"/>
    </row>
    <row r="55" spans="6:8" x14ac:dyDescent="0.35">
      <c r="F55" s="161"/>
      <c r="G55" s="162"/>
      <c r="H55" s="118"/>
    </row>
    <row r="56" spans="6:8" x14ac:dyDescent="0.35">
      <c r="F56" s="161"/>
      <c r="G56" s="162"/>
      <c r="H56" s="117"/>
    </row>
    <row r="57" spans="6:8" x14ac:dyDescent="0.35">
      <c r="F57" s="161"/>
      <c r="G57" s="162"/>
      <c r="H57" s="118"/>
    </row>
    <row r="58" spans="6:8" x14ac:dyDescent="0.35">
      <c r="F58" s="161"/>
      <c r="G58" s="162"/>
      <c r="H58" s="117"/>
    </row>
  </sheetData>
  <sheetProtection sheet="1" objects="1" scenarios="1"/>
  <mergeCells count="22">
    <mergeCell ref="F51:F54"/>
    <mergeCell ref="G51:G54"/>
    <mergeCell ref="F55:F58"/>
    <mergeCell ref="G55:G58"/>
    <mergeCell ref="F40:F42"/>
    <mergeCell ref="G40:G42"/>
    <mergeCell ref="F43:F46"/>
    <mergeCell ref="G43:G46"/>
    <mergeCell ref="F47:F50"/>
    <mergeCell ref="G47:G50"/>
    <mergeCell ref="F31:F33"/>
    <mergeCell ref="G31:G33"/>
    <mergeCell ref="F34:F36"/>
    <mergeCell ref="G34:G36"/>
    <mergeCell ref="F37:F39"/>
    <mergeCell ref="G37:G39"/>
    <mergeCell ref="F29:H29"/>
    <mergeCell ref="D2:D3"/>
    <mergeCell ref="E2:N2"/>
    <mergeCell ref="O2:X2"/>
    <mergeCell ref="A23:C23"/>
    <mergeCell ref="A24:C2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ebd3fd-8af0-4d25-bb88-eaefbb60786e" xsi:nil="true"/>
    <lcf76f155ced4ddcb4097134ff3c332f xmlns="98ffd6ee-f753-4763-adae-3226bfb1d790">
      <Terms xmlns="http://schemas.microsoft.com/office/infopath/2007/PartnerControls"/>
    </lcf76f155ced4ddcb4097134ff3c332f>
    <SharedWithUsers xmlns="4cebd3fd-8af0-4d25-bb88-eaefbb60786e">
      <UserInfo>
        <DisplayName>Evan Gardi</DisplayName>
        <AccountId>69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BEF32B48818448BC538A67196EEEF5" ma:contentTypeVersion="16" ma:contentTypeDescription="Create a new document." ma:contentTypeScope="" ma:versionID="0cf2ed01bbb76c7be00fd04618dfdf93">
  <xsd:schema xmlns:xsd="http://www.w3.org/2001/XMLSchema" xmlns:xs="http://www.w3.org/2001/XMLSchema" xmlns:p="http://schemas.microsoft.com/office/2006/metadata/properties" xmlns:ns2="98ffd6ee-f753-4763-adae-3226bfb1d790" xmlns:ns3="4cebd3fd-8af0-4d25-bb88-eaefbb60786e" targetNamespace="http://schemas.microsoft.com/office/2006/metadata/properties" ma:root="true" ma:fieldsID="eb58c51b3c0cb646035a1d1238f1b461" ns2:_="" ns3:_="">
    <xsd:import namespace="98ffd6ee-f753-4763-adae-3226bfb1d790"/>
    <xsd:import namespace="4cebd3fd-8af0-4d25-bb88-eaefbb6078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fd6ee-f753-4763-adae-3226bfb1d7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660ff62-ced5-47c9-8332-150f874f5f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bd3fd-8af0-4d25-bb88-eaefbb60786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0c0724e-d1f7-40b5-b928-300e1b5efa43}" ma:internalName="TaxCatchAll" ma:showField="CatchAllData" ma:web="4cebd3fd-8af0-4d25-bb88-eaefbb6078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16138B-6748-4A80-9EE2-C7DF5C17C713}">
  <ds:schemaRefs>
    <ds:schemaRef ds:uri="http://schemas.openxmlformats.org/package/2006/metadata/core-properties"/>
    <ds:schemaRef ds:uri="http://schemas.microsoft.com/office/2006/documentManagement/types"/>
    <ds:schemaRef ds:uri="4cebd3fd-8af0-4d25-bb88-eaefbb60786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98ffd6ee-f753-4763-adae-3226bfb1d79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309AA-C847-4800-A1FE-4F2ACA209E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ffd6ee-f753-4763-adae-3226bfb1d790"/>
    <ds:schemaRef ds:uri="4cebd3fd-8af0-4d25-bb88-eaefbb6078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A34957-9EE6-4B0F-A736-AD96227EC9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Page</vt:lpstr>
      <vt:lpstr>Total</vt:lpstr>
      <vt:lpstr>Conversion table &amp; sources (2)</vt:lpstr>
      <vt:lpstr>cumulative GHG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Myerov</dc:creator>
  <cp:keywords/>
  <dc:description/>
  <cp:lastModifiedBy>Evan Gardi</cp:lastModifiedBy>
  <cp:revision/>
  <cp:lastPrinted>2024-03-29T13:24:37Z</cp:lastPrinted>
  <dcterms:created xsi:type="dcterms:W3CDTF">2024-03-28T13:04:35Z</dcterms:created>
  <dcterms:modified xsi:type="dcterms:W3CDTF">2024-04-01T19:15:45Z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0x0101002EBEF32B48818448BC538A67196EEEF5</vt:lpwstr>
  </property>
  <property fmtid="{D5CDD505-2E9C-101B-9397-08002B2CF9AE}" pid="3" name="MediaServiceImageTags">
    <vt:lpwstr/>
  </property>
</Properties>
</file>