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100" documentId="8_{13D750D0-4EF6-464F-87C3-EE393FE28910}" xr6:coauthVersionLast="47" xr6:coauthVersionMax="47" xr10:uidLastSave="{00877DED-1871-438B-AC3A-303C317F6604}"/>
  <bookViews>
    <workbookView xWindow="28680" yWindow="-120" windowWidth="29040" windowHeight="15840" tabRatio="979" activeTab="1" xr2:uid="{AAC398A2-E95D-4231-A920-55B8B1C73F3F}"/>
  </bookViews>
  <sheets>
    <sheet name="Overview" sheetId="26" r:id="rId1"/>
    <sheet name="Consolidated Budget" sheetId="30" r:id="rId2"/>
    <sheet name="Measure T2 Budget" sheetId="16" r:id="rId3"/>
    <sheet name="Measure T5 Budget" sheetId="27" r:id="rId4"/>
    <sheet name="Measure T6 Budget" sheetId="28" r:id="rId5"/>
    <sheet name="Sample Budget 1" sheetId="32" state="hidden" r:id="rId6"/>
    <sheet name="Sample Budget 2" sheetId="33" state="hidden" r:id="rId7"/>
    <sheet name="Sample Budget 3" sheetId="34" r:id="rId8"/>
    <sheet name="Measure 4 Budget" sheetId="29" state="hidden" r:id="rId9"/>
    <sheet name="Measure 5 Budget" sheetId="31" state="hidden" r:id="rId10"/>
  </sheets>
  <definedNames>
    <definedName name="_xlnm._FilterDatabase" localSheetId="1" hidden="1">'Consolidated Budget'!#REF!</definedName>
    <definedName name="_xlnm._FilterDatabase" localSheetId="8" hidden="1">'Measure 4 Budget'!#REF!</definedName>
    <definedName name="_xlnm._FilterDatabase" localSheetId="9" hidden="1">'Measure 5 Budget'!#REF!</definedName>
    <definedName name="_xlnm._FilterDatabase" localSheetId="2" hidden="1">'Measure T2 Budget'!#REF!</definedName>
    <definedName name="_xlnm._FilterDatabase" localSheetId="3" hidden="1">'Measure T5 Budget'!#REF!</definedName>
    <definedName name="_xlnm._FilterDatabase" localSheetId="4" hidden="1">'Measure T6 Budget'!#REF!</definedName>
    <definedName name="_xlnm._FilterDatabase" localSheetId="5" hidden="1">'Sample Budget 1'!#REF!</definedName>
    <definedName name="_xlnm._FilterDatabase" localSheetId="6" hidden="1">'Sample Budget 2'!#REF!</definedName>
    <definedName name="_xlnm._FilterDatabase" localSheetId="7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28" l="1"/>
  <c r="F51" i="28"/>
  <c r="E43" i="27"/>
  <c r="D43" i="27"/>
  <c r="O14" i="16"/>
  <c r="J53" i="28" l="1"/>
  <c r="H58" i="28"/>
  <c r="E16" i="28"/>
  <c r="F16" i="28"/>
  <c r="G16" i="28"/>
  <c r="H16" i="28"/>
  <c r="D16" i="28"/>
  <c r="F16" i="16"/>
  <c r="G16" i="16"/>
  <c r="H16" i="16"/>
  <c r="E16" i="16"/>
  <c r="D16" i="16"/>
  <c r="J42" i="27"/>
  <c r="E56" i="28"/>
  <c r="D56" i="28"/>
  <c r="E51" i="16"/>
  <c r="G50" i="16"/>
  <c r="G49" i="16"/>
  <c r="M54" i="34"/>
  <c r="D54" i="34"/>
  <c r="E30" i="28"/>
  <c r="F30" i="28"/>
  <c r="G30" i="28"/>
  <c r="H30" i="28"/>
  <c r="D30" i="28"/>
  <c r="E30" i="27"/>
  <c r="F30" i="27"/>
  <c r="G30" i="27"/>
  <c r="H30" i="27"/>
  <c r="D30" i="27"/>
  <c r="E29" i="16"/>
  <c r="F29" i="16"/>
  <c r="G29" i="16"/>
  <c r="H29" i="16"/>
  <c r="D29" i="16"/>
  <c r="J37" i="27"/>
  <c r="J38" i="27"/>
  <c r="E36" i="27"/>
  <c r="G48" i="16"/>
  <c r="J49" i="16"/>
  <c r="J41" i="16"/>
  <c r="J42" i="16"/>
  <c r="J43" i="16"/>
  <c r="J50" i="16"/>
  <c r="F53" i="27" l="1"/>
  <c r="G53" i="27"/>
  <c r="H53" i="27"/>
  <c r="D53" i="27"/>
  <c r="J49" i="27"/>
  <c r="J50" i="27"/>
  <c r="G52" i="28"/>
  <c r="F52" i="28"/>
  <c r="D13" i="28"/>
  <c r="E13" i="28" s="1"/>
  <c r="F13" i="28" s="1"/>
  <c r="G13" i="28" s="1"/>
  <c r="H13" i="28" s="1"/>
  <c r="D12" i="28"/>
  <c r="D11" i="28"/>
  <c r="D10" i="28"/>
  <c r="E10" i="28" s="1"/>
  <c r="F10" i="28" s="1"/>
  <c r="G10" i="28" s="1"/>
  <c r="H10" i="28" s="1"/>
  <c r="D9" i="28"/>
  <c r="E9" i="28" s="1"/>
  <c r="F9" i="28" s="1"/>
  <c r="G9" i="28" s="1"/>
  <c r="H9" i="28" s="1"/>
  <c r="D8" i="28"/>
  <c r="E8" i="28" s="1"/>
  <c r="F8" i="28" s="1"/>
  <c r="G8" i="28" s="1"/>
  <c r="H8" i="28" s="1"/>
  <c r="D8" i="16"/>
  <c r="D13" i="16"/>
  <c r="E13" i="16" s="1"/>
  <c r="D12" i="16"/>
  <c r="E12" i="16" s="1"/>
  <c r="D11" i="16"/>
  <c r="E11" i="16" s="1"/>
  <c r="D10" i="16"/>
  <c r="E10" i="16" s="1"/>
  <c r="D9" i="16"/>
  <c r="E9" i="16" s="1"/>
  <c r="E50" i="27"/>
  <c r="E53" i="27" s="1"/>
  <c r="J13" i="28" l="1"/>
  <c r="E11" i="28"/>
  <c r="F11" i="28" s="1"/>
  <c r="G11" i="28" s="1"/>
  <c r="H11" i="28" s="1"/>
  <c r="J9" i="28"/>
  <c r="E12" i="28"/>
  <c r="F12" i="28" s="1"/>
  <c r="G12" i="28" s="1"/>
  <c r="H12" i="28" s="1"/>
  <c r="J8" i="28"/>
  <c r="J10" i="28"/>
  <c r="D14" i="16"/>
  <c r="F11" i="16"/>
  <c r="G11" i="16" s="1"/>
  <c r="H11" i="16" s="1"/>
  <c r="F13" i="16"/>
  <c r="G13" i="16" s="1"/>
  <c r="H13" i="16" s="1"/>
  <c r="F9" i="16"/>
  <c r="G9" i="16" s="1"/>
  <c r="H9" i="16" s="1"/>
  <c r="J9" i="16" s="1"/>
  <c r="F10" i="16"/>
  <c r="F12" i="16"/>
  <c r="G12" i="16" s="1"/>
  <c r="H12" i="16" s="1"/>
  <c r="E8" i="16"/>
  <c r="J11" i="28" l="1"/>
  <c r="J12" i="28"/>
  <c r="G10" i="16"/>
  <c r="E14" i="16"/>
  <c r="F8" i="16"/>
  <c r="J12" i="16"/>
  <c r="J13" i="16"/>
  <c r="J11" i="16"/>
  <c r="H10" i="16" l="1"/>
  <c r="F14" i="16"/>
  <c r="G8" i="16"/>
  <c r="J17" i="27"/>
  <c r="D9" i="27"/>
  <c r="E9" i="27" s="1"/>
  <c r="F9" i="27" s="1"/>
  <c r="G9" i="27" s="1"/>
  <c r="H9" i="27" s="1"/>
  <c r="D10" i="27"/>
  <c r="E10" i="27" s="1"/>
  <c r="F10" i="27" s="1"/>
  <c r="D11" i="27"/>
  <c r="E11" i="27" s="1"/>
  <c r="F11" i="27" s="1"/>
  <c r="D12" i="27"/>
  <c r="E12" i="27" s="1"/>
  <c r="F12" i="27" s="1"/>
  <c r="G12" i="27" s="1"/>
  <c r="H12" i="27" s="1"/>
  <c r="D13" i="27"/>
  <c r="E13" i="27" s="1"/>
  <c r="F13" i="27" s="1"/>
  <c r="G13" i="27" s="1"/>
  <c r="H13" i="27" s="1"/>
  <c r="D8" i="27"/>
  <c r="E8" i="27" l="1"/>
  <c r="F8" i="27" s="1"/>
  <c r="G8" i="27" s="1"/>
  <c r="H8" i="27" s="1"/>
  <c r="D16" i="27"/>
  <c r="J10" i="16"/>
  <c r="J16" i="16"/>
  <c r="G14" i="16"/>
  <c r="H8" i="16"/>
  <c r="J9" i="27"/>
  <c r="F16" i="27"/>
  <c r="E16" i="27"/>
  <c r="G11" i="27"/>
  <c r="H11" i="27" s="1"/>
  <c r="G10" i="27"/>
  <c r="H10" i="27" s="1"/>
  <c r="H14" i="16" l="1"/>
  <c r="J8" i="16"/>
  <c r="J14" i="16" s="1"/>
  <c r="H16" i="27"/>
  <c r="J11" i="27"/>
  <c r="G16" i="27"/>
  <c r="J16" i="27" s="1"/>
  <c r="J10" i="27"/>
  <c r="E54" i="31" l="1"/>
  <c r="F54" i="31"/>
  <c r="G54" i="31"/>
  <c r="H54" i="31"/>
  <c r="D54" i="31"/>
  <c r="H45" i="31"/>
  <c r="G45" i="31"/>
  <c r="F45" i="31"/>
  <c r="E45" i="31"/>
  <c r="D45" i="31"/>
  <c r="J44" i="31"/>
  <c r="J43" i="31"/>
  <c r="J45" i="31" s="1"/>
  <c r="E54" i="29"/>
  <c r="F54" i="29"/>
  <c r="G54" i="29"/>
  <c r="H54" i="29"/>
  <c r="D54" i="29"/>
  <c r="H45" i="29"/>
  <c r="G45" i="29"/>
  <c r="F45" i="29"/>
  <c r="E45" i="29"/>
  <c r="D45" i="29"/>
  <c r="J44" i="29"/>
  <c r="J43" i="29"/>
  <c r="J45" i="29" s="1"/>
  <c r="H49" i="28"/>
  <c r="G49" i="28"/>
  <c r="F49" i="28"/>
  <c r="E49" i="28"/>
  <c r="D49" i="28"/>
  <c r="J48" i="28"/>
  <c r="J47" i="28"/>
  <c r="J52" i="27"/>
  <c r="J53" i="27"/>
  <c r="H52" i="16"/>
  <c r="G52" i="16"/>
  <c r="G13" i="30" s="1"/>
  <c r="F52" i="16"/>
  <c r="F13" i="30" s="1"/>
  <c r="E52" i="16"/>
  <c r="E13" i="30" s="1"/>
  <c r="D52" i="16"/>
  <c r="J51" i="16"/>
  <c r="J48" i="16"/>
  <c r="J18" i="31"/>
  <c r="J19" i="31"/>
  <c r="J18" i="29"/>
  <c r="J19" i="29"/>
  <c r="J21" i="28"/>
  <c r="J22" i="28"/>
  <c r="J43" i="27"/>
  <c r="J44" i="27"/>
  <c r="J45" i="27"/>
  <c r="J21" i="27"/>
  <c r="J22" i="27"/>
  <c r="J21" i="16"/>
  <c r="E54" i="34"/>
  <c r="J54" i="34" s="1"/>
  <c r="F54" i="34"/>
  <c r="F56" i="34" s="1"/>
  <c r="J56" i="34" s="1"/>
  <c r="G54" i="34"/>
  <c r="H54" i="34"/>
  <c r="E19" i="16"/>
  <c r="E61" i="16" s="1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J43" i="28"/>
  <c r="H19" i="28"/>
  <c r="H62" i="28" s="1"/>
  <c r="H64" i="28" s="1"/>
  <c r="J8" i="29"/>
  <c r="I61" i="31"/>
  <c r="J59" i="31"/>
  <c r="H59" i="31"/>
  <c r="G59" i="31"/>
  <c r="F59" i="31"/>
  <c r="E59" i="31"/>
  <c r="D59" i="31"/>
  <c r="J58" i="31"/>
  <c r="J57" i="31"/>
  <c r="H53" i="31"/>
  <c r="G53" i="31"/>
  <c r="F53" i="31"/>
  <c r="E53" i="31"/>
  <c r="D53" i="31"/>
  <c r="J52" i="31"/>
  <c r="J51" i="31"/>
  <c r="J50" i="31"/>
  <c r="J49" i="31"/>
  <c r="J48" i="31"/>
  <c r="J47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9" i="16"/>
  <c r="F61" i="16" s="1"/>
  <c r="I61" i="29"/>
  <c r="H59" i="29"/>
  <c r="G59" i="29"/>
  <c r="F59" i="29"/>
  <c r="E59" i="29"/>
  <c r="D59" i="29"/>
  <c r="J58" i="29"/>
  <c r="J57" i="29"/>
  <c r="H53" i="29"/>
  <c r="G53" i="29"/>
  <c r="F53" i="29"/>
  <c r="E53" i="29"/>
  <c r="D53" i="29"/>
  <c r="J52" i="29"/>
  <c r="J51" i="29"/>
  <c r="J50" i="29"/>
  <c r="J49" i="29"/>
  <c r="J48" i="29"/>
  <c r="J47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4" i="29"/>
  <c r="J33" i="29"/>
  <c r="H31" i="29"/>
  <c r="G31" i="29"/>
  <c r="F31" i="29"/>
  <c r="E31" i="29"/>
  <c r="D31" i="29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I11" i="29"/>
  <c r="H11" i="29"/>
  <c r="G11" i="29"/>
  <c r="F11" i="29"/>
  <c r="E11" i="29"/>
  <c r="D11" i="29"/>
  <c r="J10" i="29"/>
  <c r="J9" i="29"/>
  <c r="J11" i="29" s="1"/>
  <c r="I66" i="28"/>
  <c r="J63" i="28"/>
  <c r="G58" i="28"/>
  <c r="F58" i="28"/>
  <c r="E58" i="28"/>
  <c r="D58" i="28"/>
  <c r="J57" i="28"/>
  <c r="J56" i="28"/>
  <c r="J55" i="28"/>
  <c r="J54" i="28"/>
  <c r="J52" i="28"/>
  <c r="J51" i="28"/>
  <c r="H45" i="28"/>
  <c r="G45" i="28"/>
  <c r="F45" i="28"/>
  <c r="E45" i="28"/>
  <c r="D45" i="28"/>
  <c r="J44" i="28"/>
  <c r="J42" i="28"/>
  <c r="J41" i="28"/>
  <c r="J40" i="28"/>
  <c r="H38" i="28"/>
  <c r="G38" i="28"/>
  <c r="F38" i="28"/>
  <c r="E38" i="28"/>
  <c r="D38" i="28"/>
  <c r="J37" i="28"/>
  <c r="J36" i="28"/>
  <c r="H34" i="28"/>
  <c r="G34" i="28"/>
  <c r="F34" i="28"/>
  <c r="E34" i="28"/>
  <c r="D34" i="28"/>
  <c r="J33" i="28"/>
  <c r="J32" i="28"/>
  <c r="J29" i="28"/>
  <c r="J28" i="28"/>
  <c r="J27" i="28"/>
  <c r="J26" i="28"/>
  <c r="J25" i="28"/>
  <c r="J24" i="28"/>
  <c r="J23" i="28"/>
  <c r="I19" i="28"/>
  <c r="J18" i="28"/>
  <c r="J17" i="28"/>
  <c r="I14" i="28"/>
  <c r="H14" i="28"/>
  <c r="G14" i="28"/>
  <c r="G19" i="28" s="1"/>
  <c r="G62" i="28" s="1"/>
  <c r="G64" i="28" s="1"/>
  <c r="F14" i="28"/>
  <c r="F19" i="28" s="1"/>
  <c r="F62" i="28" s="1"/>
  <c r="F64" i="28" s="1"/>
  <c r="E14" i="28"/>
  <c r="E19" i="28" s="1"/>
  <c r="E62" i="28" s="1"/>
  <c r="E64" i="28" s="1"/>
  <c r="D14" i="28"/>
  <c r="D19" i="28" s="1"/>
  <c r="D62" i="28" s="1"/>
  <c r="D64" i="28" s="1"/>
  <c r="I69" i="27"/>
  <c r="J66" i="27"/>
  <c r="H61" i="27"/>
  <c r="G61" i="27"/>
  <c r="F61" i="27"/>
  <c r="E61" i="27"/>
  <c r="D61" i="27"/>
  <c r="J60" i="27"/>
  <c r="J59" i="27"/>
  <c r="J58" i="27"/>
  <c r="J57" i="27"/>
  <c r="J56" i="27"/>
  <c r="J55" i="27"/>
  <c r="H47" i="27"/>
  <c r="G47" i="27"/>
  <c r="F47" i="27"/>
  <c r="E47" i="27"/>
  <c r="D47" i="27"/>
  <c r="J46" i="27"/>
  <c r="H40" i="27"/>
  <c r="G40" i="27"/>
  <c r="F40" i="27"/>
  <c r="E40" i="27"/>
  <c r="D40" i="27"/>
  <c r="J39" i="27"/>
  <c r="J36" i="27"/>
  <c r="H34" i="27"/>
  <c r="G34" i="27"/>
  <c r="F34" i="27"/>
  <c r="E34" i="27"/>
  <c r="D34" i="27"/>
  <c r="J33" i="27"/>
  <c r="J32" i="27"/>
  <c r="J29" i="27"/>
  <c r="J28" i="27"/>
  <c r="J27" i="27"/>
  <c r="J26" i="27"/>
  <c r="J25" i="27"/>
  <c r="J24" i="27"/>
  <c r="J23" i="27"/>
  <c r="I19" i="27"/>
  <c r="J18" i="27"/>
  <c r="I14" i="27"/>
  <c r="H14" i="27"/>
  <c r="H19" i="27" s="1"/>
  <c r="H65" i="27" s="1"/>
  <c r="H67" i="27" s="1"/>
  <c r="G14" i="27"/>
  <c r="G19" i="27" s="1"/>
  <c r="G65" i="27" s="1"/>
  <c r="G67" i="27" s="1"/>
  <c r="F14" i="27"/>
  <c r="F19" i="27" s="1"/>
  <c r="F65" i="27" s="1"/>
  <c r="F67" i="27" s="1"/>
  <c r="E14" i="27"/>
  <c r="E19" i="27" s="1"/>
  <c r="E65" i="27" s="1"/>
  <c r="E67" i="27" s="1"/>
  <c r="D14" i="27"/>
  <c r="D19" i="27" s="1"/>
  <c r="D65" i="27" s="1"/>
  <c r="J13" i="27"/>
  <c r="J12" i="27"/>
  <c r="J8" i="27"/>
  <c r="J62" i="16"/>
  <c r="E57" i="16"/>
  <c r="F57" i="16"/>
  <c r="G57" i="16"/>
  <c r="H57" i="16"/>
  <c r="D57" i="16"/>
  <c r="E46" i="16"/>
  <c r="F46" i="16"/>
  <c r="G46" i="16"/>
  <c r="H46" i="16"/>
  <c r="D46" i="16"/>
  <c r="J45" i="16"/>
  <c r="E37" i="16"/>
  <c r="F37" i="16"/>
  <c r="G37" i="16"/>
  <c r="H37" i="16"/>
  <c r="D37" i="16"/>
  <c r="J35" i="16"/>
  <c r="J36" i="16"/>
  <c r="J39" i="16"/>
  <c r="J40" i="16"/>
  <c r="J44" i="16"/>
  <c r="J54" i="16"/>
  <c r="J55" i="16"/>
  <c r="J56" i="16"/>
  <c r="E33" i="16"/>
  <c r="F33" i="16"/>
  <c r="G33" i="16"/>
  <c r="H33" i="16"/>
  <c r="D33" i="16"/>
  <c r="J32" i="16"/>
  <c r="J31" i="16"/>
  <c r="J23" i="16"/>
  <c r="J24" i="16"/>
  <c r="J25" i="16"/>
  <c r="J26" i="16"/>
  <c r="J27" i="16"/>
  <c r="J28" i="16"/>
  <c r="J22" i="16"/>
  <c r="G19" i="16"/>
  <c r="G61" i="16" s="1"/>
  <c r="H19" i="16"/>
  <c r="H61" i="16" s="1"/>
  <c r="D19" i="16"/>
  <c r="J17" i="16"/>
  <c r="J18" i="16"/>
  <c r="J58" i="28" l="1"/>
  <c r="H13" i="30"/>
  <c r="J65" i="27"/>
  <c r="D13" i="30"/>
  <c r="D61" i="16"/>
  <c r="J61" i="16" s="1"/>
  <c r="J13" i="30"/>
  <c r="J61" i="27"/>
  <c r="F59" i="28"/>
  <c r="G59" i="28"/>
  <c r="H59" i="28"/>
  <c r="J49" i="28"/>
  <c r="D59" i="28"/>
  <c r="E59" i="28"/>
  <c r="H58" i="16"/>
  <c r="H63" i="16" s="1"/>
  <c r="G58" i="16"/>
  <c r="G63" i="16" s="1"/>
  <c r="F58" i="16"/>
  <c r="F63" i="16" s="1"/>
  <c r="J34" i="27"/>
  <c r="G62" i="27"/>
  <c r="J40" i="27"/>
  <c r="D62" i="27"/>
  <c r="E62" i="27"/>
  <c r="H62" i="27"/>
  <c r="F62" i="27"/>
  <c r="J30" i="27"/>
  <c r="J47" i="27"/>
  <c r="E58" i="16"/>
  <c r="E63" i="16" s="1"/>
  <c r="J52" i="16"/>
  <c r="D58" i="16"/>
  <c r="J31" i="31"/>
  <c r="J35" i="29"/>
  <c r="J31" i="29"/>
  <c r="J16" i="29"/>
  <c r="J14" i="27"/>
  <c r="J33" i="16"/>
  <c r="J37" i="16"/>
  <c r="J29" i="16"/>
  <c r="J46" i="16"/>
  <c r="E10" i="30"/>
  <c r="G10" i="30"/>
  <c r="J57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J19" i="27"/>
  <c r="E8" i="30"/>
  <c r="J64" i="28"/>
  <c r="J62" i="28"/>
  <c r="H14" i="30"/>
  <c r="F14" i="30"/>
  <c r="G12" i="30"/>
  <c r="J45" i="28"/>
  <c r="J34" i="28"/>
  <c r="D12" i="30"/>
  <c r="E12" i="30"/>
  <c r="G11" i="30"/>
  <c r="J38" i="28"/>
  <c r="J30" i="28"/>
  <c r="H8" i="30"/>
  <c r="J16" i="28"/>
  <c r="J19" i="28" s="1"/>
  <c r="D8" i="30"/>
  <c r="F8" i="30"/>
  <c r="G8" i="30"/>
  <c r="G7" i="30"/>
  <c r="F7" i="30"/>
  <c r="D7" i="30"/>
  <c r="J14" i="28"/>
  <c r="E14" i="30"/>
  <c r="G14" i="30"/>
  <c r="H9" i="30"/>
  <c r="G9" i="30"/>
  <c r="D14" i="30"/>
  <c r="H61" i="31"/>
  <c r="J41" i="31"/>
  <c r="D9" i="30"/>
  <c r="J16" i="31"/>
  <c r="F61" i="31"/>
  <c r="G61" i="31"/>
  <c r="H7" i="30"/>
  <c r="D61" i="31"/>
  <c r="E61" i="31"/>
  <c r="J41" i="29"/>
  <c r="D11" i="30"/>
  <c r="J27" i="29"/>
  <c r="E61" i="29"/>
  <c r="G61" i="29"/>
  <c r="H61" i="29"/>
  <c r="D61" i="29"/>
  <c r="F61" i="29"/>
  <c r="J53" i="31"/>
  <c r="J19" i="16"/>
  <c r="J59" i="29"/>
  <c r="J53" i="29"/>
  <c r="J59" i="28" l="1"/>
  <c r="J66" i="28" s="1"/>
  <c r="D26" i="30" s="1"/>
  <c r="D63" i="16"/>
  <c r="E15" i="30"/>
  <c r="D15" i="30"/>
  <c r="G15" i="30"/>
  <c r="H15" i="30"/>
  <c r="F15" i="30"/>
  <c r="F17" i="30"/>
  <c r="E17" i="30"/>
  <c r="D66" i="28"/>
  <c r="E66" i="28"/>
  <c r="H66" i="28"/>
  <c r="G66" i="28"/>
  <c r="G17" i="30"/>
  <c r="H17" i="30"/>
  <c r="D67" i="27"/>
  <c r="J67" i="27" s="1"/>
  <c r="J64" i="27"/>
  <c r="F65" i="16"/>
  <c r="G65" i="16"/>
  <c r="D65" i="16"/>
  <c r="H65" i="16"/>
  <c r="E65" i="16"/>
  <c r="J58" i="16"/>
  <c r="J60" i="16"/>
  <c r="J63" i="16" s="1"/>
  <c r="F69" i="27"/>
  <c r="E69" i="27"/>
  <c r="H69" i="27"/>
  <c r="G69" i="27"/>
  <c r="J10" i="30"/>
  <c r="J11" i="30"/>
  <c r="D58" i="34"/>
  <c r="J51" i="34"/>
  <c r="J58" i="34" s="1"/>
  <c r="J51" i="33"/>
  <c r="J58" i="33" s="1"/>
  <c r="D58" i="33"/>
  <c r="J46" i="32"/>
  <c r="J53" i="32" s="1"/>
  <c r="J12" i="30"/>
  <c r="J9" i="30"/>
  <c r="J8" i="30"/>
  <c r="J7" i="30"/>
  <c r="F66" i="28"/>
  <c r="J14" i="30"/>
  <c r="J54" i="31"/>
  <c r="J61" i="31" s="1"/>
  <c r="J54" i="29"/>
  <c r="J61" i="29" s="1"/>
  <c r="J62" i="27"/>
  <c r="E19" i="30" l="1"/>
  <c r="F19" i="30"/>
  <c r="J69" i="27"/>
  <c r="D25" i="30" s="1"/>
  <c r="D69" i="27"/>
  <c r="J65" i="16"/>
  <c r="D24" i="30" s="1"/>
  <c r="H19" i="30"/>
  <c r="J61" i="28"/>
  <c r="G19" i="30"/>
  <c r="D17" i="30"/>
  <c r="J17" i="30" s="1"/>
  <c r="J15" i="30"/>
  <c r="D30" i="30" l="1"/>
  <c r="E25" i="30" s="1"/>
  <c r="D19" i="30"/>
  <c r="J19" i="30"/>
  <c r="E24" i="30" l="1"/>
  <c r="E26" i="30"/>
  <c r="E30" i="30" l="1"/>
</calcChain>
</file>

<file path=xl/sharedStrings.xml><?xml version="1.0" encoding="utf-8"?>
<sst xmlns="http://schemas.openxmlformats.org/spreadsheetml/2006/main" count="577" uniqueCount="136">
  <si>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</si>
  <si>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</si>
  <si>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</si>
  <si>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</si>
  <si>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</si>
  <si>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</si>
  <si>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</si>
  <si>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</si>
  <si>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</si>
  <si>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</si>
  <si>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</si>
  <si>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</si>
  <si>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 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</si>
  <si>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</si>
  <si>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</si>
  <si>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</si>
  <si>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</si>
  <si>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</si>
  <si>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 xml:space="preserve"> TOTAL CONSTRUCTION</t>
  </si>
  <si>
    <t>TOTAL DIRECT</t>
  </si>
  <si>
    <t/>
  </si>
  <si>
    <t xml:space="preserve"> TOTAL INDIRECT </t>
  </si>
  <si>
    <t xml:space="preserve"> TOTAL FUNDING </t>
  </si>
  <si>
    <t>BUDGET BY PROJECT</t>
  </si>
  <si>
    <t>Measure Number</t>
  </si>
  <si>
    <t>Project Name</t>
  </si>
  <si>
    <t>Total Cost</t>
  </si>
  <si>
    <t>% of Total</t>
  </si>
  <si>
    <t>T2</t>
  </si>
  <si>
    <t>Measure T2: Decarbonize Passenger Transport</t>
  </si>
  <si>
    <t>T5</t>
  </si>
  <si>
    <t>Measure T5 - Expand the Active Transportation Network</t>
  </si>
  <si>
    <t>T3</t>
  </si>
  <si>
    <t>Measure T6 - Expand Transit Network &amp; Increase Ridership</t>
  </si>
  <si>
    <t>Total</t>
  </si>
  <si>
    <t>Measure T2: Decarbonize Passenger Transport - Detailed Budget Table</t>
  </si>
  <si>
    <t xml:space="preserve">This Excel Workbook is provided to aid applicants in developing the required budget table(s) within the budget narrative.  </t>
  </si>
  <si>
    <t>Salary</t>
  </si>
  <si>
    <t>FTE</t>
  </si>
  <si>
    <t>Escalation</t>
  </si>
  <si>
    <t>Fringe</t>
  </si>
  <si>
    <t>Indirect</t>
  </si>
  <si>
    <t>Personnel</t>
  </si>
  <si>
    <t> </t>
  </si>
  <si>
    <t>Project Director @ $175,000/yr, 0.1 FTE, with 3% salary increase</t>
  </si>
  <si>
    <t>Project Manager @ $150,000 yr, 0.5 FTE, with 3% salary increase</t>
  </si>
  <si>
    <t>Engineer @ $125,000/ yr, 0.5 FTE, with 3% salary increase</t>
  </si>
  <si>
    <t>Planner  $125,000/ yr, 0.5 FTE, with 3% salary increase</t>
  </si>
  <si>
    <t>Financial Analysts @ $125,000/ yr, 0.25 FTE, with 3% salary increase</t>
  </si>
  <si>
    <t>Project Controls @ $125,000/ yr, 0.25 FTE, with 3% salary increase</t>
  </si>
  <si>
    <t xml:space="preserve">TOTAL PERSONNEL </t>
  </si>
  <si>
    <t xml:space="preserve"> Fringe Benefits </t>
  </si>
  <si>
    <t xml:space="preserve"> Travel </t>
  </si>
  <si>
    <t>Mileage for local travel (500 miles per year at $0.655/mi)</t>
  </si>
  <si>
    <t xml:space="preserve"> Equipment </t>
  </si>
  <si>
    <t xml:space="preserve"> </t>
  </si>
  <si>
    <t xml:space="preserve"> Supplies </t>
  </si>
  <si>
    <t xml:space="preserve"> Contractual </t>
  </si>
  <si>
    <t>Division 7 - Planning/Conceptual</t>
  </si>
  <si>
    <t>Division 7 - Environmental Studies (PA/ED)</t>
  </si>
  <si>
    <t>Division 7 - Design Engineering (PS&amp;E)</t>
  </si>
  <si>
    <t>Division 7 - Construction Management Support Services</t>
  </si>
  <si>
    <t>Workforce development support</t>
  </si>
  <si>
    <t>CONSTRUCTION</t>
  </si>
  <si>
    <t>Division 7 - Depot Civil/Structural Construction</t>
  </si>
  <si>
    <t xml:space="preserve">Division 7 - Charging Infrastructure (60kW-200kW depot pantograph chargers) </t>
  </si>
  <si>
    <t xml:space="preserve">Division 7 - Contingency </t>
  </si>
  <si>
    <t xml:space="preserve">Division 18 - Charging Infrastructure (60kW-200kW depot pantograph chargers) </t>
  </si>
  <si>
    <t>OTHER</t>
  </si>
  <si>
    <t xml:space="preserve">Subaward: Los Angeles Department of Transportation for the Sylmar Bus Yard Charging Infrastructure </t>
  </si>
  <si>
    <t xml:space="preserve">Subaward: Los Angeles County Public Works for El Sol Shuttle Zero-Emission Vehicles </t>
  </si>
  <si>
    <t>TOTAL OTHER</t>
  </si>
  <si>
    <t>Indirect Costs</t>
  </si>
  <si>
    <t>Indirect Cost Rate: 40% of full time personnel and fringe benefits</t>
  </si>
  <si>
    <t>Measure T5 - Expand the Active Transportation Network - Detailed Budget Table</t>
  </si>
  <si>
    <t>Metro Bike Share - 480 E-bikes</t>
  </si>
  <si>
    <t>Construction</t>
  </si>
  <si>
    <t xml:space="preserve">Metro Bike Share - Site Work </t>
  </si>
  <si>
    <t>Metro Bike Share - 40 Station Construction/Installation</t>
  </si>
  <si>
    <t xml:space="preserve">Subaward:  City of Long Beach for Long Beach Blvd Complete Street </t>
  </si>
  <si>
    <t>Subaward:  City of Long Beach for Ocean Blvd Compete Street: Rails to Sails</t>
  </si>
  <si>
    <t xml:space="preserve">Subaward: City of Anaheim for Katella Pedetrian Bridge </t>
  </si>
  <si>
    <t>Subaward: ActiveSGV for E-bike program</t>
  </si>
  <si>
    <t>Measure T6 - Expand Transit Network &amp; Increase Ridership - Detailed Budget Table</t>
  </si>
  <si>
    <t xml:space="preserve">Subaward: Metrolink (Southern California Regional Rail Authority) for Balboa Double Track as part of Antelope Valley Line  </t>
  </si>
  <si>
    <t xml:space="preserve">Subaward: Metrolink (Southern California Regional Rail Authority) for Lancaster Terminal Station as part of Antelope Valley Line  </t>
  </si>
  <si>
    <t xml:space="preserve">Subaward: Orange County Transportation Authority for Harbor Blvd Connected Bus </t>
  </si>
  <si>
    <t xml:space="preserve">Subaward: Los Angeles Department of Transportation for the Transit Signal Priority for NextGen Project </t>
  </si>
  <si>
    <t>Subaward: Los Angeles Department of Transportation for Venice Blvd Multimodal Improvements</t>
  </si>
  <si>
    <t>Detailed Budget Table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</si>
  <si>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</si>
  <si>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</si>
  <si>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</si>
  <si>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</si>
  <si>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</si>
  <si>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</si>
  <si>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</si>
  <si>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</si>
  <si>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</si>
  <si>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</si>
  <si>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</si>
  <si>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</si>
  <si>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</si>
  <si>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</si>
  <si>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</si>
  <si>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</si>
  <si>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</si>
  <si>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</si>
  <si>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</si>
  <si>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</si>
  <si>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</si>
  <si>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</si>
  <si>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</si>
  <si>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</si>
  <si>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</si>
  <si>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</si>
  <si>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</si>
  <si>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</si>
  <si>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</si>
  <si>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</si>
  <si>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TOTAL CONTRACTUAL</t>
  </si>
  <si>
    <t>Other</t>
  </si>
  <si>
    <t xml:space="preserve">Subaward: San Gabriel Valley Council of Governments for Garvey/Atlantic/Holt Bus Priority Lanes </t>
  </si>
  <si>
    <t>Indirect Cost Rate: 73.68% of full time personnel and fringe benefits</t>
  </si>
  <si>
    <t xml:space="preserve">Full-time Employees @ 39.8% of salary </t>
  </si>
  <si>
    <t>Subaward: City of Pomona for Garey Avenue Complete Street</t>
  </si>
  <si>
    <t>Bike share operations &amp; maintenance</t>
  </si>
  <si>
    <t>YEAR 1- 2025</t>
  </si>
  <si>
    <t>YEAR 2- 2026</t>
  </si>
  <si>
    <t>YEAR 3- 2027</t>
  </si>
  <si>
    <t>YEAR 4- 2028</t>
  </si>
  <si>
    <t>YEAR 5- 2029</t>
  </si>
  <si>
    <t>TOTAL SUB-AWARD</t>
  </si>
  <si>
    <t xml:space="preserve"> TOTAL SUBAWARD</t>
  </si>
  <si>
    <t>OTHER- SUBAWARD</t>
  </si>
  <si>
    <t>OTHER-SUBAWARD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</si>
</sst>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2" fillId="0" borderId="2" xfId="0" applyFont="1" applyBorder="1" applyAlignment="1">
      <alignment vertical="top" wrapText="1"/>
    </xf>
    <xf numFmtId="9" fontId="0" fillId="0" borderId="0" xfId="0" applyNumberFormat="1"/>
    <xf numFmtId="8" fontId="0" fillId="0" borderId="0" xfId="0" applyNumberFormat="1"/>
    <xf numFmtId="10" fontId="0" fillId="0" borderId="0" xfId="0" applyNumberFormat="1"/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0" xfId="0" applyFont="1"/>
    <xf numFmtId="0" fontId="19" fillId="0" borderId="1" xfId="0" applyFont="1" applyBorder="1" applyAlignment="1">
      <alignment wrapText="1"/>
    </xf>
    <xf numFmtId="6" fontId="19" fillId="0" borderId="1" xfId="0" applyNumberFormat="1" applyFont="1" applyBorder="1" applyAlignment="1">
      <alignment wrapText="1"/>
    </xf>
    <xf numFmtId="0" fontId="19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0" fontId="20" fillId="0" borderId="1" xfId="0" applyFont="1" applyBorder="1"/>
    <xf numFmtId="0" fontId="18" fillId="0" borderId="1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0" fontId="20" fillId="0" borderId="2" xfId="0" applyFont="1" applyBorder="1" applyAlignment="1">
      <alignment vertical="top"/>
    </xf>
    <xf numFmtId="0" fontId="20" fillId="0" borderId="1" xfId="0" applyFont="1" applyBorder="1" applyAlignment="1">
      <alignment vertical="top"/>
    </xf>
    <xf numFmtId="0" fontId="19" fillId="0" borderId="1" xfId="0" applyFont="1" applyBorder="1"/>
    <xf numFmtId="0" fontId="19" fillId="0" borderId="5" xfId="0" applyFont="1" applyBorder="1" applyAlignment="1">
      <alignment vertical="top"/>
    </xf>
    <xf numFmtId="0" fontId="20" fillId="0" borderId="1" xfId="0" applyFont="1" applyBorder="1" applyAlignment="1">
      <alignment wrapText="1"/>
    </xf>
    <xf numFmtId="0" fontId="18" fillId="0" borderId="1" xfId="0" applyFont="1" applyBorder="1" applyAlignment="1">
      <alignment horizontal="left" wrapText="1" indent="4"/>
    </xf>
    <xf numFmtId="6" fontId="18" fillId="4" borderId="4" xfId="0" applyNumberFormat="1" applyFont="1" applyFill="1" applyBorder="1" applyAlignment="1">
      <alignment wrapText="1"/>
    </xf>
    <xf numFmtId="0" fontId="18" fillId="0" borderId="0" xfId="0" applyFont="1" applyAlignment="1">
      <alignment wrapText="1"/>
    </xf>
    <xf numFmtId="0" fontId="19" fillId="0" borderId="3" xfId="0" applyFont="1" applyBorder="1" applyAlignment="1">
      <alignment vertical="top"/>
    </xf>
    <xf numFmtId="0" fontId="19" fillId="0" borderId="0" xfId="0" applyFont="1" applyAlignment="1">
      <alignment vertical="top"/>
    </xf>
    <xf numFmtId="0" fontId="20" fillId="0" borderId="2" xfId="0" applyFont="1" applyBorder="1" applyAlignment="1">
      <alignment vertical="top" wrapText="1"/>
    </xf>
    <xf numFmtId="164" fontId="19" fillId="0" borderId="0" xfId="1" applyNumberFormat="1" applyFont="1" applyBorder="1"/>
    <xf numFmtId="0" fontId="19" fillId="7" borderId="1" xfId="0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19" fillId="8" borderId="0" xfId="0" applyFont="1" applyFill="1"/>
    <xf numFmtId="6" fontId="19" fillId="4" borderId="1" xfId="0" applyNumberFormat="1" applyFont="1" applyFill="1" applyBorder="1" applyAlignment="1">
      <alignment wrapText="1"/>
    </xf>
    <xf numFmtId="0" fontId="19" fillId="7" borderId="1" xfId="0" applyFont="1" applyFill="1" applyBorder="1" applyAlignment="1">
      <alignment horizontal="center" wrapText="1"/>
    </xf>
    <xf numFmtId="6" fontId="18" fillId="7" borderId="1" xfId="0" applyNumberFormat="1" applyFont="1" applyFill="1" applyBorder="1" applyAlignment="1">
      <alignment horizontal="left" vertical="top" wrapText="1"/>
    </xf>
    <xf numFmtId="6" fontId="18" fillId="7" borderId="8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7109375" customWidth="1"/>
    <col min="5" max="5" width="13.42578125" bestFit="1" customWidth="1"/>
    <col min="6" max="6" width="14.42578125" bestFit="1" customWidth="1"/>
    <col min="7" max="9" width="14.42578125" customWidth="1"/>
    <col min="10" max="10" width="10.71093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57"/>
      <c r="R28" s="58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rgb="FFFF0000"/>
    <pageSetUpPr fitToPage="1"/>
  </sheetPr>
  <dimension ref="B2:AM76"/>
  <sheetViews>
    <sheetView showGridLines="0" zoomScale="85" zoomScaleNormal="85" workbookViewId="0">
      <pane xSplit="3" ySplit="6" topLeftCell="D34" activePane="bottomRight" state="frozen"/>
      <selection pane="topRight" activeCell="R20" sqref="R20:W20"/>
      <selection pane="bottomLeft" activeCell="R20" sqref="R20:W20"/>
      <selection pane="bottomRight" activeCell="H67" sqref="H67"/>
    </sheetView>
  </sheetViews>
  <sheetFormatPr defaultColWidth="9.28515625" defaultRowHeight="15" x14ac:dyDescent="0.25"/>
  <cols>
    <col min="1" max="1" width="3.28515625" customWidth="1"/>
    <col min="2" max="2" width="11.28515625" customWidth="1"/>
    <col min="3" max="3" width="46.42578125" customWidth="1"/>
    <col min="4" max="4" width="13.28515625" style="6" customWidth="1"/>
    <col min="5" max="5" width="13.28515625" style="2" customWidth="1"/>
    <col min="6" max="7" width="13.28515625" customWidth="1"/>
    <col min="8" max="8" width="12.7109375" style="2" customWidth="1"/>
    <col min="9" max="9" width="0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89</v>
      </c>
    </row>
    <row r="3" spans="2:39" x14ac:dyDescent="0.25">
      <c r="B3" s="59" t="s">
        <v>36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50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51</v>
      </c>
      <c r="D12" s="13" t="s">
        <v>43</v>
      </c>
      <c r="E12" s="10"/>
      <c r="F12" s="10"/>
      <c r="G12" s="10"/>
      <c r="H12" s="10"/>
      <c r="J12" s="8" t="s">
        <v>43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52</v>
      </c>
      <c r="D17" s="13" t="s">
        <v>43</v>
      </c>
      <c r="E17" s="10"/>
      <c r="F17" s="10"/>
      <c r="G17" s="10"/>
      <c r="H17" s="10"/>
      <c r="J17" s="8" t="s">
        <v>43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55</v>
      </c>
      <c r="C30" s="28" t="s">
        <v>55</v>
      </c>
      <c r="D30" s="13" t="s">
        <v>43</v>
      </c>
      <c r="E30" s="10"/>
      <c r="F30" s="10"/>
      <c r="G30" s="10"/>
      <c r="H30" s="10"/>
      <c r="J30" s="15">
        <f t="shared" ref="J30:J54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56</v>
      </c>
      <c r="D32" s="13" t="s">
        <v>43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57</v>
      </c>
      <c r="D36" s="13" t="s">
        <v>43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63</v>
      </c>
      <c r="D42" s="13" t="s">
        <v>43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/>
      <c r="J43" s="15">
        <f t="shared" ref="J43:J44" si="10">SUM(D43:H43)</f>
        <v>0</v>
      </c>
    </row>
    <row r="44" spans="2:10" x14ac:dyDescent="0.25">
      <c r="B44" s="23"/>
      <c r="C44" s="25"/>
      <c r="D44" s="15"/>
      <c r="E44" s="11"/>
      <c r="F44" s="11"/>
      <c r="G44" s="11"/>
      <c r="H44" s="11"/>
      <c r="J44" s="15">
        <f t="shared" si="10"/>
        <v>0</v>
      </c>
    </row>
    <row r="45" spans="2:10" x14ac:dyDescent="0.25">
      <c r="B45" s="23"/>
      <c r="C45" s="9" t="s">
        <v>18</v>
      </c>
      <c r="D45" s="16">
        <f>SUM(D43:D44)</f>
        <v>0</v>
      </c>
      <c r="E45" s="16">
        <f t="shared" ref="E45:H45" si="11">SUM(E43:E44)</f>
        <v>0</v>
      </c>
      <c r="F45" s="16">
        <f t="shared" si="11"/>
        <v>0</v>
      </c>
      <c r="G45" s="16">
        <f t="shared" si="11"/>
        <v>0</v>
      </c>
      <c r="H45" s="16">
        <f t="shared" si="11"/>
        <v>0</v>
      </c>
      <c r="J45" s="16">
        <f>SUM(J43:J44)</f>
        <v>0</v>
      </c>
    </row>
    <row r="46" spans="2:10" x14ac:dyDescent="0.25">
      <c r="B46" s="23"/>
      <c r="C46" s="14" t="s">
        <v>68</v>
      </c>
      <c r="D46" s="13" t="s">
        <v>43</v>
      </c>
      <c r="E46" s="10"/>
      <c r="F46" s="10"/>
      <c r="G46" s="10"/>
      <c r="H46" s="10"/>
      <c r="J46" s="15"/>
    </row>
    <row r="47" spans="2:10" x14ac:dyDescent="0.25">
      <c r="B47" s="23"/>
      <c r="C47" s="25"/>
      <c r="D47" s="15"/>
      <c r="E47" s="15"/>
      <c r="F47" s="15"/>
      <c r="G47" s="15"/>
      <c r="H47" s="15"/>
      <c r="I47" s="35">
        <v>375000</v>
      </c>
      <c r="J47" s="15">
        <f t="shared" si="6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>
        <v>781250</v>
      </c>
      <c r="J48" s="15">
        <f t="shared" si="6"/>
        <v>0</v>
      </c>
    </row>
    <row r="49" spans="2:10" x14ac:dyDescent="0.25">
      <c r="B49" s="23"/>
      <c r="C49" s="25"/>
      <c r="D49" s="15"/>
      <c r="E49" s="15"/>
      <c r="F49" s="15"/>
      <c r="G49" s="15"/>
      <c r="H49" s="15"/>
      <c r="I49" s="35">
        <v>2083335</v>
      </c>
      <c r="J49" s="15">
        <f t="shared" si="6"/>
        <v>0</v>
      </c>
    </row>
    <row r="50" spans="2:10" x14ac:dyDescent="0.25">
      <c r="B50" s="23"/>
      <c r="C50" s="25"/>
      <c r="D50" s="15"/>
      <c r="E50" s="11"/>
      <c r="F50" s="11"/>
      <c r="G50" s="11"/>
      <c r="H50" s="11"/>
      <c r="J50" s="15">
        <f t="shared" si="6"/>
        <v>0</v>
      </c>
    </row>
    <row r="51" spans="2:10" x14ac:dyDescent="0.25">
      <c r="B51" s="23"/>
      <c r="C51" s="25"/>
      <c r="D51" s="15"/>
      <c r="E51" s="11"/>
      <c r="F51" s="11"/>
      <c r="G51" s="11"/>
      <c r="H51" s="11"/>
      <c r="J51" s="15">
        <f t="shared" si="6"/>
        <v>0</v>
      </c>
    </row>
    <row r="52" spans="2:10" x14ac:dyDescent="0.25">
      <c r="B52" s="23"/>
      <c r="C52" s="10"/>
      <c r="D52" s="15"/>
      <c r="E52" s="11"/>
      <c r="F52" s="11"/>
      <c r="G52" s="11"/>
      <c r="H52" s="11"/>
      <c r="J52" s="15">
        <f t="shared" si="6"/>
        <v>0</v>
      </c>
    </row>
    <row r="53" spans="2:10" x14ac:dyDescent="0.25">
      <c r="B53" s="24"/>
      <c r="C53" s="9" t="s">
        <v>71</v>
      </c>
      <c r="D53" s="16">
        <f>SUM(D47:D52)</f>
        <v>0</v>
      </c>
      <c r="E53" s="16">
        <f t="shared" ref="E53:H53" si="12">SUM(E47:E52)</f>
        <v>0</v>
      </c>
      <c r="F53" s="16">
        <f t="shared" si="12"/>
        <v>0</v>
      </c>
      <c r="G53" s="16">
        <f t="shared" si="12"/>
        <v>0</v>
      </c>
      <c r="H53" s="16">
        <f t="shared" si="12"/>
        <v>0</v>
      </c>
      <c r="J53" s="16">
        <f t="shared" si="6"/>
        <v>0</v>
      </c>
    </row>
    <row r="54" spans="2:10" x14ac:dyDescent="0.25">
      <c r="B54" s="24"/>
      <c r="C54" s="9" t="s">
        <v>19</v>
      </c>
      <c r="D54" s="16">
        <f>SUM(D53,D45,D41,D35,D31,D27,D16,D11)</f>
        <v>0</v>
      </c>
      <c r="E54" s="16">
        <f t="shared" ref="E54:H54" si="13">SUM(E53,E45,E41,E35,E31,E27,E16,E11)</f>
        <v>0</v>
      </c>
      <c r="F54" s="16">
        <f t="shared" si="13"/>
        <v>0</v>
      </c>
      <c r="G54" s="16">
        <f t="shared" si="13"/>
        <v>0</v>
      </c>
      <c r="H54" s="16">
        <f t="shared" si="13"/>
        <v>0</v>
      </c>
      <c r="J54" s="16">
        <f t="shared" si="6"/>
        <v>0</v>
      </c>
    </row>
    <row r="55" spans="2:10" x14ac:dyDescent="0.25">
      <c r="B55" s="6"/>
      <c r="D55"/>
      <c r="E55"/>
      <c r="H55"/>
      <c r="I55"/>
      <c r="J55" t="s">
        <v>20</v>
      </c>
    </row>
    <row r="56" spans="2:10" ht="30" x14ac:dyDescent="0.25">
      <c r="B56" s="63" t="s">
        <v>72</v>
      </c>
      <c r="C56" s="17" t="s">
        <v>72</v>
      </c>
      <c r="D56" s="18"/>
      <c r="E56" s="18"/>
      <c r="F56" s="18"/>
      <c r="G56" s="18"/>
      <c r="H56" s="18"/>
      <c r="I56"/>
      <c r="J56" s="18" t="s">
        <v>20</v>
      </c>
    </row>
    <row r="57" spans="2:10" x14ac:dyDescent="0.25">
      <c r="B57" s="23"/>
      <c r="C57" s="25"/>
      <c r="D57" s="13"/>
      <c r="E57" s="10"/>
      <c r="F57" s="10"/>
      <c r="G57" s="10"/>
      <c r="H57" s="10"/>
      <c r="J57" s="15">
        <f>SUM(D57:H57)</f>
        <v>0</v>
      </c>
    </row>
    <row r="58" spans="2:10" x14ac:dyDescent="0.25">
      <c r="B58" s="23"/>
      <c r="C58" s="25"/>
      <c r="D58" s="13"/>
      <c r="E58" s="10"/>
      <c r="F58" s="10"/>
      <c r="G58" s="10"/>
      <c r="H58" s="10"/>
      <c r="J58" s="15">
        <f t="shared" ref="J58:J59" si="14">SUM(D58:H58)</f>
        <v>0</v>
      </c>
    </row>
    <row r="59" spans="2:10" x14ac:dyDescent="0.25">
      <c r="B59" s="24"/>
      <c r="C59" s="9" t="s">
        <v>21</v>
      </c>
      <c r="D59" s="16">
        <f>SUM(D57:D58)</f>
        <v>0</v>
      </c>
      <c r="E59" s="16">
        <f t="shared" ref="E59:H59" si="15">SUM(E57:E58)</f>
        <v>0</v>
      </c>
      <c r="F59" s="16">
        <f t="shared" si="15"/>
        <v>0</v>
      </c>
      <c r="G59" s="16">
        <f t="shared" si="15"/>
        <v>0</v>
      </c>
      <c r="H59" s="16">
        <f t="shared" si="15"/>
        <v>0</v>
      </c>
      <c r="J59" s="16">
        <f t="shared" si="14"/>
        <v>0</v>
      </c>
    </row>
    <row r="60" spans="2:10" ht="15.75" thickBot="1" x14ac:dyDescent="0.3">
      <c r="B60" s="6"/>
      <c r="D60"/>
      <c r="E60"/>
      <c r="H60"/>
      <c r="I60"/>
      <c r="J60" t="s">
        <v>20</v>
      </c>
    </row>
    <row r="61" spans="2:10" s="1" customFormat="1" ht="30.75" thickBot="1" x14ac:dyDescent="0.3">
      <c r="B61" s="19" t="s">
        <v>22</v>
      </c>
      <c r="C61" s="19"/>
      <c r="D61" s="20">
        <f>SUM(D59,D54)</f>
        <v>0</v>
      </c>
      <c r="E61" s="20">
        <f t="shared" ref="E61:J61" si="16">SUM(E59,E54)</f>
        <v>0</v>
      </c>
      <c r="F61" s="20">
        <f t="shared" si="16"/>
        <v>0</v>
      </c>
      <c r="G61" s="20">
        <f t="shared" si="16"/>
        <v>0</v>
      </c>
      <c r="H61" s="20">
        <f t="shared" si="16"/>
        <v>0</v>
      </c>
      <c r="I61" s="7">
        <f>SUM(I59,I54)</f>
        <v>0</v>
      </c>
      <c r="J61" s="20">
        <f t="shared" si="16"/>
        <v>0</v>
      </c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</sheetData>
  <pageMargins left="0.7" right="0.7" top="0.75" bottom="0.75" header="0.3" footer="0.3"/>
  <pageSetup scale="86" fitToHeight="0" orientation="landscape" r:id="rId1"/>
  <ignoredErrors>
    <ignoredError sqref="J47:J49 J37:J39 J33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1"/>
  <sheetViews>
    <sheetView showGridLines="0" tabSelected="1" zoomScale="83" zoomScaleNormal="85" workbookViewId="0">
      <selection activeCell="C14" sqref="C14"/>
    </sheetView>
  </sheetViews>
  <sheetFormatPr defaultColWidth="9.28515625" defaultRowHeight="15" customHeight="1" x14ac:dyDescent="0.25"/>
  <cols>
    <col min="1" max="1" width="3.28515625" customWidth="1"/>
    <col min="2" max="2" width="12.28515625" customWidth="1"/>
    <col min="3" max="3" width="29.28515625" customWidth="1"/>
    <col min="4" max="4" width="16.85546875" style="6" customWidth="1"/>
    <col min="5" max="5" width="16.85546875" style="2" customWidth="1"/>
    <col min="6" max="7" width="16.85546875" customWidth="1"/>
    <col min="8" max="8" width="16.85546875" style="2" customWidth="1"/>
    <col min="9" max="9" width="3.5703125" style="7" customWidth="1"/>
    <col min="10" max="10" width="16.7109375" customWidth="1"/>
    <col min="11" max="11" width="14.5703125" customWidth="1"/>
    <col min="12" max="12" width="13.85546875" bestFit="1" customWidth="1"/>
    <col min="13" max="17" width="11.140625" bestFit="1" customWidth="1"/>
    <col min="18" max="18" width="5.42578125" bestFit="1" customWidth="1"/>
    <col min="19" max="19" width="14.140625" bestFit="1" customWidth="1"/>
  </cols>
  <sheetData>
    <row r="2" spans="2:39" ht="23.25" x14ac:dyDescent="0.35">
      <c r="B2" s="30" t="s">
        <v>0</v>
      </c>
    </row>
    <row r="3" spans="2:39" ht="26.65" customHeight="1" x14ac:dyDescent="0.25">
      <c r="B3" s="98" t="s">
        <v>1</v>
      </c>
      <c r="C3" s="98"/>
      <c r="D3" s="98"/>
      <c r="E3" s="98"/>
      <c r="F3" s="98"/>
      <c r="G3" s="98"/>
      <c r="H3" s="98"/>
      <c r="I3" s="98"/>
      <c r="J3" s="98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1"/>
    </row>
    <row r="6" spans="2:39" ht="17.100000000000001" customHeight="1" x14ac:dyDescent="0.25">
      <c r="B6" s="47" t="s">
        <v>3</v>
      </c>
      <c r="C6" s="47" t="s">
        <v>4</v>
      </c>
      <c r="D6" s="47" t="s">
        <v>127</v>
      </c>
      <c r="E6" s="48" t="s">
        <v>128</v>
      </c>
      <c r="F6" s="48" t="s">
        <v>129</v>
      </c>
      <c r="G6" s="48" t="s">
        <v>130</v>
      </c>
      <c r="H6" s="49" t="s">
        <v>131</v>
      </c>
      <c r="I6" s="50"/>
      <c r="J6" s="62" t="s">
        <v>10</v>
      </c>
    </row>
    <row r="7" spans="2:39" s="5" customFormat="1" x14ac:dyDescent="0.25">
      <c r="B7" s="22" t="s">
        <v>11</v>
      </c>
      <c r="C7" s="91" t="s">
        <v>12</v>
      </c>
      <c r="D7" s="92">
        <f>'Measure T2 Budget'!D14+'Measure T5 Budget'!D14+'Measure T6 Budget'!D14+'Measure 4 Budget'!D11+'Measure 5 Budget'!D11</f>
        <v>802500</v>
      </c>
      <c r="E7" s="92">
        <f>'Measure T2 Budget'!E14+'Measure T5 Budget'!E14+'Measure T6 Budget'!E14+'Measure 4 Budget'!E11+'Measure 5 Budget'!E11</f>
        <v>826575</v>
      </c>
      <c r="F7" s="92">
        <f>'Measure T2 Budget'!F14+'Measure T5 Budget'!F14+'Measure T6 Budget'!F14+'Measure 4 Budget'!F11+'Measure 5 Budget'!F11</f>
        <v>851372.25</v>
      </c>
      <c r="G7" s="92">
        <f>'Measure T2 Budget'!G14+'Measure T5 Budget'!G14+'Measure T6 Budget'!G14+'Measure 4 Budget'!G11+'Measure 5 Budget'!G11</f>
        <v>876913.4175000001</v>
      </c>
      <c r="H7" s="92">
        <f>'Measure T2 Budget'!H14+'Measure T5 Budget'!H14+'Measure T6 Budget'!H14+'Measure 4 Budget'!H11+'Measure 5 Budget'!H11</f>
        <v>903220.82002500014</v>
      </c>
      <c r="I7" s="93"/>
      <c r="J7" s="92">
        <f>SUM(D7:I7)</f>
        <v>4260581.4875250002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91" t="s">
        <v>13</v>
      </c>
      <c r="D8" s="92">
        <f>'Measure T2 Budget'!D19+'Measure T5 Budget'!D19+'Measure T6 Budget'!D19+'Measure 4 Budget'!D16+'Measure 5 Budget'!D16</f>
        <v>319395</v>
      </c>
      <c r="E8" s="92">
        <f>'Measure T2 Budget'!E19+'Measure T5 Budget'!E19+'Measure T6 Budget'!E19+'Measure 4 Budget'!E16</f>
        <v>328976.85000000003</v>
      </c>
      <c r="F8" s="92">
        <f>'Measure T2 Budget'!F19+'Measure T5 Budget'!F19+'Measure T6 Budget'!F19+'Measure 4 Budget'!F16</f>
        <v>338846.15549999999</v>
      </c>
      <c r="G8" s="92">
        <f>'Measure T2 Budget'!G19+'Measure T5 Budget'!G19+'Measure T6 Budget'!G19+'Measure 4 Budget'!G16</f>
        <v>349011.54016500007</v>
      </c>
      <c r="H8" s="92">
        <f>'Measure T2 Budget'!H19+'Measure T5 Budget'!H19+'Measure T6 Budget'!H19+'Measure 4 Budget'!H16</f>
        <v>359481.88636995008</v>
      </c>
      <c r="I8" s="93"/>
      <c r="J8" s="92">
        <f t="shared" ref="J8:J15" si="0">SUM(D8:I8)</f>
        <v>1695711.4320349502</v>
      </c>
    </row>
    <row r="9" spans="2:39" x14ac:dyDescent="0.25">
      <c r="B9" s="23"/>
      <c r="C9" s="91" t="s">
        <v>14</v>
      </c>
      <c r="D9" s="92">
        <f>'Measure T2 Budget'!D29+'Measure T5 Budget'!D30+'Measure T6 Budget'!D30+'Measure 4 Budget'!D27+'Measure 5 Budget'!D27</f>
        <v>984</v>
      </c>
      <c r="E9" s="92">
        <f>'Measure T2 Budget'!E29+'Measure T5 Budget'!E30+'Measure T6 Budget'!E30+'Measure 4 Budget'!E27</f>
        <v>984</v>
      </c>
      <c r="F9" s="92">
        <f>'Measure T2 Budget'!F29+'Measure T5 Budget'!F30+'Measure T6 Budget'!F30+'Measure 4 Budget'!F27</f>
        <v>984</v>
      </c>
      <c r="G9" s="92">
        <f>'Measure T2 Budget'!G29+'Measure T5 Budget'!G30+'Measure T6 Budget'!G30+'Measure 4 Budget'!G27</f>
        <v>984</v>
      </c>
      <c r="H9" s="92">
        <f>'Measure T2 Budget'!H29+'Measure T5 Budget'!H30+'Measure T6 Budget'!H30+'Measure 4 Budget'!H27</f>
        <v>984</v>
      </c>
      <c r="I9" s="93"/>
      <c r="J9" s="92">
        <f t="shared" si="0"/>
        <v>4920</v>
      </c>
    </row>
    <row r="10" spans="2:39" x14ac:dyDescent="0.25">
      <c r="B10" s="23"/>
      <c r="C10" s="91" t="s">
        <v>15</v>
      </c>
      <c r="D10" s="92">
        <f>'Measure T2 Budget'!D33+'Measure T5 Budget'!D34+'Measure T6 Budget'!D34+'Measure 4 Budget'!D31+'Measure 5 Budget'!D31</f>
        <v>0</v>
      </c>
      <c r="E10" s="92">
        <f>'Measure T2 Budget'!E33+'Measure T5 Budget'!E34+'Measure T6 Budget'!E34+'Measure 4 Budget'!E31</f>
        <v>0</v>
      </c>
      <c r="F10" s="92">
        <f>'Measure T2 Budget'!F33+'Measure T5 Budget'!F34+'Measure T6 Budget'!F34+'Measure 4 Budget'!F31</f>
        <v>0</v>
      </c>
      <c r="G10" s="92">
        <f>'Measure T2 Budget'!G33+'Measure T5 Budget'!G34+'Measure T6 Budget'!G34+'Measure 4 Budget'!G31</f>
        <v>0</v>
      </c>
      <c r="H10" s="92">
        <f>'Measure T2 Budget'!H33+'Measure T5 Budget'!H34+'Measure T6 Budget'!H34+'Measure 4 Budget'!H31</f>
        <v>0</v>
      </c>
      <c r="I10" s="93"/>
      <c r="J10" s="92">
        <f t="shared" si="0"/>
        <v>0</v>
      </c>
    </row>
    <row r="11" spans="2:39" x14ac:dyDescent="0.25">
      <c r="B11" s="23"/>
      <c r="C11" s="91" t="s">
        <v>16</v>
      </c>
      <c r="D11" s="92">
        <f>'Measure T2 Budget'!D37+'Measure T5 Budget'!D40+'Measure T6 Budget'!D38+'Measure 4 Budget'!D35+'Measure 5 Budget'!D35</f>
        <v>0</v>
      </c>
      <c r="E11" s="92">
        <f>'Measure T2 Budget'!E37+'Measure T5 Budget'!E40+'Measure T6 Budget'!E38+'Measure 4 Budget'!E35</f>
        <v>2400000</v>
      </c>
      <c r="F11" s="92">
        <f>'Measure T2 Budget'!F37+'Measure T5 Budget'!F40+'Measure T6 Budget'!F38+'Measure 4 Budget'!F35</f>
        <v>0</v>
      </c>
      <c r="G11" s="92">
        <f>'Measure T2 Budget'!G37+'Measure T5 Budget'!G40+'Measure T6 Budget'!G38+'Measure 4 Budget'!G35</f>
        <v>0</v>
      </c>
      <c r="H11" s="92">
        <f>'Measure T2 Budget'!H37+'Measure T5 Budget'!H40+'Measure T6 Budget'!H38+'Measure 4 Budget'!H35</f>
        <v>0</v>
      </c>
      <c r="I11" s="93"/>
      <c r="J11" s="92">
        <f t="shared" si="0"/>
        <v>2400000</v>
      </c>
    </row>
    <row r="12" spans="2:39" x14ac:dyDescent="0.25">
      <c r="B12" s="23"/>
      <c r="C12" s="91" t="s">
        <v>17</v>
      </c>
      <c r="D12" s="92">
        <f>'Measure T2 Budget'!D46+'Measure T5 Budget'!D47+'Measure T6 Budget'!D45+'Measure 4 Budget'!D41+'Measure 5 Budget'!D41</f>
        <v>3750000</v>
      </c>
      <c r="E12" s="92">
        <f>'Measure T2 Budget'!E46+'Measure T5 Budget'!E47+'Measure T6 Budget'!E45+'Measure 4 Budget'!E41</f>
        <v>5800000</v>
      </c>
      <c r="F12" s="92">
        <f>'Measure T2 Budget'!F46+'Measure T5 Budget'!F47+'Measure T6 Budget'!F45+'Measure 4 Budget'!F41</f>
        <v>3450000</v>
      </c>
      <c r="G12" s="92">
        <f>'Measure T2 Budget'!G46+'Measure T5 Budget'!G47+'Measure T6 Budget'!G45+'Measure 4 Budget'!G41</f>
        <v>3300000</v>
      </c>
      <c r="H12" s="92">
        <f>'Measure T2 Budget'!H46+'Measure T5 Budget'!H47+'Measure T6 Budget'!H45+'Measure 4 Budget'!H41</f>
        <v>0</v>
      </c>
      <c r="I12" s="93"/>
      <c r="J12" s="92">
        <f t="shared" si="0"/>
        <v>16300000</v>
      </c>
    </row>
    <row r="13" spans="2:39" x14ac:dyDescent="0.25">
      <c r="B13" s="23"/>
      <c r="C13" s="91" t="s">
        <v>18</v>
      </c>
      <c r="D13" s="92">
        <f>'Measure T2 Budget'!D52+'Measure T5 Budget'!D53+'Measure T6 Budget'!D49</f>
        <v>0</v>
      </c>
      <c r="E13" s="92">
        <f>'Measure T2 Budget'!E52+'Measure T5 Budget'!E53+'Measure T6 Budget'!E49</f>
        <v>40530000</v>
      </c>
      <c r="F13" s="92">
        <f>'Measure T2 Budget'!F52+'Measure T5 Budget'!F53+'Measure T6 Budget'!F49</f>
        <v>48000000</v>
      </c>
      <c r="G13" s="92">
        <f>'Measure T2 Budget'!G52+'Measure T5 Budget'!G53+'Measure T6 Budget'!G49</f>
        <v>101950000</v>
      </c>
      <c r="H13" s="92">
        <f>'Measure T2 Budget'!H52+'Measure T5 Budget'!H53+'Measure T6 Budget'!H49</f>
        <v>0</v>
      </c>
      <c r="I13" s="93"/>
      <c r="J13" s="92">
        <f t="shared" si="0"/>
        <v>190480000</v>
      </c>
    </row>
    <row r="14" spans="2:39" x14ac:dyDescent="0.25">
      <c r="B14" s="23"/>
      <c r="C14" s="91" t="s">
        <v>133</v>
      </c>
      <c r="D14" s="92">
        <f>'Measure T2 Budget'!D57+'Measure T5 Budget'!D61+'Measure T6 Budget'!D58+'Measure 4 Budget'!D53+'Measure 5 Budget'!D53</f>
        <v>30301967.244444445</v>
      </c>
      <c r="E14" s="92">
        <f>'Measure T2 Budget'!E57+'Measure T5 Budget'!E61+'Measure T6 Budget'!E58+'Measure 4 Budget'!E53</f>
        <v>49149967.244444445</v>
      </c>
      <c r="F14" s="92">
        <f>'Measure T2 Budget'!F57+'Measure T5 Budget'!F61+'Measure T6 Budget'!F58+'Measure 4 Budget'!F53</f>
        <v>140515491.81111109</v>
      </c>
      <c r="G14" s="92">
        <f>'Measure T2 Budget'!G57+'Measure T5 Budget'!G61+'Measure T6 Budget'!G58+'Measure 4 Budget'!G53</f>
        <v>55790000</v>
      </c>
      <c r="H14" s="92">
        <f>'Measure T2 Budget'!H57+'Measure T5 Budget'!H61+'Measure T6 Budget'!H58+'Measure 4 Budget'!H53</f>
        <v>0</v>
      </c>
      <c r="I14" s="93"/>
      <c r="J14" s="92">
        <f t="shared" si="0"/>
        <v>275757426.29999995</v>
      </c>
      <c r="K14" s="34"/>
    </row>
    <row r="15" spans="2:39" x14ac:dyDescent="0.25">
      <c r="B15" s="24"/>
      <c r="C15" s="73" t="s">
        <v>19</v>
      </c>
      <c r="D15" s="74">
        <f t="shared" ref="D15:G15" si="1">D14+D12+D11+D10+D9+D8+D7+D13</f>
        <v>35174846.244444445</v>
      </c>
      <c r="E15" s="74">
        <f t="shared" si="1"/>
        <v>99036503.094444454</v>
      </c>
      <c r="F15" s="74">
        <f t="shared" si="1"/>
        <v>193156694.21661109</v>
      </c>
      <c r="G15" s="74">
        <f t="shared" si="1"/>
        <v>162266908.957665</v>
      </c>
      <c r="H15" s="74">
        <f>H14+H12+H11+H10+H9+H8+H7+H13</f>
        <v>1263686.7063949502</v>
      </c>
      <c r="I15" s="70"/>
      <c r="J15" s="74">
        <f t="shared" si="0"/>
        <v>490898639.21955997</v>
      </c>
    </row>
    <row r="16" spans="2:39" x14ac:dyDescent="0.25">
      <c r="B16" s="60"/>
      <c r="C16" s="70"/>
      <c r="D16" s="70"/>
      <c r="E16" s="70"/>
      <c r="F16" s="70"/>
      <c r="G16" s="70"/>
      <c r="H16" s="70"/>
      <c r="I16" s="70"/>
      <c r="J16" s="81" t="s">
        <v>20</v>
      </c>
    </row>
    <row r="17" spans="2:19" ht="20.100000000000001" customHeight="1" x14ac:dyDescent="0.25">
      <c r="B17" s="60"/>
      <c r="C17" s="73" t="s">
        <v>21</v>
      </c>
      <c r="D17" s="94">
        <f>'Measure T2 Budget'!D63+'Measure T5 Budget'!D67+'Measure T6 Budget'!D64+'Measure 4 Budget'!D59+'Measure 5 Budget'!D59</f>
        <v>826612.23600000003</v>
      </c>
      <c r="E17" s="94">
        <f>'Measure T2 Budget'!E63+'Measure T5 Budget'!E67+'Measure T6 Budget'!E64+'Measure 4 Budget'!E59</f>
        <v>851410.60308000003</v>
      </c>
      <c r="F17" s="94">
        <f>'Measure T2 Budget'!F63+'Measure T5 Budget'!F67+'Measure T6 Budget'!F64+'Measure 4 Budget'!F59</f>
        <v>876952.92117240001</v>
      </c>
      <c r="G17" s="94">
        <f>'Measure T2 Budget'!G63+'Measure T5 Budget'!G67+'Measure T6 Budget'!G64+'Measure 4 Budget'!G59</f>
        <v>903261.50880757207</v>
      </c>
      <c r="H17" s="94">
        <f>'Measure T2 Budget'!H63+'Measure T5 Budget'!H67+'Measure T6 Budget'!H64+'Measure 4 Budget'!H59</f>
        <v>930359.35407179932</v>
      </c>
      <c r="I17" s="70"/>
      <c r="J17" s="94">
        <f>SUM(D17:H17)</f>
        <v>4388596.6231317716</v>
      </c>
      <c r="K17" s="34"/>
    </row>
    <row r="18" spans="2:19" ht="15.75" thickBot="1" x14ac:dyDescent="0.3">
      <c r="B18" s="60"/>
      <c r="D18"/>
      <c r="E18"/>
      <c r="H18"/>
      <c r="I18"/>
      <c r="J18" s="18" t="s">
        <v>20</v>
      </c>
    </row>
    <row r="19" spans="2:19" ht="31.15" customHeight="1" thickBot="1" x14ac:dyDescent="0.3">
      <c r="B19" s="19" t="s">
        <v>22</v>
      </c>
      <c r="C19" s="19"/>
      <c r="D19" s="51">
        <f>D15+D17</f>
        <v>36001458.480444446</v>
      </c>
      <c r="E19" s="51">
        <f>E15+E17</f>
        <v>99887913.697524458</v>
      </c>
      <c r="F19" s="51">
        <f>F15+F17</f>
        <v>194033647.1377835</v>
      </c>
      <c r="G19" s="51">
        <f>G15+G17</f>
        <v>163170170.46647257</v>
      </c>
      <c r="H19" s="51">
        <f>H15+H17</f>
        <v>2194046.0604667496</v>
      </c>
      <c r="I19" s="52"/>
      <c r="J19" s="51">
        <f>J15+J17</f>
        <v>495287235.84269172</v>
      </c>
      <c r="L19" s="65"/>
    </row>
    <row r="20" spans="2:19" s="1" customFormat="1" x14ac:dyDescent="0.25">
      <c r="B20" s="6"/>
      <c r="C20"/>
      <c r="D20" s="6"/>
      <c r="E20" s="2"/>
      <c r="F20"/>
      <c r="G20"/>
      <c r="H20" s="2"/>
      <c r="I20" s="7"/>
      <c r="J20"/>
      <c r="L20"/>
      <c r="M20"/>
      <c r="N20"/>
      <c r="O20"/>
      <c r="P20"/>
      <c r="Q20"/>
      <c r="R20"/>
      <c r="S20"/>
    </row>
    <row r="21" spans="2:19" ht="15" customHeight="1" x14ac:dyDescent="0.25">
      <c r="B21" s="6"/>
      <c r="J21" s="34"/>
    </row>
    <row r="22" spans="2:19" ht="15" customHeight="1" x14ac:dyDescent="0.3">
      <c r="B22" s="45" t="s">
        <v>23</v>
      </c>
      <c r="C22" s="46"/>
      <c r="D22" s="46"/>
      <c r="E22" s="100"/>
      <c r="F22" s="100"/>
      <c r="H22"/>
      <c r="I22"/>
    </row>
    <row r="23" spans="2:19" ht="29.1" customHeight="1" x14ac:dyDescent="0.25">
      <c r="B23" s="47" t="s">
        <v>24</v>
      </c>
      <c r="C23" s="47" t="s">
        <v>25</v>
      </c>
      <c r="D23" s="53" t="s">
        <v>26</v>
      </c>
      <c r="E23" s="101" t="s">
        <v>27</v>
      </c>
      <c r="F23" s="101"/>
      <c r="H23"/>
      <c r="I23"/>
    </row>
    <row r="24" spans="2:19" ht="30" x14ac:dyDescent="0.25">
      <c r="B24" s="95" t="s">
        <v>28</v>
      </c>
      <c r="C24" s="96" t="s">
        <v>29</v>
      </c>
      <c r="D24" s="97">
        <f>'Measure T2 Budget'!J65</f>
        <v>237949936.51423058</v>
      </c>
      <c r="E24" s="99">
        <f>D24/D$30</f>
        <v>0.48042816227512447</v>
      </c>
      <c r="F24" s="99"/>
      <c r="H24"/>
      <c r="I24"/>
    </row>
    <row r="25" spans="2:19" ht="30" x14ac:dyDescent="0.25">
      <c r="B25" s="95" t="s">
        <v>30</v>
      </c>
      <c r="C25" s="92" t="s">
        <v>31</v>
      </c>
      <c r="D25" s="97">
        <f>'Measure T5 Budget'!J69</f>
        <v>70987362.814230576</v>
      </c>
      <c r="E25" s="99">
        <f t="shared" ref="E25:E26" si="2">D25/D$30</f>
        <v>0.14332564555888713</v>
      </c>
      <c r="F25" s="99"/>
      <c r="H25"/>
      <c r="I25"/>
    </row>
    <row r="26" spans="2:19" ht="30" x14ac:dyDescent="0.25">
      <c r="B26" s="95" t="s">
        <v>32</v>
      </c>
      <c r="C26" s="92" t="s">
        <v>33</v>
      </c>
      <c r="D26" s="97">
        <f>'Measure T6 Budget'!J66</f>
        <v>186349936.51423058</v>
      </c>
      <c r="E26" s="99">
        <f t="shared" si="2"/>
        <v>0.37624619216598831</v>
      </c>
      <c r="F26" s="99"/>
      <c r="H26"/>
      <c r="I26"/>
    </row>
    <row r="27" spans="2:19" ht="15" customHeight="1" x14ac:dyDescent="0.25">
      <c r="B27" s="91"/>
      <c r="C27" s="92"/>
      <c r="D27" s="97"/>
      <c r="E27" s="99"/>
      <c r="F27" s="99"/>
      <c r="H27"/>
      <c r="I27"/>
    </row>
    <row r="28" spans="2:19" ht="15" customHeight="1" x14ac:dyDescent="0.25">
      <c r="B28" s="91"/>
      <c r="C28" s="92"/>
      <c r="D28" s="97"/>
      <c r="E28" s="99"/>
      <c r="F28" s="99"/>
      <c r="H28"/>
      <c r="I28"/>
    </row>
    <row r="29" spans="2:19" ht="15" customHeight="1" x14ac:dyDescent="0.25">
      <c r="B29" s="91"/>
      <c r="C29" s="92"/>
      <c r="D29" s="97"/>
      <c r="E29" s="99"/>
      <c r="F29" s="99"/>
      <c r="H29"/>
      <c r="I29"/>
    </row>
    <row r="30" spans="2:19" ht="15" customHeight="1" x14ac:dyDescent="0.25">
      <c r="B30" s="91" t="s">
        <v>34</v>
      </c>
      <c r="C30" s="92"/>
      <c r="D30" s="97">
        <f>SUM(D24:D29)</f>
        <v>495287235.84269178</v>
      </c>
      <c r="E30" s="99">
        <f t="shared" ref="E30" si="3">SUM(E24:E29)</f>
        <v>0.99999999999999989</v>
      </c>
      <c r="F30" s="99"/>
      <c r="H30"/>
      <c r="I30"/>
    </row>
    <row r="31" spans="2:19" ht="15" customHeight="1" x14ac:dyDescent="0.25">
      <c r="H31"/>
      <c r="I31"/>
    </row>
  </sheetData>
  <mergeCells count="10">
    <mergeCell ref="B3:J3"/>
    <mergeCell ref="E28:F28"/>
    <mergeCell ref="E29:F29"/>
    <mergeCell ref="E30:F30"/>
    <mergeCell ref="E22:F22"/>
    <mergeCell ref="E23:F23"/>
    <mergeCell ref="E24:F24"/>
    <mergeCell ref="E25:F25"/>
    <mergeCell ref="E26:F26"/>
    <mergeCell ref="E27:F27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0"/>
  <sheetViews>
    <sheetView showGridLines="0" zoomScale="110" zoomScaleNormal="110" workbookViewId="0">
      <pane ySplit="6" topLeftCell="A49" activePane="bottomLeft" state="frozen"/>
      <selection pane="bottomLeft" activeCell="C53" sqref="C53"/>
    </sheetView>
  </sheetViews>
  <sheetFormatPr defaultColWidth="9.28515625" defaultRowHeight="15" x14ac:dyDescent="0.25"/>
  <cols>
    <col min="1" max="1" width="3.28515625" customWidth="1"/>
    <col min="2" max="2" width="10.28515625" customWidth="1"/>
    <col min="3" max="3" width="35.42578125" customWidth="1"/>
    <col min="4" max="4" width="16.7109375" style="6" customWidth="1"/>
    <col min="5" max="5" width="16.7109375" style="2" customWidth="1"/>
    <col min="6" max="7" width="16.7109375" customWidth="1"/>
    <col min="8" max="8" width="16.7109375" style="2" customWidth="1"/>
    <col min="9" max="9" width="1.7109375" style="7" customWidth="1"/>
    <col min="10" max="10" width="16.7109375" customWidth="1"/>
    <col min="11" max="11" width="10.28515625" customWidth="1"/>
    <col min="12" max="12" width="13" bestFit="1" customWidth="1"/>
  </cols>
  <sheetData>
    <row r="2" spans="2:39" ht="23.25" x14ac:dyDescent="0.35">
      <c r="B2" s="30" t="s">
        <v>35</v>
      </c>
    </row>
    <row r="3" spans="2:39" x14ac:dyDescent="0.25">
      <c r="B3" s="5" t="s">
        <v>36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>
        <v>2025</v>
      </c>
      <c r="E6" s="40">
        <v>2026</v>
      </c>
      <c r="F6" s="40">
        <v>2027</v>
      </c>
      <c r="G6" s="40">
        <v>2028</v>
      </c>
      <c r="H6" s="41">
        <v>2029</v>
      </c>
      <c r="I6" s="42"/>
      <c r="J6" s="43" t="s">
        <v>10</v>
      </c>
      <c r="N6" t="s">
        <v>37</v>
      </c>
      <c r="O6" t="s">
        <v>38</v>
      </c>
      <c r="P6" t="s">
        <v>39</v>
      </c>
      <c r="Q6" t="s">
        <v>40</v>
      </c>
      <c r="R6" t="s">
        <v>41</v>
      </c>
    </row>
    <row r="7" spans="2:39" s="5" customFormat="1" ht="30" x14ac:dyDescent="0.25">
      <c r="B7" s="89" t="s">
        <v>11</v>
      </c>
      <c r="C7" s="80" t="s">
        <v>42</v>
      </c>
      <c r="D7" s="71" t="s">
        <v>43</v>
      </c>
      <c r="E7" s="71" t="s">
        <v>43</v>
      </c>
      <c r="F7" s="71" t="s">
        <v>43</v>
      </c>
      <c r="G7" s="71"/>
      <c r="H7" s="71" t="s">
        <v>43</v>
      </c>
      <c r="I7" s="70"/>
      <c r="J7" s="81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82"/>
      <c r="C8" s="67" t="s">
        <v>44</v>
      </c>
      <c r="D8" s="68">
        <f>N8*O8</f>
        <v>17500</v>
      </c>
      <c r="E8" s="68">
        <f>D8*(1+$P8)</f>
        <v>18025</v>
      </c>
      <c r="F8" s="68">
        <f t="shared" ref="F8:H8" si="0">E8*(1+$P8)</f>
        <v>18565.75</v>
      </c>
      <c r="G8" s="68">
        <f t="shared" si="0"/>
        <v>19122.7225</v>
      </c>
      <c r="H8" s="68">
        <f t="shared" si="0"/>
        <v>19696.404175</v>
      </c>
      <c r="I8" s="69"/>
      <c r="J8" s="68">
        <f>SUM(D8:H8)</f>
        <v>92909.876675000007</v>
      </c>
      <c r="N8">
        <v>175000</v>
      </c>
      <c r="O8">
        <v>0.1</v>
      </c>
      <c r="P8">
        <v>0.03</v>
      </c>
    </row>
    <row r="9" spans="2:39" ht="30" x14ac:dyDescent="0.25">
      <c r="B9" s="82"/>
      <c r="C9" s="67" t="s">
        <v>45</v>
      </c>
      <c r="D9" s="68">
        <f t="shared" ref="D9:D13" si="1">N9*O9</f>
        <v>75000</v>
      </c>
      <c r="E9" s="68">
        <f t="shared" ref="E9:H13" si="2">D9*(1+$P9)</f>
        <v>77250</v>
      </c>
      <c r="F9" s="68">
        <f t="shared" si="2"/>
        <v>79567.5</v>
      </c>
      <c r="G9" s="68">
        <f t="shared" si="2"/>
        <v>81954.525000000009</v>
      </c>
      <c r="H9" s="68">
        <f t="shared" si="2"/>
        <v>84413.16075000001</v>
      </c>
      <c r="I9" s="69"/>
      <c r="J9" s="68">
        <f t="shared" ref="J9:J11" si="3">SUM(D9:H9)</f>
        <v>398185.18575000006</v>
      </c>
      <c r="N9">
        <v>150000</v>
      </c>
      <c r="O9">
        <v>0.5</v>
      </c>
      <c r="P9">
        <v>0.03</v>
      </c>
    </row>
    <row r="10" spans="2:39" ht="30" x14ac:dyDescent="0.25">
      <c r="B10" s="82"/>
      <c r="C10" s="67" t="s">
        <v>46</v>
      </c>
      <c r="D10" s="68">
        <f t="shared" si="1"/>
        <v>62500</v>
      </c>
      <c r="E10" s="68">
        <f t="shared" si="2"/>
        <v>64375</v>
      </c>
      <c r="F10" s="68">
        <f t="shared" si="2"/>
        <v>66306.25</v>
      </c>
      <c r="G10" s="68">
        <f t="shared" si="2"/>
        <v>68295.4375</v>
      </c>
      <c r="H10" s="68">
        <f t="shared" si="2"/>
        <v>70344.300625000003</v>
      </c>
      <c r="I10" s="69"/>
      <c r="J10" s="68">
        <f t="shared" si="3"/>
        <v>331820.98812500003</v>
      </c>
      <c r="N10">
        <v>125000</v>
      </c>
      <c r="O10">
        <v>0.5</v>
      </c>
      <c r="P10">
        <v>0.03</v>
      </c>
    </row>
    <row r="11" spans="2:39" ht="30" x14ac:dyDescent="0.25">
      <c r="B11" s="82"/>
      <c r="C11" s="67" t="s">
        <v>47</v>
      </c>
      <c r="D11" s="68">
        <f t="shared" si="1"/>
        <v>50000</v>
      </c>
      <c r="E11" s="68">
        <f t="shared" si="2"/>
        <v>51500</v>
      </c>
      <c r="F11" s="68">
        <f t="shared" si="2"/>
        <v>53045</v>
      </c>
      <c r="G11" s="68">
        <f t="shared" si="2"/>
        <v>54636.35</v>
      </c>
      <c r="H11" s="68">
        <f t="shared" si="2"/>
        <v>56275.440499999997</v>
      </c>
      <c r="I11" s="69"/>
      <c r="J11" s="68">
        <f t="shared" si="3"/>
        <v>265456.7905</v>
      </c>
      <c r="N11">
        <v>100000</v>
      </c>
      <c r="O11">
        <v>0.5</v>
      </c>
      <c r="P11">
        <v>0.03</v>
      </c>
    </row>
    <row r="12" spans="2:39" ht="30" x14ac:dyDescent="0.25">
      <c r="B12" s="82"/>
      <c r="C12" s="67" t="s">
        <v>48</v>
      </c>
      <c r="D12" s="68">
        <f t="shared" si="1"/>
        <v>31250</v>
      </c>
      <c r="E12" s="68">
        <f t="shared" si="2"/>
        <v>32187.5</v>
      </c>
      <c r="F12" s="68">
        <f t="shared" si="2"/>
        <v>33153.125</v>
      </c>
      <c r="G12" s="68">
        <f t="shared" si="2"/>
        <v>34147.71875</v>
      </c>
      <c r="H12" s="68">
        <f t="shared" si="2"/>
        <v>35172.150312500002</v>
      </c>
      <c r="I12" s="70"/>
      <c r="J12" s="68">
        <f>SUM(D12:H12)</f>
        <v>165910.49406250002</v>
      </c>
      <c r="N12">
        <v>125000</v>
      </c>
      <c r="O12">
        <v>0.25</v>
      </c>
      <c r="P12">
        <v>0.03</v>
      </c>
    </row>
    <row r="13" spans="2:39" ht="30" x14ac:dyDescent="0.25">
      <c r="B13" s="82"/>
      <c r="C13" s="67" t="s">
        <v>49</v>
      </c>
      <c r="D13" s="68">
        <f t="shared" si="1"/>
        <v>31250</v>
      </c>
      <c r="E13" s="68">
        <f t="shared" si="2"/>
        <v>32187.5</v>
      </c>
      <c r="F13" s="68">
        <f t="shared" si="2"/>
        <v>33153.125</v>
      </c>
      <c r="G13" s="68">
        <f t="shared" si="2"/>
        <v>34147.71875</v>
      </c>
      <c r="H13" s="68">
        <f t="shared" si="2"/>
        <v>35172.150312500002</v>
      </c>
      <c r="I13" s="70"/>
      <c r="J13" s="68">
        <f>SUM(D13:H13)</f>
        <v>165910.49406250002</v>
      </c>
      <c r="N13">
        <v>125000</v>
      </c>
      <c r="O13">
        <v>0.25</v>
      </c>
      <c r="P13">
        <v>0.03</v>
      </c>
    </row>
    <row r="14" spans="2:39" x14ac:dyDescent="0.25">
      <c r="B14" s="82"/>
      <c r="C14" s="73" t="s">
        <v>50</v>
      </c>
      <c r="D14" s="74">
        <f>SUM(D8:D13)</f>
        <v>267500</v>
      </c>
      <c r="E14" s="74">
        <f>SUM(E8:E13)</f>
        <v>275525</v>
      </c>
      <c r="F14" s="74">
        <f>SUM(F8:F13)</f>
        <v>283790.75</v>
      </c>
      <c r="G14" s="74">
        <f>SUM(G8:G13)</f>
        <v>292304.47250000003</v>
      </c>
      <c r="H14" s="74">
        <f>SUM(H8:H13)</f>
        <v>301073.60667500005</v>
      </c>
      <c r="I14" s="70"/>
      <c r="J14" s="74">
        <f>SUM(J8:J13)</f>
        <v>1420193.8291750001</v>
      </c>
      <c r="O14">
        <f>SUM(O8:O13)</f>
        <v>2.1</v>
      </c>
    </row>
    <row r="15" spans="2:39" x14ac:dyDescent="0.25">
      <c r="B15" s="82"/>
      <c r="C15" s="83" t="s">
        <v>51</v>
      </c>
      <c r="D15" s="76" t="s">
        <v>43</v>
      </c>
      <c r="E15" s="71"/>
      <c r="F15" s="71"/>
      <c r="G15" s="71"/>
      <c r="H15" s="71"/>
      <c r="I15" s="70"/>
      <c r="J15" s="81" t="s">
        <v>43</v>
      </c>
    </row>
    <row r="16" spans="2:39" ht="30" x14ac:dyDescent="0.25">
      <c r="B16" s="82"/>
      <c r="C16" s="67" t="s">
        <v>124</v>
      </c>
      <c r="D16" s="68">
        <f>SUM(D8:D13)*$Q$16</f>
        <v>106465</v>
      </c>
      <c r="E16" s="68">
        <f>SUM(E8:E13)*$Q$16</f>
        <v>109658.95000000001</v>
      </c>
      <c r="F16" s="68">
        <f t="shared" ref="F16:H16" si="4">SUM(F8:F13)*$Q$16</f>
        <v>112948.7185</v>
      </c>
      <c r="G16" s="68">
        <f t="shared" si="4"/>
        <v>116337.18005500002</v>
      </c>
      <c r="H16" s="68">
        <f t="shared" si="4"/>
        <v>119827.29545665003</v>
      </c>
      <c r="I16" s="70"/>
      <c r="J16" s="68">
        <f>SUM(D16:H16)</f>
        <v>565237.14401165</v>
      </c>
      <c r="N16" s="64"/>
      <c r="Q16" s="66">
        <v>0.39800000000000002</v>
      </c>
    </row>
    <row r="17" spans="2:10" x14ac:dyDescent="0.25">
      <c r="B17" s="82"/>
      <c r="C17" s="67"/>
      <c r="D17" s="68"/>
      <c r="E17" s="68"/>
      <c r="F17" s="68"/>
      <c r="G17" s="68"/>
      <c r="H17" s="68"/>
      <c r="I17" s="70"/>
      <c r="J17" s="68">
        <f t="shared" ref="J17:J18" si="5">SUM(D17:H17)</f>
        <v>0</v>
      </c>
    </row>
    <row r="18" spans="2:10" x14ac:dyDescent="0.25">
      <c r="B18" s="82"/>
      <c r="C18" s="71"/>
      <c r="D18" s="68"/>
      <c r="E18" s="72"/>
      <c r="F18" s="72"/>
      <c r="G18" s="72"/>
      <c r="H18" s="72"/>
      <c r="I18" s="70"/>
      <c r="J18" s="68">
        <f t="shared" si="5"/>
        <v>0</v>
      </c>
    </row>
    <row r="19" spans="2:10" x14ac:dyDescent="0.25">
      <c r="B19" s="82"/>
      <c r="C19" s="73" t="s">
        <v>13</v>
      </c>
      <c r="D19" s="74">
        <f>SUM(D16:D18)</f>
        <v>106465</v>
      </c>
      <c r="E19" s="74">
        <f t="shared" ref="E19:J19" si="6">SUM(E16:E18)</f>
        <v>109658.95000000001</v>
      </c>
      <c r="F19" s="74">
        <f t="shared" si="6"/>
        <v>112948.7185</v>
      </c>
      <c r="G19" s="74">
        <f t="shared" si="6"/>
        <v>116337.18005500002</v>
      </c>
      <c r="H19" s="74">
        <f t="shared" si="6"/>
        <v>119827.29545665003</v>
      </c>
      <c r="I19" s="70"/>
      <c r="J19" s="74">
        <f t="shared" si="6"/>
        <v>565237.14401165</v>
      </c>
    </row>
    <row r="20" spans="2:10" x14ac:dyDescent="0.25">
      <c r="B20" s="82"/>
      <c r="C20" s="83" t="s">
        <v>52</v>
      </c>
      <c r="D20" s="76" t="s">
        <v>43</v>
      </c>
      <c r="E20" s="71"/>
      <c r="F20" s="71"/>
      <c r="G20" s="71"/>
      <c r="H20" s="71"/>
      <c r="I20" s="70"/>
      <c r="J20" s="81" t="s">
        <v>43</v>
      </c>
    </row>
    <row r="21" spans="2:10" ht="30" x14ac:dyDescent="0.25">
      <c r="B21" s="82"/>
      <c r="C21" s="67" t="s">
        <v>53</v>
      </c>
      <c r="D21" s="68">
        <v>328</v>
      </c>
      <c r="E21" s="68">
        <v>328</v>
      </c>
      <c r="F21" s="68">
        <v>328</v>
      </c>
      <c r="G21" s="68">
        <v>328</v>
      </c>
      <c r="H21" s="68">
        <v>328</v>
      </c>
      <c r="I21" s="70"/>
      <c r="J21" s="68">
        <f>SUM(D21:H21)</f>
        <v>1640</v>
      </c>
    </row>
    <row r="22" spans="2:10" x14ac:dyDescent="0.25">
      <c r="B22" s="82"/>
      <c r="C22" s="84"/>
      <c r="D22" s="68"/>
      <c r="E22" s="68"/>
      <c r="F22" s="68"/>
      <c r="G22" s="68"/>
      <c r="H22" s="68"/>
      <c r="I22" s="69"/>
      <c r="J22" s="68">
        <f>SUM(D22:H22)</f>
        <v>0</v>
      </c>
    </row>
    <row r="23" spans="2:10" x14ac:dyDescent="0.25">
      <c r="B23" s="82"/>
      <c r="C23" s="84"/>
      <c r="D23" s="68"/>
      <c r="E23" s="68"/>
      <c r="F23" s="68"/>
      <c r="G23" s="68"/>
      <c r="H23" s="68"/>
      <c r="I23" s="69"/>
      <c r="J23" s="68">
        <f t="shared" ref="J23:J28" si="7">SUM(D23:H23)</f>
        <v>0</v>
      </c>
    </row>
    <row r="24" spans="2:10" x14ac:dyDescent="0.25">
      <c r="B24" s="82"/>
      <c r="C24" s="67"/>
      <c r="D24" s="68"/>
      <c r="E24" s="68"/>
      <c r="F24" s="68"/>
      <c r="G24" s="68"/>
      <c r="H24" s="68"/>
      <c r="I24" s="69"/>
      <c r="J24" s="68">
        <f t="shared" si="7"/>
        <v>0</v>
      </c>
    </row>
    <row r="25" spans="2:10" x14ac:dyDescent="0.25">
      <c r="B25" s="82"/>
      <c r="C25" s="84"/>
      <c r="D25" s="68"/>
      <c r="E25" s="68"/>
      <c r="F25" s="68"/>
      <c r="G25" s="68"/>
      <c r="H25" s="68"/>
      <c r="I25" s="69"/>
      <c r="J25" s="68">
        <f t="shared" si="7"/>
        <v>0</v>
      </c>
    </row>
    <row r="26" spans="2:10" x14ac:dyDescent="0.25">
      <c r="B26" s="82"/>
      <c r="C26" s="84"/>
      <c r="D26" s="68"/>
      <c r="E26" s="68"/>
      <c r="F26" s="68"/>
      <c r="G26" s="68"/>
      <c r="H26" s="68"/>
      <c r="I26" s="69"/>
      <c r="J26" s="68">
        <f t="shared" si="7"/>
        <v>0</v>
      </c>
    </row>
    <row r="27" spans="2:10" x14ac:dyDescent="0.25">
      <c r="B27" s="82"/>
      <c r="C27" s="84"/>
      <c r="D27" s="68"/>
      <c r="E27" s="68"/>
      <c r="F27" s="68"/>
      <c r="G27" s="68"/>
      <c r="H27" s="68"/>
      <c r="I27" s="69"/>
      <c r="J27" s="68">
        <f t="shared" si="7"/>
        <v>0</v>
      </c>
    </row>
    <row r="28" spans="2:10" x14ac:dyDescent="0.25">
      <c r="B28" s="82"/>
      <c r="C28" s="67"/>
      <c r="D28" s="68"/>
      <c r="E28" s="68"/>
      <c r="F28" s="68"/>
      <c r="G28" s="68"/>
      <c r="H28" s="68"/>
      <c r="I28" s="69"/>
      <c r="J28" s="68">
        <f t="shared" si="7"/>
        <v>0</v>
      </c>
    </row>
    <row r="29" spans="2:10" x14ac:dyDescent="0.25">
      <c r="B29" s="82"/>
      <c r="C29" s="73" t="s">
        <v>14</v>
      </c>
      <c r="D29" s="74">
        <f>SUM(D21:D28)</f>
        <v>328</v>
      </c>
      <c r="E29" s="74">
        <f t="shared" ref="E29:H29" si="8">SUM(E21:E28)</f>
        <v>328</v>
      </c>
      <c r="F29" s="74">
        <f t="shared" si="8"/>
        <v>328</v>
      </c>
      <c r="G29" s="74">
        <f t="shared" si="8"/>
        <v>328</v>
      </c>
      <c r="H29" s="74">
        <f t="shared" si="8"/>
        <v>328</v>
      </c>
      <c r="I29" s="70"/>
      <c r="J29" s="74">
        <f>SUM(J21:J28)</f>
        <v>1640</v>
      </c>
    </row>
    <row r="30" spans="2:10" x14ac:dyDescent="0.25">
      <c r="B30" s="82"/>
      <c r="C30" s="83" t="s">
        <v>54</v>
      </c>
      <c r="D30" s="68"/>
      <c r="E30" s="71"/>
      <c r="F30" s="71"/>
      <c r="G30" s="71"/>
      <c r="H30" s="71"/>
      <c r="I30" s="70"/>
      <c r="J30" s="68" t="s">
        <v>20</v>
      </c>
    </row>
    <row r="31" spans="2:10" x14ac:dyDescent="0.25">
      <c r="B31" s="82"/>
      <c r="C31" s="67"/>
      <c r="D31" s="68"/>
      <c r="E31" s="71"/>
      <c r="F31" s="71"/>
      <c r="G31" s="71"/>
      <c r="H31" s="71"/>
      <c r="I31" s="70"/>
      <c r="J31" s="68">
        <f>SUM(D31:H31)</f>
        <v>0</v>
      </c>
    </row>
    <row r="32" spans="2:10" x14ac:dyDescent="0.25">
      <c r="B32" s="82" t="s">
        <v>55</v>
      </c>
      <c r="C32" s="76" t="s">
        <v>55</v>
      </c>
      <c r="D32" s="76" t="s">
        <v>43</v>
      </c>
      <c r="E32" s="71"/>
      <c r="F32" s="71"/>
      <c r="G32" s="71"/>
      <c r="H32" s="71"/>
      <c r="I32" s="70"/>
      <c r="J32" s="68">
        <f t="shared" ref="J32:J56" si="9">SUM(D32:H32)</f>
        <v>0</v>
      </c>
    </row>
    <row r="33" spans="2:10" x14ac:dyDescent="0.25">
      <c r="B33" s="82"/>
      <c r="C33" s="73" t="s">
        <v>15</v>
      </c>
      <c r="D33" s="85">
        <f>SUM(D31:D32)</f>
        <v>0</v>
      </c>
      <c r="E33" s="85">
        <f t="shared" ref="E33:H33" si="10">SUM(E31:E32)</f>
        <v>0</v>
      </c>
      <c r="F33" s="85">
        <f t="shared" si="10"/>
        <v>0</v>
      </c>
      <c r="G33" s="85">
        <f t="shared" si="10"/>
        <v>0</v>
      </c>
      <c r="H33" s="85">
        <f t="shared" si="10"/>
        <v>0</v>
      </c>
      <c r="I33" s="70"/>
      <c r="J33" s="74">
        <f>SUM(J31:J32)</f>
        <v>0</v>
      </c>
    </row>
    <row r="34" spans="2:10" x14ac:dyDescent="0.25">
      <c r="B34" s="82"/>
      <c r="C34" s="83" t="s">
        <v>56</v>
      </c>
      <c r="D34" s="76" t="s">
        <v>43</v>
      </c>
      <c r="E34" s="71"/>
      <c r="F34" s="71"/>
      <c r="G34" s="71"/>
      <c r="H34" s="71"/>
      <c r="I34" s="70"/>
      <c r="J34" s="68"/>
    </row>
    <row r="35" spans="2:10" x14ac:dyDescent="0.25">
      <c r="B35" s="82"/>
      <c r="C35" s="67"/>
      <c r="D35" s="68"/>
      <c r="E35" s="68"/>
      <c r="F35" s="68"/>
      <c r="G35" s="68"/>
      <c r="H35" s="68"/>
      <c r="I35" s="69"/>
      <c r="J35" s="68">
        <f t="shared" si="9"/>
        <v>0</v>
      </c>
    </row>
    <row r="36" spans="2:10" x14ac:dyDescent="0.25">
      <c r="B36" s="82"/>
      <c r="C36" s="67"/>
      <c r="D36" s="68"/>
      <c r="E36" s="72"/>
      <c r="F36" s="72"/>
      <c r="G36" s="72"/>
      <c r="H36" s="72"/>
      <c r="I36" s="70"/>
      <c r="J36" s="68">
        <f t="shared" si="9"/>
        <v>0</v>
      </c>
    </row>
    <row r="37" spans="2:10" x14ac:dyDescent="0.25">
      <c r="B37" s="82"/>
      <c r="C37" s="73" t="s">
        <v>16</v>
      </c>
      <c r="D37" s="74">
        <f>SUM(D35:D36)</f>
        <v>0</v>
      </c>
      <c r="E37" s="74">
        <f t="shared" ref="E37:H37" si="11">SUM(E35:E36)</f>
        <v>0</v>
      </c>
      <c r="F37" s="74">
        <f t="shared" si="11"/>
        <v>0</v>
      </c>
      <c r="G37" s="74">
        <f t="shared" si="11"/>
        <v>0</v>
      </c>
      <c r="H37" s="74">
        <f t="shared" si="11"/>
        <v>0</v>
      </c>
      <c r="I37" s="70"/>
      <c r="J37" s="74">
        <f>SUM(J35:J36)</f>
        <v>0</v>
      </c>
    </row>
    <row r="38" spans="2:10" x14ac:dyDescent="0.25">
      <c r="B38" s="82"/>
      <c r="C38" s="83" t="s">
        <v>57</v>
      </c>
      <c r="D38" s="76" t="s">
        <v>43</v>
      </c>
      <c r="E38" s="71"/>
      <c r="F38" s="71"/>
      <c r="G38" s="71"/>
      <c r="H38" s="71"/>
      <c r="I38" s="70"/>
      <c r="J38" s="68"/>
    </row>
    <row r="39" spans="2:10" x14ac:dyDescent="0.25">
      <c r="B39" s="82"/>
      <c r="C39" s="67" t="s">
        <v>58</v>
      </c>
      <c r="D39" s="68">
        <v>500000</v>
      </c>
      <c r="E39" s="90"/>
      <c r="F39" s="68"/>
      <c r="G39" s="68"/>
      <c r="H39" s="68"/>
      <c r="I39" s="69"/>
      <c r="J39" s="68">
        <f>SUM(D39:H39)</f>
        <v>500000</v>
      </c>
    </row>
    <row r="40" spans="2:10" ht="30" x14ac:dyDescent="0.25">
      <c r="B40" s="82"/>
      <c r="C40" s="67" t="s">
        <v>59</v>
      </c>
      <c r="D40" s="68">
        <v>600000</v>
      </c>
      <c r="E40" s="68"/>
      <c r="F40" s="68"/>
      <c r="G40" s="68"/>
      <c r="H40" s="68"/>
      <c r="I40" s="69"/>
      <c r="J40" s="68">
        <f>SUM(D40:H40)</f>
        <v>600000</v>
      </c>
    </row>
    <row r="41" spans="2:10" ht="30" x14ac:dyDescent="0.25">
      <c r="B41" s="82"/>
      <c r="C41" s="67" t="s">
        <v>60</v>
      </c>
      <c r="D41" s="68">
        <v>1000000</v>
      </c>
      <c r="E41" s="68">
        <v>1000000</v>
      </c>
      <c r="F41" s="68"/>
      <c r="G41" s="68"/>
      <c r="H41" s="68"/>
      <c r="I41" s="69"/>
      <c r="J41" s="68">
        <f t="shared" si="9"/>
        <v>2000000</v>
      </c>
    </row>
    <row r="42" spans="2:10" ht="30" x14ac:dyDescent="0.25">
      <c r="B42" s="82"/>
      <c r="C42" s="67" t="s">
        <v>61</v>
      </c>
      <c r="D42" s="68"/>
      <c r="E42" s="68">
        <v>3000000</v>
      </c>
      <c r="F42" s="68">
        <v>3000000</v>
      </c>
      <c r="G42" s="68">
        <v>3000000</v>
      </c>
      <c r="H42" s="68"/>
      <c r="I42" s="69"/>
      <c r="J42" s="68">
        <f t="shared" si="9"/>
        <v>9000000</v>
      </c>
    </row>
    <row r="43" spans="2:10" x14ac:dyDescent="0.25">
      <c r="B43" s="82"/>
      <c r="C43" s="67" t="s">
        <v>62</v>
      </c>
      <c r="D43" s="68">
        <v>100000</v>
      </c>
      <c r="E43" s="68">
        <v>150000</v>
      </c>
      <c r="F43" s="68">
        <v>150000</v>
      </c>
      <c r="G43" s="68">
        <v>100000</v>
      </c>
      <c r="H43" s="68"/>
      <c r="I43" s="69"/>
      <c r="J43" s="68">
        <f t="shared" si="9"/>
        <v>500000</v>
      </c>
    </row>
    <row r="44" spans="2:10" x14ac:dyDescent="0.25">
      <c r="B44" s="82"/>
      <c r="C44" s="67"/>
      <c r="D44" s="68"/>
      <c r="E44" s="68"/>
      <c r="F44" s="68"/>
      <c r="G44" s="68"/>
      <c r="H44" s="68"/>
      <c r="I44" s="69"/>
      <c r="J44" s="68">
        <f t="shared" si="9"/>
        <v>0</v>
      </c>
    </row>
    <row r="45" spans="2:10" x14ac:dyDescent="0.25">
      <c r="B45" s="82"/>
      <c r="C45" s="67"/>
      <c r="D45" s="68"/>
      <c r="E45" s="72"/>
      <c r="F45" s="72"/>
      <c r="G45" s="72"/>
      <c r="H45" s="72"/>
      <c r="I45" s="70"/>
      <c r="J45" s="68">
        <f t="shared" si="9"/>
        <v>0</v>
      </c>
    </row>
    <row r="46" spans="2:10" x14ac:dyDescent="0.25">
      <c r="B46" s="82"/>
      <c r="C46" s="73" t="s">
        <v>17</v>
      </c>
      <c r="D46" s="74">
        <f>SUM(D39:D45)</f>
        <v>2200000</v>
      </c>
      <c r="E46" s="74">
        <f t="shared" ref="E46:H46" si="12">SUM(E39:E45)</f>
        <v>4150000</v>
      </c>
      <c r="F46" s="74">
        <f t="shared" si="12"/>
        <v>3150000</v>
      </c>
      <c r="G46" s="74">
        <f t="shared" si="12"/>
        <v>3100000</v>
      </c>
      <c r="H46" s="74">
        <f t="shared" si="12"/>
        <v>0</v>
      </c>
      <c r="I46" s="70"/>
      <c r="J46" s="74">
        <f>SUM(J39:J45)</f>
        <v>12600000</v>
      </c>
    </row>
    <row r="47" spans="2:10" x14ac:dyDescent="0.25">
      <c r="B47" s="82"/>
      <c r="C47" s="83" t="s">
        <v>63</v>
      </c>
      <c r="D47" s="76" t="s">
        <v>43</v>
      </c>
      <c r="E47" s="71"/>
      <c r="F47" s="71"/>
      <c r="G47" s="71"/>
      <c r="H47" s="71"/>
      <c r="I47" s="70"/>
      <c r="J47" s="68"/>
    </row>
    <row r="48" spans="2:10" ht="30" x14ac:dyDescent="0.25">
      <c r="B48" s="82"/>
      <c r="C48" s="67" t="s">
        <v>64</v>
      </c>
      <c r="D48" s="68"/>
      <c r="E48" s="68"/>
      <c r="F48" s="68">
        <v>10350000</v>
      </c>
      <c r="G48" s="68">
        <f>60000000-10350000</f>
        <v>49650000</v>
      </c>
      <c r="H48" s="68"/>
      <c r="I48" s="69"/>
      <c r="J48" s="68">
        <f t="shared" ref="J48:J51" si="13">SUM(D48:H48)</f>
        <v>60000000</v>
      </c>
    </row>
    <row r="49" spans="2:12" ht="45" x14ac:dyDescent="0.25">
      <c r="B49" s="82"/>
      <c r="C49" s="67" t="s">
        <v>65</v>
      </c>
      <c r="D49" s="68"/>
      <c r="E49" s="68"/>
      <c r="F49" s="68">
        <v>10700000</v>
      </c>
      <c r="G49" s="68">
        <f>53400000-10700000</f>
        <v>42700000</v>
      </c>
      <c r="H49" s="68"/>
      <c r="I49" s="69"/>
      <c r="J49" s="68">
        <f t="shared" si="13"/>
        <v>53400000</v>
      </c>
      <c r="L49" s="34"/>
    </row>
    <row r="50" spans="2:12" x14ac:dyDescent="0.25">
      <c r="B50" s="82"/>
      <c r="C50" s="67" t="s">
        <v>66</v>
      </c>
      <c r="D50" s="68"/>
      <c r="E50" s="68"/>
      <c r="F50" s="68">
        <v>10350000</v>
      </c>
      <c r="G50" s="68">
        <f>55300000-3000000-42700000</f>
        <v>9600000</v>
      </c>
      <c r="H50" s="68"/>
      <c r="I50" s="69"/>
      <c r="J50" s="68">
        <f t="shared" si="13"/>
        <v>19950000</v>
      </c>
    </row>
    <row r="51" spans="2:12" ht="45" x14ac:dyDescent="0.25">
      <c r="B51" s="82"/>
      <c r="C51" s="67" t="s">
        <v>67</v>
      </c>
      <c r="D51" s="68"/>
      <c r="E51" s="68">
        <f>54550000-16600000</f>
        <v>37950000</v>
      </c>
      <c r="F51" s="68">
        <v>16600000</v>
      </c>
      <c r="G51" s="68"/>
      <c r="H51" s="68"/>
      <c r="I51" s="70"/>
      <c r="J51" s="68">
        <f t="shared" si="13"/>
        <v>54550000</v>
      </c>
    </row>
    <row r="52" spans="2:12" x14ac:dyDescent="0.25">
      <c r="B52" s="82"/>
      <c r="C52" s="73" t="s">
        <v>18</v>
      </c>
      <c r="D52" s="74">
        <f>SUM(D48:D51)</f>
        <v>0</v>
      </c>
      <c r="E52" s="74">
        <f t="shared" ref="E52:H52" si="14">SUM(E48:E51)</f>
        <v>37950000</v>
      </c>
      <c r="F52" s="74">
        <f t="shared" si="14"/>
        <v>48000000</v>
      </c>
      <c r="G52" s="74">
        <f t="shared" si="14"/>
        <v>101950000</v>
      </c>
      <c r="H52" s="74">
        <f t="shared" si="14"/>
        <v>0</v>
      </c>
      <c r="I52" s="70"/>
      <c r="J52" s="74">
        <f>SUM(J48:J51)</f>
        <v>187900000</v>
      </c>
    </row>
    <row r="53" spans="2:12" x14ac:dyDescent="0.25">
      <c r="B53" s="82"/>
      <c r="C53" s="83" t="s">
        <v>134</v>
      </c>
      <c r="D53" s="76" t="s">
        <v>43</v>
      </c>
      <c r="E53" s="71"/>
      <c r="F53" s="71"/>
      <c r="G53" s="71"/>
      <c r="H53" s="71"/>
      <c r="I53" s="70"/>
      <c r="J53" s="68"/>
    </row>
    <row r="54" spans="2:12" ht="60" x14ac:dyDescent="0.25">
      <c r="B54" s="82"/>
      <c r="C54" s="67" t="s">
        <v>69</v>
      </c>
      <c r="D54" s="68">
        <v>3000000</v>
      </c>
      <c r="E54" s="68">
        <v>7000000</v>
      </c>
      <c r="F54" s="68">
        <v>9000000</v>
      </c>
      <c r="G54" s="68">
        <v>9000000</v>
      </c>
      <c r="H54" s="68">
        <v>0</v>
      </c>
      <c r="I54" s="70"/>
      <c r="J54" s="68">
        <f t="shared" si="9"/>
        <v>28000000</v>
      </c>
    </row>
    <row r="55" spans="2:12" ht="45" x14ac:dyDescent="0.25">
      <c r="B55" s="82"/>
      <c r="C55" s="67" t="s">
        <v>70</v>
      </c>
      <c r="D55" s="72">
        <v>2000000</v>
      </c>
      <c r="E55" s="72">
        <v>2000000</v>
      </c>
      <c r="F55" s="72">
        <v>2000000</v>
      </c>
      <c r="G55" s="72">
        <v>0</v>
      </c>
      <c r="H55" s="72">
        <v>0</v>
      </c>
      <c r="I55" s="70"/>
      <c r="J55" s="68">
        <f t="shared" si="9"/>
        <v>6000000</v>
      </c>
    </row>
    <row r="56" spans="2:12" x14ac:dyDescent="0.25">
      <c r="B56" s="82"/>
      <c r="C56" s="71"/>
      <c r="D56" s="68"/>
      <c r="E56" s="72"/>
      <c r="F56" s="72"/>
      <c r="G56" s="72"/>
      <c r="H56" s="72"/>
      <c r="I56" s="70"/>
      <c r="J56" s="68">
        <f t="shared" si="9"/>
        <v>0</v>
      </c>
    </row>
    <row r="57" spans="2:12" x14ac:dyDescent="0.25">
      <c r="B57" s="87"/>
      <c r="C57" s="73" t="s">
        <v>132</v>
      </c>
      <c r="D57" s="74">
        <f>SUM(D54:D56)</f>
        <v>5000000</v>
      </c>
      <c r="E57" s="74">
        <f>SUM(E54:E56)</f>
        <v>9000000</v>
      </c>
      <c r="F57" s="74">
        <f>SUM(F54:F56)</f>
        <v>11000000</v>
      </c>
      <c r="G57" s="74">
        <f>SUM(G54:G56)</f>
        <v>9000000</v>
      </c>
      <c r="H57" s="74">
        <f>SUM(H54:H56)</f>
        <v>0</v>
      </c>
      <c r="I57" s="70"/>
      <c r="J57" s="74">
        <f>SUM(J54:J56)</f>
        <v>34000000</v>
      </c>
    </row>
    <row r="58" spans="2:12" x14ac:dyDescent="0.25">
      <c r="B58" s="87"/>
      <c r="C58" s="73" t="s">
        <v>19</v>
      </c>
      <c r="D58" s="74">
        <f>SUM(D57,D52, D46,D37,D33,D29,D19,D14)</f>
        <v>7574293</v>
      </c>
      <c r="E58" s="74">
        <f t="shared" ref="E58:H58" si="15">SUM(E57,E52, E46,E37,E33,E29,E19,E14)</f>
        <v>51485511.950000003</v>
      </c>
      <c r="F58" s="74">
        <f t="shared" si="15"/>
        <v>62547067.468500003</v>
      </c>
      <c r="G58" s="74">
        <f t="shared" si="15"/>
        <v>114458969.652555</v>
      </c>
      <c r="H58" s="74">
        <f t="shared" si="15"/>
        <v>421228.90213165007</v>
      </c>
      <c r="I58" s="70"/>
      <c r="J58" s="74">
        <f>SUM(D58:H58)</f>
        <v>236487070.97318664</v>
      </c>
    </row>
    <row r="59" spans="2:12" x14ac:dyDescent="0.25">
      <c r="B59" s="88"/>
      <c r="C59" s="70"/>
      <c r="D59" s="70"/>
      <c r="E59" s="70"/>
      <c r="F59" s="70"/>
      <c r="G59" s="70"/>
      <c r="H59" s="70"/>
      <c r="I59" s="70"/>
      <c r="J59" s="70" t="s">
        <v>20</v>
      </c>
    </row>
    <row r="60" spans="2:12" ht="30" x14ac:dyDescent="0.25">
      <c r="B60" s="89" t="s">
        <v>72</v>
      </c>
      <c r="C60" s="75" t="s">
        <v>72</v>
      </c>
      <c r="D60" s="68"/>
      <c r="E60" s="68"/>
      <c r="F60" s="68"/>
      <c r="G60" s="68"/>
      <c r="H60" s="68"/>
      <c r="I60" s="70"/>
      <c r="J60" s="68">
        <f>SUM(D60:H60)</f>
        <v>0</v>
      </c>
    </row>
    <row r="61" spans="2:12" ht="30" x14ac:dyDescent="0.25">
      <c r="B61" s="82"/>
      <c r="C61" s="67" t="s">
        <v>123</v>
      </c>
      <c r="D61" s="72">
        <f>0.7368*(D14+D19)</f>
        <v>275537.41200000001</v>
      </c>
      <c r="E61" s="72">
        <f>0.7368*(E14+E19)</f>
        <v>283803.53435999999</v>
      </c>
      <c r="F61" s="72">
        <f>0.7368*(F14+F19)</f>
        <v>292317.64039080002</v>
      </c>
      <c r="G61" s="72">
        <f>0.7368*(G14+G19)</f>
        <v>301087.16960252402</v>
      </c>
      <c r="H61" s="72">
        <f>0.7368*(H14+H19)</f>
        <v>310119.78469059977</v>
      </c>
      <c r="I61" s="70"/>
      <c r="J61" s="68">
        <f>SUM(D61:H61)</f>
        <v>1462865.5410439237</v>
      </c>
    </row>
    <row r="62" spans="2:12" x14ac:dyDescent="0.25">
      <c r="B62" s="82"/>
      <c r="C62" s="67"/>
      <c r="D62" s="76"/>
      <c r="E62" s="71"/>
      <c r="F62" s="71"/>
      <c r="G62" s="71"/>
      <c r="H62" s="71"/>
      <c r="I62" s="70"/>
      <c r="J62" s="68">
        <f t="shared" ref="J62" si="16">SUM(D62:H62)</f>
        <v>0</v>
      </c>
    </row>
    <row r="63" spans="2:12" x14ac:dyDescent="0.25">
      <c r="B63" s="87"/>
      <c r="C63" s="73" t="s">
        <v>21</v>
      </c>
      <c r="D63" s="74">
        <f>SUM(D60:D62)</f>
        <v>275537.41200000001</v>
      </c>
      <c r="E63" s="74">
        <f t="shared" ref="E63:H63" si="17">SUM(E60:E62)</f>
        <v>283803.53435999999</v>
      </c>
      <c r="F63" s="74">
        <f t="shared" si="17"/>
        <v>292317.64039080002</v>
      </c>
      <c r="G63" s="74">
        <f t="shared" si="17"/>
        <v>301087.16960252402</v>
      </c>
      <c r="H63" s="74">
        <f t="shared" si="17"/>
        <v>310119.78469059977</v>
      </c>
      <c r="I63" s="70"/>
      <c r="J63" s="74">
        <f>SUM(J60:J62)</f>
        <v>1462865.5410439237</v>
      </c>
    </row>
    <row r="64" spans="2:12" ht="15.75" thickBot="1" x14ac:dyDescent="0.3">
      <c r="B64" s="88"/>
      <c r="C64" s="70"/>
      <c r="D64" s="70"/>
      <c r="E64" s="70"/>
      <c r="F64" s="70"/>
      <c r="G64" s="70"/>
      <c r="H64" s="70"/>
      <c r="I64" s="70"/>
      <c r="J64" s="70" t="s">
        <v>20</v>
      </c>
    </row>
    <row r="65" spans="2:10" s="1" customFormat="1" ht="30.75" thickBot="1" x14ac:dyDescent="0.3">
      <c r="B65" s="77" t="s">
        <v>22</v>
      </c>
      <c r="C65" s="77"/>
      <c r="D65" s="78">
        <f>SUM(D63,D58)</f>
        <v>7849830.4120000005</v>
      </c>
      <c r="E65" s="78">
        <f t="shared" ref="E65:H65" si="18">SUM(E63,E58)</f>
        <v>51769315.484360002</v>
      </c>
      <c r="F65" s="78">
        <f t="shared" si="18"/>
        <v>62839385.108890802</v>
      </c>
      <c r="G65" s="78">
        <f t="shared" si="18"/>
        <v>114760056.82215753</v>
      </c>
      <c r="H65" s="78">
        <f t="shared" si="18"/>
        <v>731348.68682224979</v>
      </c>
      <c r="I65" s="70"/>
      <c r="J65" s="78">
        <f>SUM(J63,J58)</f>
        <v>237949936.51423058</v>
      </c>
    </row>
    <row r="66" spans="2:10" x14ac:dyDescent="0.25">
      <c r="B66" s="6"/>
    </row>
    <row r="67" spans="2:10" x14ac:dyDescent="0.25">
      <c r="B67" s="6"/>
    </row>
    <row r="68" spans="2:10" x14ac:dyDescent="0.25">
      <c r="B68" s="6"/>
    </row>
    <row r="69" spans="2:10" x14ac:dyDescent="0.25">
      <c r="B69" s="6"/>
    </row>
    <row r="70" spans="2:10" x14ac:dyDescent="0.25">
      <c r="B70" s="6"/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</sheetData>
  <pageMargins left="0.7" right="0.7" top="0.75" bottom="0.75" header="0.3" footer="0.3"/>
  <pageSetup scale="97" fitToHeight="0" orientation="landscape" r:id="rId1"/>
  <ignoredErrors>
    <ignoredError sqref="J22:J28 J35 J44 J39:J4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84"/>
  <sheetViews>
    <sheetView showGridLines="0" zoomScale="90" zoomScaleNormal="90" workbookViewId="0">
      <pane xSplit="3" ySplit="6" topLeftCell="D44" activePane="bottomRight" state="frozen"/>
      <selection pane="topRight" activeCell="R20" sqref="R20:W20"/>
      <selection pane="bottomLeft" activeCell="R20" sqref="R20:W20"/>
      <selection pane="bottomRight" activeCell="C54" sqref="C54"/>
    </sheetView>
  </sheetViews>
  <sheetFormatPr defaultColWidth="9.28515625" defaultRowHeight="15" x14ac:dyDescent="0.25"/>
  <cols>
    <col min="1" max="1" width="3.28515625" customWidth="1"/>
    <col min="2" max="2" width="9.7109375" customWidth="1"/>
    <col min="3" max="3" width="44.42578125" customWidth="1"/>
    <col min="4" max="4" width="16.7109375" style="6" customWidth="1"/>
    <col min="5" max="5" width="16.7109375" style="2" customWidth="1"/>
    <col min="6" max="7" width="16.7109375" customWidth="1"/>
    <col min="8" max="8" width="16.710937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74</v>
      </c>
    </row>
    <row r="3" spans="2:39" x14ac:dyDescent="0.25">
      <c r="B3" s="5" t="s">
        <v>36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N6" t="s">
        <v>37</v>
      </c>
      <c r="O6" t="s">
        <v>38</v>
      </c>
      <c r="P6" t="s">
        <v>39</v>
      </c>
      <c r="Q6" t="s">
        <v>40</v>
      </c>
      <c r="R6" t="s">
        <v>41</v>
      </c>
    </row>
    <row r="7" spans="2:39" s="5" customFormat="1" x14ac:dyDescent="0.25">
      <c r="B7" s="79" t="s">
        <v>11</v>
      </c>
      <c r="C7" s="80" t="s">
        <v>42</v>
      </c>
      <c r="D7" s="71" t="s">
        <v>43</v>
      </c>
      <c r="E7" s="71" t="s">
        <v>43</v>
      </c>
      <c r="F7" s="71" t="s">
        <v>43</v>
      </c>
      <c r="G7" s="71"/>
      <c r="H7" s="71" t="s">
        <v>43</v>
      </c>
      <c r="I7" s="70"/>
      <c r="J7" s="81" t="s">
        <v>43</v>
      </c>
      <c r="K7"/>
      <c r="L7"/>
      <c r="M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82"/>
      <c r="C8" s="67" t="s">
        <v>44</v>
      </c>
      <c r="D8" s="68">
        <f>N8*O8</f>
        <v>17500</v>
      </c>
      <c r="E8" s="68">
        <f>D8*(1+$P8)</f>
        <v>18025</v>
      </c>
      <c r="F8" s="68">
        <f t="shared" ref="F8:H8" si="0">E8*(1+$P8)</f>
        <v>18565.75</v>
      </c>
      <c r="G8" s="68">
        <f t="shared" si="0"/>
        <v>19122.7225</v>
      </c>
      <c r="H8" s="68">
        <f t="shared" si="0"/>
        <v>19696.404175</v>
      </c>
      <c r="I8" s="69">
        <v>450000</v>
      </c>
      <c r="J8" s="68">
        <f>SUM(D8:H8)</f>
        <v>92909.876675000007</v>
      </c>
      <c r="N8">
        <v>175000</v>
      </c>
      <c r="O8">
        <v>0.1</v>
      </c>
      <c r="P8">
        <v>0.03</v>
      </c>
    </row>
    <row r="9" spans="2:39" ht="30" x14ac:dyDescent="0.25">
      <c r="B9" s="82"/>
      <c r="C9" s="67" t="s">
        <v>45</v>
      </c>
      <c r="D9" s="68">
        <f t="shared" ref="D9:D13" si="1">N9*O9</f>
        <v>75000</v>
      </c>
      <c r="E9" s="68">
        <f t="shared" ref="E9:H13" si="2">D9*(1+$P9)</f>
        <v>77250</v>
      </c>
      <c r="F9" s="68">
        <f t="shared" si="2"/>
        <v>79567.5</v>
      </c>
      <c r="G9" s="68">
        <f t="shared" si="2"/>
        <v>81954.525000000009</v>
      </c>
      <c r="H9" s="68">
        <f t="shared" si="2"/>
        <v>84413.16075000001</v>
      </c>
      <c r="I9" s="69"/>
      <c r="J9" s="68">
        <f t="shared" ref="J9:J11" si="3">SUM(D9:H9)</f>
        <v>398185.18575000006</v>
      </c>
      <c r="N9">
        <v>150000</v>
      </c>
      <c r="O9">
        <v>0.5</v>
      </c>
      <c r="P9">
        <v>0.03</v>
      </c>
    </row>
    <row r="10" spans="2:39" ht="30" x14ac:dyDescent="0.25">
      <c r="B10" s="82"/>
      <c r="C10" s="67" t="s">
        <v>46</v>
      </c>
      <c r="D10" s="68">
        <f t="shared" si="1"/>
        <v>62500</v>
      </c>
      <c r="E10" s="68">
        <f t="shared" si="2"/>
        <v>64375</v>
      </c>
      <c r="F10" s="68">
        <f t="shared" si="2"/>
        <v>66306.25</v>
      </c>
      <c r="G10" s="68">
        <f t="shared" si="2"/>
        <v>68295.4375</v>
      </c>
      <c r="H10" s="68">
        <f t="shared" si="2"/>
        <v>70344.300625000003</v>
      </c>
      <c r="I10" s="69"/>
      <c r="J10" s="68">
        <f t="shared" si="3"/>
        <v>331820.98812500003</v>
      </c>
      <c r="N10">
        <v>125000</v>
      </c>
      <c r="O10">
        <v>0.5</v>
      </c>
      <c r="P10">
        <v>0.03</v>
      </c>
    </row>
    <row r="11" spans="2:39" ht="30" x14ac:dyDescent="0.25">
      <c r="B11" s="82"/>
      <c r="C11" s="67" t="s">
        <v>47</v>
      </c>
      <c r="D11" s="68">
        <f t="shared" si="1"/>
        <v>50000</v>
      </c>
      <c r="E11" s="68">
        <f t="shared" si="2"/>
        <v>51500</v>
      </c>
      <c r="F11" s="68">
        <f t="shared" si="2"/>
        <v>53045</v>
      </c>
      <c r="G11" s="68">
        <f t="shared" si="2"/>
        <v>54636.35</v>
      </c>
      <c r="H11" s="68">
        <f t="shared" si="2"/>
        <v>56275.440499999997</v>
      </c>
      <c r="I11" s="69"/>
      <c r="J11" s="68">
        <f t="shared" si="3"/>
        <v>265456.7905</v>
      </c>
      <c r="N11">
        <v>100000</v>
      </c>
      <c r="O11">
        <v>0.5</v>
      </c>
      <c r="P11">
        <v>0.03</v>
      </c>
    </row>
    <row r="12" spans="2:39" ht="30" x14ac:dyDescent="0.25">
      <c r="B12" s="82"/>
      <c r="C12" s="67" t="s">
        <v>48</v>
      </c>
      <c r="D12" s="68">
        <f t="shared" si="1"/>
        <v>31250</v>
      </c>
      <c r="E12" s="68">
        <f t="shared" si="2"/>
        <v>32187.5</v>
      </c>
      <c r="F12" s="68">
        <f t="shared" si="2"/>
        <v>33153.125</v>
      </c>
      <c r="G12" s="68">
        <f t="shared" si="2"/>
        <v>34147.71875</v>
      </c>
      <c r="H12" s="68">
        <f t="shared" si="2"/>
        <v>35172.150312500002</v>
      </c>
      <c r="I12" s="70"/>
      <c r="J12" s="68">
        <f>SUM(D12:H12)</f>
        <v>165910.49406250002</v>
      </c>
      <c r="N12">
        <v>125000</v>
      </c>
      <c r="O12">
        <v>0.25</v>
      </c>
      <c r="P12">
        <v>0.03</v>
      </c>
    </row>
    <row r="13" spans="2:39" ht="30" x14ac:dyDescent="0.25">
      <c r="B13" s="82"/>
      <c r="C13" s="67" t="s">
        <v>49</v>
      </c>
      <c r="D13" s="68">
        <f t="shared" si="1"/>
        <v>31250</v>
      </c>
      <c r="E13" s="68">
        <f t="shared" si="2"/>
        <v>32187.5</v>
      </c>
      <c r="F13" s="68">
        <f t="shared" si="2"/>
        <v>33153.125</v>
      </c>
      <c r="G13" s="68">
        <f t="shared" si="2"/>
        <v>34147.71875</v>
      </c>
      <c r="H13" s="68">
        <f t="shared" si="2"/>
        <v>35172.150312500002</v>
      </c>
      <c r="I13" s="70"/>
      <c r="J13" s="68">
        <f>SUM(D13:H13)</f>
        <v>165910.49406250002</v>
      </c>
      <c r="N13">
        <v>125000</v>
      </c>
      <c r="O13">
        <v>0.25</v>
      </c>
      <c r="P13">
        <v>0.03</v>
      </c>
    </row>
    <row r="14" spans="2:39" x14ac:dyDescent="0.25">
      <c r="B14" s="82"/>
      <c r="C14" s="73" t="s">
        <v>50</v>
      </c>
      <c r="D14" s="74">
        <f>SUM(D8:D13)</f>
        <v>267500</v>
      </c>
      <c r="E14" s="74">
        <f t="shared" ref="E14:J14" si="4">SUM(E8:E13)</f>
        <v>275525</v>
      </c>
      <c r="F14" s="74">
        <f t="shared" si="4"/>
        <v>283790.75</v>
      </c>
      <c r="G14" s="74">
        <f t="shared" si="4"/>
        <v>292304.47250000003</v>
      </c>
      <c r="H14" s="74">
        <f t="shared" si="4"/>
        <v>301073.60667500005</v>
      </c>
      <c r="I14" s="70">
        <f t="shared" si="4"/>
        <v>450000</v>
      </c>
      <c r="J14" s="74">
        <f t="shared" si="4"/>
        <v>1420193.8291750001</v>
      </c>
    </row>
    <row r="15" spans="2:39" x14ac:dyDescent="0.25">
      <c r="B15" s="82"/>
      <c r="C15" s="83" t="s">
        <v>51</v>
      </c>
      <c r="D15" s="76" t="s">
        <v>43</v>
      </c>
      <c r="E15" s="71"/>
      <c r="F15" s="71"/>
      <c r="G15" s="71"/>
      <c r="H15" s="71"/>
      <c r="I15" s="70"/>
      <c r="J15" s="81" t="s">
        <v>43</v>
      </c>
    </row>
    <row r="16" spans="2:39" x14ac:dyDescent="0.25">
      <c r="B16" s="82"/>
      <c r="C16" s="67" t="s">
        <v>124</v>
      </c>
      <c r="D16" s="68">
        <f>SUM(D8:D13)*$Q$16</f>
        <v>106465</v>
      </c>
      <c r="E16" s="68">
        <f t="shared" ref="E16:H16" si="5">SUM(E8:E13)*$Q$16</f>
        <v>109658.95000000001</v>
      </c>
      <c r="F16" s="68">
        <f t="shared" si="5"/>
        <v>112948.7185</v>
      </c>
      <c r="G16" s="68">
        <f t="shared" si="5"/>
        <v>116337.18005500002</v>
      </c>
      <c r="H16" s="68">
        <f t="shared" si="5"/>
        <v>119827.29545665003</v>
      </c>
      <c r="I16" s="70"/>
      <c r="J16" s="68">
        <f>SUM(D16:H16)</f>
        <v>565237.14401165</v>
      </c>
      <c r="N16" s="64"/>
      <c r="Q16" s="66">
        <v>0.39800000000000002</v>
      </c>
    </row>
    <row r="17" spans="2:10" x14ac:dyDescent="0.25">
      <c r="B17" s="82"/>
      <c r="C17" s="67"/>
      <c r="D17" s="68"/>
      <c r="E17" s="68"/>
      <c r="F17" s="68"/>
      <c r="G17" s="68"/>
      <c r="H17" s="68"/>
      <c r="I17" s="70"/>
      <c r="J17" s="68">
        <f t="shared" ref="J17:J18" si="6">SUM(D17:H17)</f>
        <v>0</v>
      </c>
    </row>
    <row r="18" spans="2:10" x14ac:dyDescent="0.25">
      <c r="B18" s="82"/>
      <c r="C18" s="71"/>
      <c r="D18" s="68"/>
      <c r="E18" s="72"/>
      <c r="F18" s="72"/>
      <c r="G18" s="72"/>
      <c r="H18" s="72"/>
      <c r="I18" s="70"/>
      <c r="J18" s="68">
        <f t="shared" si="6"/>
        <v>0</v>
      </c>
    </row>
    <row r="19" spans="2:10" x14ac:dyDescent="0.25">
      <c r="B19" s="82"/>
      <c r="C19" s="73" t="s">
        <v>13</v>
      </c>
      <c r="D19" s="74">
        <f t="shared" ref="D19:J19" si="7">SUM(D16:D18)</f>
        <v>106465</v>
      </c>
      <c r="E19" s="74">
        <f t="shared" si="7"/>
        <v>109658.95000000001</v>
      </c>
      <c r="F19" s="74">
        <f t="shared" si="7"/>
        <v>112948.7185</v>
      </c>
      <c r="G19" s="74">
        <f t="shared" si="7"/>
        <v>116337.18005500002</v>
      </c>
      <c r="H19" s="74">
        <f t="shared" si="7"/>
        <v>119827.29545665003</v>
      </c>
      <c r="I19" s="70">
        <f t="shared" si="7"/>
        <v>0</v>
      </c>
      <c r="J19" s="74">
        <f t="shared" si="7"/>
        <v>565237.14401165</v>
      </c>
    </row>
    <row r="20" spans="2:10" x14ac:dyDescent="0.25">
      <c r="B20" s="82"/>
      <c r="C20" s="83" t="s">
        <v>52</v>
      </c>
      <c r="D20" s="76" t="s">
        <v>43</v>
      </c>
      <c r="E20" s="71"/>
      <c r="F20" s="71"/>
      <c r="G20" s="71"/>
      <c r="H20" s="71"/>
      <c r="I20" s="70"/>
      <c r="J20" s="81" t="s">
        <v>43</v>
      </c>
    </row>
    <row r="21" spans="2:10" ht="30" x14ac:dyDescent="0.25">
      <c r="B21" s="82"/>
      <c r="C21" s="67" t="s">
        <v>53</v>
      </c>
      <c r="D21" s="68">
        <v>328</v>
      </c>
      <c r="E21" s="68">
        <v>328</v>
      </c>
      <c r="F21" s="68">
        <v>328</v>
      </c>
      <c r="G21" s="68">
        <v>328</v>
      </c>
      <c r="H21" s="68">
        <v>328</v>
      </c>
      <c r="I21" s="70"/>
      <c r="J21" s="68">
        <f>SUM(D21:H21)</f>
        <v>1640</v>
      </c>
    </row>
    <row r="22" spans="2:10" x14ac:dyDescent="0.25">
      <c r="B22" s="82"/>
      <c r="C22" s="84"/>
      <c r="D22" s="68"/>
      <c r="E22" s="72"/>
      <c r="F22" s="72"/>
      <c r="G22" s="72"/>
      <c r="H22" s="72"/>
      <c r="I22" s="70"/>
      <c r="J22" s="68">
        <f>SUM(D22:H22)</f>
        <v>0</v>
      </c>
    </row>
    <row r="23" spans="2:10" x14ac:dyDescent="0.25">
      <c r="B23" s="82"/>
      <c r="C23" s="84"/>
      <c r="D23" s="68"/>
      <c r="E23" s="68"/>
      <c r="F23" s="68"/>
      <c r="G23" s="68"/>
      <c r="H23" s="68"/>
      <c r="I23" s="69">
        <v>2000</v>
      </c>
      <c r="J23" s="68">
        <f>SUM(D23:H23)</f>
        <v>0</v>
      </c>
    </row>
    <row r="24" spans="2:10" x14ac:dyDescent="0.25">
      <c r="B24" s="82"/>
      <c r="C24" s="84"/>
      <c r="D24" s="68"/>
      <c r="E24" s="68"/>
      <c r="F24" s="68"/>
      <c r="G24" s="68"/>
      <c r="H24" s="68"/>
      <c r="I24" s="69">
        <v>250</v>
      </c>
      <c r="J24" s="68">
        <f t="shared" ref="J24:J29" si="8">SUM(D24:H24)</f>
        <v>0</v>
      </c>
    </row>
    <row r="25" spans="2:10" x14ac:dyDescent="0.25">
      <c r="B25" s="82"/>
      <c r="C25" s="67"/>
      <c r="D25" s="68"/>
      <c r="E25" s="68"/>
      <c r="F25" s="68"/>
      <c r="G25" s="68"/>
      <c r="H25" s="68"/>
      <c r="I25" s="69">
        <v>2250</v>
      </c>
      <c r="J25" s="68">
        <f t="shared" si="8"/>
        <v>0</v>
      </c>
    </row>
    <row r="26" spans="2:10" x14ac:dyDescent="0.25">
      <c r="B26" s="82"/>
      <c r="C26" s="84"/>
      <c r="D26" s="68"/>
      <c r="E26" s="68"/>
      <c r="F26" s="68"/>
      <c r="G26" s="68"/>
      <c r="H26" s="68"/>
      <c r="I26" s="69">
        <v>1243</v>
      </c>
      <c r="J26" s="68">
        <f t="shared" si="8"/>
        <v>0</v>
      </c>
    </row>
    <row r="27" spans="2:10" x14ac:dyDescent="0.25">
      <c r="B27" s="82"/>
      <c r="C27" s="84"/>
      <c r="D27" s="68"/>
      <c r="E27" s="68"/>
      <c r="F27" s="68"/>
      <c r="G27" s="68"/>
      <c r="H27" s="68"/>
      <c r="I27" s="69">
        <v>225</v>
      </c>
      <c r="J27" s="68">
        <f t="shared" si="8"/>
        <v>0</v>
      </c>
    </row>
    <row r="28" spans="2:10" x14ac:dyDescent="0.25">
      <c r="B28" s="82"/>
      <c r="C28" s="84"/>
      <c r="D28" s="68"/>
      <c r="E28" s="68"/>
      <c r="F28" s="68"/>
      <c r="G28" s="68"/>
      <c r="H28" s="68"/>
      <c r="I28" s="69">
        <v>400</v>
      </c>
      <c r="J28" s="68">
        <f t="shared" si="8"/>
        <v>0</v>
      </c>
    </row>
    <row r="29" spans="2:10" x14ac:dyDescent="0.25">
      <c r="B29" s="82"/>
      <c r="C29" s="67"/>
      <c r="D29" s="68"/>
      <c r="E29" s="68"/>
      <c r="F29" s="68"/>
      <c r="G29" s="68"/>
      <c r="H29" s="68"/>
      <c r="I29" s="69">
        <v>1638</v>
      </c>
      <c r="J29" s="68">
        <f t="shared" si="8"/>
        <v>0</v>
      </c>
    </row>
    <row r="30" spans="2:10" x14ac:dyDescent="0.25">
      <c r="B30" s="82"/>
      <c r="C30" s="73" t="s">
        <v>14</v>
      </c>
      <c r="D30" s="74">
        <f>SUM(D21:D29)</f>
        <v>328</v>
      </c>
      <c r="E30" s="74">
        <f t="shared" ref="E30:H30" si="9">SUM(E21:E29)</f>
        <v>328</v>
      </c>
      <c r="F30" s="74">
        <f t="shared" si="9"/>
        <v>328</v>
      </c>
      <c r="G30" s="74">
        <f t="shared" si="9"/>
        <v>328</v>
      </c>
      <c r="H30" s="74">
        <f t="shared" si="9"/>
        <v>328</v>
      </c>
      <c r="I30" s="70"/>
      <c r="J30" s="74">
        <f>SUM(J21:J29)</f>
        <v>1640</v>
      </c>
    </row>
    <row r="31" spans="2:10" x14ac:dyDescent="0.25">
      <c r="B31" s="82"/>
      <c r="C31" s="83" t="s">
        <v>54</v>
      </c>
      <c r="D31" s="68"/>
      <c r="E31" s="71"/>
      <c r="F31" s="71"/>
      <c r="G31" s="71"/>
      <c r="H31" s="71"/>
      <c r="I31" s="70"/>
      <c r="J31" s="68" t="s">
        <v>20</v>
      </c>
    </row>
    <row r="32" spans="2:10" x14ac:dyDescent="0.25">
      <c r="B32" s="82"/>
      <c r="C32" s="67"/>
      <c r="D32" s="68"/>
      <c r="E32" s="71"/>
      <c r="F32" s="71"/>
      <c r="G32" s="71"/>
      <c r="H32" s="71"/>
      <c r="I32" s="70"/>
      <c r="J32" s="68">
        <f>SUM(D32:H32)</f>
        <v>0</v>
      </c>
    </row>
    <row r="33" spans="2:12" x14ac:dyDescent="0.25">
      <c r="B33" s="82" t="s">
        <v>55</v>
      </c>
      <c r="C33" s="76" t="s">
        <v>55</v>
      </c>
      <c r="D33" s="76" t="s">
        <v>43</v>
      </c>
      <c r="E33" s="71"/>
      <c r="F33" s="71"/>
      <c r="G33" s="71"/>
      <c r="H33" s="71"/>
      <c r="I33" s="70"/>
      <c r="J33" s="68">
        <f t="shared" ref="J33:J62" si="10">SUM(D33:H33)</f>
        <v>0</v>
      </c>
    </row>
    <row r="34" spans="2:12" x14ac:dyDescent="0.25">
      <c r="B34" s="82"/>
      <c r="C34" s="73" t="s">
        <v>15</v>
      </c>
      <c r="D34" s="85">
        <f>SUM(D32:D33)</f>
        <v>0</v>
      </c>
      <c r="E34" s="85">
        <f t="shared" ref="E34:H34" si="11">SUM(E32:E33)</f>
        <v>0</v>
      </c>
      <c r="F34" s="85">
        <f t="shared" si="11"/>
        <v>0</v>
      </c>
      <c r="G34" s="85">
        <f t="shared" si="11"/>
        <v>0</v>
      </c>
      <c r="H34" s="85">
        <f t="shared" si="11"/>
        <v>0</v>
      </c>
      <c r="I34" s="70"/>
      <c r="J34" s="74">
        <f>SUM(J32:J33)</f>
        <v>0</v>
      </c>
    </row>
    <row r="35" spans="2:12" x14ac:dyDescent="0.25">
      <c r="B35" s="82"/>
      <c r="C35" s="83" t="s">
        <v>56</v>
      </c>
      <c r="D35" s="76" t="s">
        <v>43</v>
      </c>
      <c r="E35" s="71"/>
      <c r="F35" s="71"/>
      <c r="G35" s="71"/>
      <c r="H35" s="71"/>
      <c r="I35" s="70"/>
      <c r="J35" s="68"/>
    </row>
    <row r="36" spans="2:12" x14ac:dyDescent="0.25">
      <c r="B36" s="82"/>
      <c r="C36" s="67" t="s">
        <v>75</v>
      </c>
      <c r="D36" s="68"/>
      <c r="E36" s="68">
        <f>5000*480</f>
        <v>2400000</v>
      </c>
      <c r="F36" s="68"/>
      <c r="G36" s="68"/>
      <c r="H36" s="68"/>
      <c r="I36" s="69">
        <v>5000</v>
      </c>
      <c r="J36" s="68">
        <f t="shared" si="10"/>
        <v>2400000</v>
      </c>
      <c r="L36" s="34"/>
    </row>
    <row r="37" spans="2:12" x14ac:dyDescent="0.25">
      <c r="B37" s="82"/>
      <c r="C37" s="67"/>
      <c r="D37" s="68"/>
      <c r="E37" s="68"/>
      <c r="F37" s="68"/>
      <c r="G37" s="68"/>
      <c r="H37" s="68"/>
      <c r="I37" s="69"/>
      <c r="J37" s="68">
        <f t="shared" si="10"/>
        <v>0</v>
      </c>
    </row>
    <row r="38" spans="2:12" x14ac:dyDescent="0.25">
      <c r="B38" s="82"/>
      <c r="C38" s="67"/>
      <c r="D38" s="68"/>
      <c r="E38" s="68"/>
      <c r="F38" s="68"/>
      <c r="G38" s="68"/>
      <c r="H38" s="68"/>
      <c r="I38" s="69"/>
      <c r="J38" s="68">
        <f t="shared" si="10"/>
        <v>0</v>
      </c>
    </row>
    <row r="39" spans="2:12" x14ac:dyDescent="0.25">
      <c r="B39" s="82"/>
      <c r="C39" s="67"/>
      <c r="D39" s="68"/>
      <c r="E39" s="72"/>
      <c r="F39" s="72"/>
      <c r="G39" s="72"/>
      <c r="H39" s="72"/>
      <c r="I39" s="70"/>
      <c r="J39" s="68">
        <f t="shared" si="10"/>
        <v>0</v>
      </c>
    </row>
    <row r="40" spans="2:12" x14ac:dyDescent="0.25">
      <c r="B40" s="82"/>
      <c r="C40" s="73" t="s">
        <v>16</v>
      </c>
      <c r="D40" s="74">
        <f>SUM(D36:D39)</f>
        <v>0</v>
      </c>
      <c r="E40" s="74">
        <f t="shared" ref="E40:H40" si="12">SUM(E36:E39)</f>
        <v>2400000</v>
      </c>
      <c r="F40" s="74">
        <f t="shared" si="12"/>
        <v>0</v>
      </c>
      <c r="G40" s="74">
        <f t="shared" si="12"/>
        <v>0</v>
      </c>
      <c r="H40" s="74">
        <f t="shared" si="12"/>
        <v>0</v>
      </c>
      <c r="I40" s="70"/>
      <c r="J40" s="74">
        <f>SUM(J36:J39)</f>
        <v>2400000</v>
      </c>
    </row>
    <row r="41" spans="2:12" x14ac:dyDescent="0.25">
      <c r="B41" s="82"/>
      <c r="C41" s="83" t="s">
        <v>57</v>
      </c>
      <c r="D41" s="76" t="s">
        <v>43</v>
      </c>
      <c r="E41" s="71"/>
      <c r="F41" s="71"/>
      <c r="G41" s="71"/>
      <c r="H41" s="71"/>
      <c r="I41" s="70"/>
      <c r="J41" s="68"/>
    </row>
    <row r="42" spans="2:12" x14ac:dyDescent="0.25">
      <c r="B42" s="82"/>
      <c r="C42" s="67" t="s">
        <v>62</v>
      </c>
      <c r="D42" s="68">
        <v>100000</v>
      </c>
      <c r="E42" s="68">
        <v>150000</v>
      </c>
      <c r="F42" s="68">
        <v>150000</v>
      </c>
      <c r="G42" s="68">
        <v>100000</v>
      </c>
      <c r="H42" s="68"/>
      <c r="I42" s="68"/>
      <c r="J42" s="68">
        <f>SUM(D42:H42)</f>
        <v>500000</v>
      </c>
    </row>
    <row r="43" spans="2:12" x14ac:dyDescent="0.25">
      <c r="B43" s="82"/>
      <c r="C43" s="67" t="s">
        <v>126</v>
      </c>
      <c r="D43" s="68">
        <f>2700000*0.5</f>
        <v>1350000</v>
      </c>
      <c r="E43" s="68">
        <f>2700000*0.5</f>
        <v>1350000</v>
      </c>
      <c r="F43" s="68"/>
      <c r="G43" s="68"/>
      <c r="H43" s="68"/>
      <c r="I43" s="69"/>
      <c r="J43" s="68">
        <f t="shared" si="10"/>
        <v>2700000</v>
      </c>
    </row>
    <row r="44" spans="2:12" x14ac:dyDescent="0.25">
      <c r="B44" s="82"/>
      <c r="C44" s="76"/>
      <c r="D44" s="68"/>
      <c r="E44" s="68"/>
      <c r="F44" s="68"/>
      <c r="G44" s="68"/>
      <c r="H44" s="68"/>
      <c r="I44" s="69"/>
      <c r="J44" s="68">
        <f t="shared" si="10"/>
        <v>0</v>
      </c>
    </row>
    <row r="45" spans="2:12" x14ac:dyDescent="0.25">
      <c r="B45" s="82"/>
      <c r="C45" s="86"/>
      <c r="D45" s="68"/>
      <c r="E45" s="68"/>
      <c r="F45" s="68"/>
      <c r="G45" s="68"/>
      <c r="H45" s="68"/>
      <c r="I45" s="69"/>
      <c r="J45" s="68">
        <f t="shared" si="10"/>
        <v>0</v>
      </c>
    </row>
    <row r="46" spans="2:12" x14ac:dyDescent="0.25">
      <c r="B46" s="82"/>
      <c r="C46" s="67"/>
      <c r="D46" s="68"/>
      <c r="E46" s="72"/>
      <c r="F46" s="72"/>
      <c r="G46" s="72"/>
      <c r="H46" s="72"/>
      <c r="I46" s="70"/>
      <c r="J46" s="68">
        <f t="shared" si="10"/>
        <v>0</v>
      </c>
    </row>
    <row r="47" spans="2:12" x14ac:dyDescent="0.25">
      <c r="B47" s="82"/>
      <c r="C47" s="73" t="s">
        <v>17</v>
      </c>
      <c r="D47" s="74">
        <f>SUM(D42:D46)</f>
        <v>1450000</v>
      </c>
      <c r="E47" s="74">
        <f>SUM(E42:E46)</f>
        <v>1500000</v>
      </c>
      <c r="F47" s="74">
        <f>SUM(F42:F46)</f>
        <v>150000</v>
      </c>
      <c r="G47" s="74">
        <f>SUM(G42:G46)</f>
        <v>100000</v>
      </c>
      <c r="H47" s="74">
        <f>SUM(H42:H46)</f>
        <v>0</v>
      </c>
      <c r="I47" s="70"/>
      <c r="J47" s="74">
        <f>SUM(J42:J46)</f>
        <v>3200000</v>
      </c>
    </row>
    <row r="48" spans="2:12" x14ac:dyDescent="0.25">
      <c r="B48" s="82"/>
      <c r="C48" s="83" t="s">
        <v>76</v>
      </c>
      <c r="D48" s="76" t="s">
        <v>43</v>
      </c>
      <c r="E48" s="71"/>
      <c r="F48" s="71"/>
      <c r="G48" s="71"/>
      <c r="H48" s="71"/>
      <c r="I48" s="70"/>
      <c r="J48" s="68"/>
    </row>
    <row r="49" spans="2:18" x14ac:dyDescent="0.25">
      <c r="B49" s="82"/>
      <c r="C49" s="67" t="s">
        <v>77</v>
      </c>
      <c r="D49" s="76"/>
      <c r="E49" s="68">
        <v>300000</v>
      </c>
      <c r="F49" s="68"/>
      <c r="G49" s="68"/>
      <c r="H49" s="68"/>
      <c r="I49" s="70"/>
      <c r="J49" s="68">
        <f t="shared" ref="J49:J52" si="13">SUM(D49:H49)</f>
        <v>300000</v>
      </c>
    </row>
    <row r="50" spans="2:18" ht="30" x14ac:dyDescent="0.25">
      <c r="B50" s="82"/>
      <c r="C50" s="67" t="s">
        <v>78</v>
      </c>
      <c r="D50" s="76"/>
      <c r="E50" s="68">
        <f>57000*40</f>
        <v>2280000</v>
      </c>
      <c r="F50" s="68"/>
      <c r="G50" s="68"/>
      <c r="H50" s="68"/>
      <c r="I50" s="70"/>
      <c r="J50" s="68">
        <f t="shared" si="13"/>
        <v>2280000</v>
      </c>
    </row>
    <row r="51" spans="2:18" x14ac:dyDescent="0.25">
      <c r="B51" s="82"/>
      <c r="C51" s="67"/>
      <c r="D51" s="68"/>
      <c r="E51" s="68"/>
      <c r="F51" s="68"/>
      <c r="G51" s="68"/>
      <c r="H51" s="68"/>
      <c r="I51" s="69"/>
      <c r="J51" s="68">
        <v>0</v>
      </c>
    </row>
    <row r="52" spans="2:18" x14ac:dyDescent="0.25">
      <c r="B52" s="82"/>
      <c r="C52" s="67"/>
      <c r="D52" s="68"/>
      <c r="E52" s="72"/>
      <c r="F52" s="72"/>
      <c r="G52" s="72"/>
      <c r="H52" s="72"/>
      <c r="I52" s="70"/>
      <c r="J52" s="68">
        <f t="shared" si="13"/>
        <v>0</v>
      </c>
    </row>
    <row r="53" spans="2:18" x14ac:dyDescent="0.25">
      <c r="B53" s="82"/>
      <c r="C53" s="73" t="s">
        <v>18</v>
      </c>
      <c r="D53" s="74">
        <f>SUM(D49:D52)</f>
        <v>0</v>
      </c>
      <c r="E53" s="74">
        <f t="shared" ref="E53:H53" si="14">SUM(E49:E52)</f>
        <v>2580000</v>
      </c>
      <c r="F53" s="74">
        <f t="shared" si="14"/>
        <v>0</v>
      </c>
      <c r="G53" s="74">
        <f t="shared" si="14"/>
        <v>0</v>
      </c>
      <c r="H53" s="74">
        <f t="shared" si="14"/>
        <v>0</v>
      </c>
      <c r="I53" s="70"/>
      <c r="J53" s="74">
        <f>SUM(J49:J52)</f>
        <v>2580000</v>
      </c>
    </row>
    <row r="54" spans="2:18" x14ac:dyDescent="0.25">
      <c r="B54" s="82"/>
      <c r="C54" s="83" t="s">
        <v>134</v>
      </c>
      <c r="D54" s="76" t="s">
        <v>43</v>
      </c>
      <c r="E54" s="71"/>
      <c r="F54" s="71"/>
      <c r="G54" s="71"/>
      <c r="H54" s="71"/>
      <c r="I54" s="70"/>
      <c r="J54" s="68"/>
    </row>
    <row r="55" spans="2:18" ht="30" x14ac:dyDescent="0.25">
      <c r="B55" s="82"/>
      <c r="C55" s="67" t="s">
        <v>125</v>
      </c>
      <c r="D55" s="68">
        <v>1500000</v>
      </c>
      <c r="E55" s="68">
        <v>2400000</v>
      </c>
      <c r="F55" s="68">
        <v>9000000</v>
      </c>
      <c r="G55" s="68">
        <v>1000000</v>
      </c>
      <c r="H55" s="68">
        <v>0</v>
      </c>
      <c r="I55" s="69">
        <v>375000</v>
      </c>
      <c r="J55" s="68">
        <f t="shared" si="10"/>
        <v>13900000</v>
      </c>
    </row>
    <row r="56" spans="2:18" ht="30" x14ac:dyDescent="0.25">
      <c r="B56" s="82"/>
      <c r="C56" s="67" t="s">
        <v>79</v>
      </c>
      <c r="D56" s="68">
        <v>500000</v>
      </c>
      <c r="E56" s="68">
        <v>1000000</v>
      </c>
      <c r="F56" s="68">
        <v>4500000</v>
      </c>
      <c r="G56" s="68">
        <v>0</v>
      </c>
      <c r="H56" s="68">
        <v>0</v>
      </c>
      <c r="I56" s="69">
        <v>781250</v>
      </c>
      <c r="J56" s="68">
        <f t="shared" si="10"/>
        <v>6000000</v>
      </c>
    </row>
    <row r="57" spans="2:18" ht="30" x14ac:dyDescent="0.25">
      <c r="B57" s="82"/>
      <c r="C57" s="67" t="s">
        <v>80</v>
      </c>
      <c r="D57" s="68">
        <v>2000000</v>
      </c>
      <c r="E57" s="68">
        <v>5000000</v>
      </c>
      <c r="F57" s="68">
        <v>10000000</v>
      </c>
      <c r="G57" s="68">
        <v>2000000</v>
      </c>
      <c r="H57" s="68">
        <v>0</v>
      </c>
      <c r="I57" s="69">
        <v>2083335</v>
      </c>
      <c r="J57" s="68">
        <f t="shared" si="10"/>
        <v>19000000</v>
      </c>
    </row>
    <row r="58" spans="2:18" ht="30" x14ac:dyDescent="0.25">
      <c r="B58" s="82"/>
      <c r="C58" s="67" t="s">
        <v>81</v>
      </c>
      <c r="D58" s="68">
        <v>6869967.2444444448</v>
      </c>
      <c r="E58" s="68">
        <v>6869967.2444444448</v>
      </c>
      <c r="F58" s="68">
        <v>1717491.8111111112</v>
      </c>
      <c r="G58" s="68">
        <v>0</v>
      </c>
      <c r="H58" s="68">
        <v>0</v>
      </c>
      <c r="I58" s="70"/>
      <c r="J58" s="68">
        <f t="shared" si="10"/>
        <v>15457426.300000001</v>
      </c>
    </row>
    <row r="59" spans="2:18" x14ac:dyDescent="0.25">
      <c r="B59" s="82"/>
      <c r="C59" s="67" t="s">
        <v>82</v>
      </c>
      <c r="D59" s="68">
        <v>1000000</v>
      </c>
      <c r="E59" s="68">
        <v>2000000</v>
      </c>
      <c r="F59" s="68">
        <v>2000000</v>
      </c>
      <c r="G59" s="68">
        <v>0</v>
      </c>
      <c r="H59" s="68">
        <v>0</v>
      </c>
      <c r="I59" s="70"/>
      <c r="J59" s="68">
        <f t="shared" si="10"/>
        <v>5000000</v>
      </c>
    </row>
    <row r="60" spans="2:18" x14ac:dyDescent="0.25">
      <c r="B60" s="82"/>
      <c r="C60" s="67"/>
      <c r="D60" s="68"/>
      <c r="E60" s="68"/>
      <c r="F60" s="68"/>
      <c r="G60" s="68"/>
      <c r="H60" s="68"/>
      <c r="I60" s="70"/>
      <c r="J60" s="68">
        <f t="shared" si="10"/>
        <v>0</v>
      </c>
    </row>
    <row r="61" spans="2:18" x14ac:dyDescent="0.25">
      <c r="B61" s="87"/>
      <c r="C61" s="73" t="s">
        <v>71</v>
      </c>
      <c r="D61" s="74">
        <f>SUM(D55:D60)</f>
        <v>11869967.244444445</v>
      </c>
      <c r="E61" s="74">
        <f t="shared" ref="E61:H61" si="15">SUM(E55:E60)</f>
        <v>17269967.244444445</v>
      </c>
      <c r="F61" s="74">
        <f t="shared" si="15"/>
        <v>27217491.811111111</v>
      </c>
      <c r="G61" s="74">
        <f t="shared" si="15"/>
        <v>3000000</v>
      </c>
      <c r="H61" s="74">
        <f t="shared" si="15"/>
        <v>0</v>
      </c>
      <c r="I61" s="70"/>
      <c r="J61" s="74">
        <f>SUM(J55:J60)</f>
        <v>59357426.299999997</v>
      </c>
    </row>
    <row r="62" spans="2:18" x14ac:dyDescent="0.25">
      <c r="B62" s="87"/>
      <c r="C62" s="73" t="s">
        <v>19</v>
      </c>
      <c r="D62" s="74">
        <f>SUM(D61,D53,D47,D40,D34,D30,D19,D14)</f>
        <v>13694260.244444445</v>
      </c>
      <c r="E62" s="74">
        <f>SUM(E61,E53,E47,E40,E34,E30,E19,E14)</f>
        <v>24135479.194444444</v>
      </c>
      <c r="F62" s="74">
        <f>SUM(F61,F53,F47,F40,F34,F30,F19,F14)</f>
        <v>27764559.279611111</v>
      </c>
      <c r="G62" s="74">
        <f>SUM(G61,G53,G47,G40,G34,G30,G19,G14)</f>
        <v>3508969.652555</v>
      </c>
      <c r="H62" s="74">
        <f>SUM(H61,H53,H47,H40,H34,H30,H19,H14)</f>
        <v>421228.90213165007</v>
      </c>
      <c r="I62" s="70"/>
      <c r="J62" s="74">
        <f t="shared" si="10"/>
        <v>69524497.273186654</v>
      </c>
    </row>
    <row r="63" spans="2:18" x14ac:dyDescent="0.25">
      <c r="B63" s="88"/>
      <c r="C63" s="70"/>
      <c r="D63" s="70"/>
      <c r="E63" s="70"/>
      <c r="F63" s="70"/>
      <c r="G63" s="70"/>
      <c r="H63" s="70"/>
      <c r="I63" s="70"/>
      <c r="J63" s="70" t="s">
        <v>20</v>
      </c>
    </row>
    <row r="64" spans="2:18" x14ac:dyDescent="0.25">
      <c r="B64" s="79" t="s">
        <v>72</v>
      </c>
      <c r="C64" s="75" t="s">
        <v>72</v>
      </c>
      <c r="D64" s="68"/>
      <c r="E64" s="68"/>
      <c r="F64" s="68"/>
      <c r="G64" s="68"/>
      <c r="H64" s="68"/>
      <c r="I64" s="70"/>
      <c r="J64" s="68">
        <f>SUM(D64:H64)</f>
        <v>0</v>
      </c>
      <c r="R64">
        <v>0.03</v>
      </c>
    </row>
    <row r="65" spans="2:10" ht="30" x14ac:dyDescent="0.25">
      <c r="B65" s="82"/>
      <c r="C65" s="67" t="s">
        <v>123</v>
      </c>
      <c r="D65" s="72">
        <f>0.7368*(D14+D19)</f>
        <v>275537.41200000001</v>
      </c>
      <c r="E65" s="72">
        <f>0.7368*(E14+E19)</f>
        <v>283803.53435999999</v>
      </c>
      <c r="F65" s="72">
        <f>0.7368*(F14+F19)</f>
        <v>292317.64039080002</v>
      </c>
      <c r="G65" s="72">
        <f>0.7368*(G14+G19)</f>
        <v>301087.16960252402</v>
      </c>
      <c r="H65" s="72">
        <f>0.7368*(H14+H19)</f>
        <v>310119.78469059977</v>
      </c>
      <c r="I65" s="70"/>
      <c r="J65" s="68">
        <f>SUM(D65:H65)</f>
        <v>1462865.5410439237</v>
      </c>
    </row>
    <row r="66" spans="2:10" x14ac:dyDescent="0.25">
      <c r="B66" s="82"/>
      <c r="C66" s="67"/>
      <c r="D66" s="76"/>
      <c r="E66" s="71"/>
      <c r="F66" s="71"/>
      <c r="G66" s="71"/>
      <c r="H66" s="71"/>
      <c r="I66" s="70"/>
      <c r="J66" s="68">
        <f t="shared" ref="J66:J67" si="16">SUM(D66:H66)</f>
        <v>0</v>
      </c>
    </row>
    <row r="67" spans="2:10" x14ac:dyDescent="0.25">
      <c r="B67" s="87"/>
      <c r="C67" s="73" t="s">
        <v>21</v>
      </c>
      <c r="D67" s="74">
        <f>SUM(D64:D66)</f>
        <v>275537.41200000001</v>
      </c>
      <c r="E67" s="74">
        <f t="shared" ref="E67:H67" si="17">SUM(E64:E66)</f>
        <v>283803.53435999999</v>
      </c>
      <c r="F67" s="74">
        <f t="shared" si="17"/>
        <v>292317.64039080002</v>
      </c>
      <c r="G67" s="74">
        <f t="shared" si="17"/>
        <v>301087.16960252402</v>
      </c>
      <c r="H67" s="74">
        <f t="shared" si="17"/>
        <v>310119.78469059977</v>
      </c>
      <c r="I67" s="70"/>
      <c r="J67" s="74">
        <f t="shared" si="16"/>
        <v>1462865.5410439237</v>
      </c>
    </row>
    <row r="68" spans="2:10" ht="15.75" thickBot="1" x14ac:dyDescent="0.3">
      <c r="B68" s="88"/>
      <c r="C68" s="70"/>
      <c r="D68" s="70"/>
      <c r="E68" s="70"/>
      <c r="F68" s="70"/>
      <c r="G68" s="70"/>
      <c r="H68" s="70"/>
      <c r="I68" s="70"/>
      <c r="J68" s="70" t="s">
        <v>20</v>
      </c>
    </row>
    <row r="69" spans="2:10" s="1" customFormat="1" ht="30.75" thickBot="1" x14ac:dyDescent="0.3">
      <c r="B69" s="77" t="s">
        <v>22</v>
      </c>
      <c r="C69" s="77"/>
      <c r="D69" s="78">
        <f>SUM(D67,D62)</f>
        <v>13969797.656444445</v>
      </c>
      <c r="E69" s="78">
        <f t="shared" ref="E69:J69" si="18">SUM(E67,E62)</f>
        <v>24419282.728804443</v>
      </c>
      <c r="F69" s="78">
        <f t="shared" si="18"/>
        <v>28056876.920001909</v>
      </c>
      <c r="G69" s="78">
        <f t="shared" si="18"/>
        <v>3810056.8221575241</v>
      </c>
      <c r="H69" s="78">
        <f t="shared" si="18"/>
        <v>731348.68682224979</v>
      </c>
      <c r="I69" s="70">
        <f>SUM(I67,I62)</f>
        <v>0</v>
      </c>
      <c r="J69" s="78">
        <f t="shared" si="18"/>
        <v>70987362.814230576</v>
      </c>
    </row>
    <row r="70" spans="2:10" x14ac:dyDescent="0.25">
      <c r="B70" s="6"/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</sheetData>
  <pageMargins left="0.7" right="0.7" top="0.75" bottom="0.75" header="0.3" footer="0.3"/>
  <pageSetup scale="89" fitToHeight="0" orientation="landscape" r:id="rId1"/>
  <ignoredErrors>
    <ignoredError sqref="J8 J23:J29 J36 J55:J5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81"/>
  <sheetViews>
    <sheetView showGridLines="0" zoomScale="85" zoomScaleNormal="85" workbookViewId="0">
      <pane xSplit="3" ySplit="6" topLeftCell="D48" activePane="bottomRight" state="frozen"/>
      <selection pane="topRight" activeCell="R20" sqref="R20:W20"/>
      <selection pane="bottomLeft" activeCell="R20" sqref="R20:W20"/>
      <selection pane="bottomRight" activeCell="C50" sqref="C50"/>
    </sheetView>
  </sheetViews>
  <sheetFormatPr defaultColWidth="9.28515625" defaultRowHeight="15" x14ac:dyDescent="0.25"/>
  <cols>
    <col min="1" max="1" width="3.28515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6" width="13.42578125" bestFit="1" customWidth="1"/>
    <col min="7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</cols>
  <sheetData>
    <row r="2" spans="2:39" ht="23.25" x14ac:dyDescent="0.35">
      <c r="B2" s="30" t="s">
        <v>83</v>
      </c>
    </row>
    <row r="3" spans="2:39" x14ac:dyDescent="0.25">
      <c r="B3" s="59" t="s">
        <v>36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  <c r="N6" t="s">
        <v>37</v>
      </c>
      <c r="O6" t="s">
        <v>38</v>
      </c>
      <c r="P6" t="s">
        <v>39</v>
      </c>
      <c r="Q6" t="s">
        <v>40</v>
      </c>
      <c r="R6" t="s">
        <v>41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67" t="s">
        <v>44</v>
      </c>
      <c r="D8" s="68">
        <f>N8*O8</f>
        <v>17500</v>
      </c>
      <c r="E8" s="68">
        <f>D8*(1+$P8)</f>
        <v>18025</v>
      </c>
      <c r="F8" s="68">
        <f t="shared" ref="F8:H8" si="0">E8*(1+$P8)</f>
        <v>18565.75</v>
      </c>
      <c r="G8" s="68">
        <f t="shared" si="0"/>
        <v>19122.7225</v>
      </c>
      <c r="H8" s="68">
        <f t="shared" si="0"/>
        <v>19696.404175</v>
      </c>
      <c r="I8" s="69">
        <v>450000</v>
      </c>
      <c r="J8" s="68">
        <f>SUM(D8:H8)</f>
        <v>92909.876675000007</v>
      </c>
      <c r="N8">
        <v>175000</v>
      </c>
      <c r="O8">
        <v>0.1</v>
      </c>
      <c r="P8">
        <v>0.03</v>
      </c>
    </row>
    <row r="9" spans="2:39" ht="30" x14ac:dyDescent="0.25">
      <c r="B9" s="23"/>
      <c r="C9" s="67" t="s">
        <v>45</v>
      </c>
      <c r="D9" s="68">
        <f t="shared" ref="D9:D13" si="1">N9*O9</f>
        <v>75000</v>
      </c>
      <c r="E9" s="68">
        <f t="shared" ref="E9:H13" si="2">D9*(1+$P9)</f>
        <v>77250</v>
      </c>
      <c r="F9" s="68">
        <f t="shared" si="2"/>
        <v>79567.5</v>
      </c>
      <c r="G9" s="68">
        <f t="shared" si="2"/>
        <v>81954.525000000009</v>
      </c>
      <c r="H9" s="68">
        <f t="shared" si="2"/>
        <v>84413.16075000001</v>
      </c>
      <c r="I9" s="69"/>
      <c r="J9" s="68">
        <f t="shared" ref="J9:J11" si="3">SUM(D9:H9)</f>
        <v>398185.18575000006</v>
      </c>
      <c r="N9">
        <v>150000</v>
      </c>
      <c r="O9">
        <v>0.5</v>
      </c>
      <c r="P9">
        <v>0.03</v>
      </c>
    </row>
    <row r="10" spans="2:39" ht="30" x14ac:dyDescent="0.25">
      <c r="B10" s="23"/>
      <c r="C10" s="67" t="s">
        <v>46</v>
      </c>
      <c r="D10" s="68">
        <f t="shared" si="1"/>
        <v>62500</v>
      </c>
      <c r="E10" s="68">
        <f t="shared" si="2"/>
        <v>64375</v>
      </c>
      <c r="F10" s="68">
        <f t="shared" si="2"/>
        <v>66306.25</v>
      </c>
      <c r="G10" s="68">
        <f t="shared" si="2"/>
        <v>68295.4375</v>
      </c>
      <c r="H10" s="68">
        <f t="shared" si="2"/>
        <v>70344.300625000003</v>
      </c>
      <c r="I10" s="69"/>
      <c r="J10" s="68">
        <f t="shared" si="3"/>
        <v>331820.98812500003</v>
      </c>
      <c r="N10">
        <v>125000</v>
      </c>
      <c r="O10">
        <v>0.5</v>
      </c>
      <c r="P10">
        <v>0.03</v>
      </c>
    </row>
    <row r="11" spans="2:39" ht="30" x14ac:dyDescent="0.25">
      <c r="B11" s="23"/>
      <c r="C11" s="67" t="s">
        <v>47</v>
      </c>
      <c r="D11" s="68">
        <f t="shared" si="1"/>
        <v>50000</v>
      </c>
      <c r="E11" s="68">
        <f t="shared" si="2"/>
        <v>51500</v>
      </c>
      <c r="F11" s="68">
        <f t="shared" si="2"/>
        <v>53045</v>
      </c>
      <c r="G11" s="68">
        <f t="shared" si="2"/>
        <v>54636.35</v>
      </c>
      <c r="H11" s="68">
        <f t="shared" si="2"/>
        <v>56275.440499999997</v>
      </c>
      <c r="I11" s="69"/>
      <c r="J11" s="68">
        <f t="shared" si="3"/>
        <v>265456.7905</v>
      </c>
      <c r="N11">
        <v>100000</v>
      </c>
      <c r="O11">
        <v>0.5</v>
      </c>
      <c r="P11">
        <v>0.03</v>
      </c>
    </row>
    <row r="12" spans="2:39" ht="30" x14ac:dyDescent="0.25">
      <c r="B12" s="23"/>
      <c r="C12" s="67" t="s">
        <v>48</v>
      </c>
      <c r="D12" s="68">
        <f t="shared" si="1"/>
        <v>31250</v>
      </c>
      <c r="E12" s="68">
        <f t="shared" si="2"/>
        <v>32187.5</v>
      </c>
      <c r="F12" s="68">
        <f t="shared" si="2"/>
        <v>33153.125</v>
      </c>
      <c r="G12" s="68">
        <f t="shared" si="2"/>
        <v>34147.71875</v>
      </c>
      <c r="H12" s="68">
        <f t="shared" si="2"/>
        <v>35172.150312500002</v>
      </c>
      <c r="I12" s="70"/>
      <c r="J12" s="68">
        <f>SUM(D12:H12)</f>
        <v>165910.49406250002</v>
      </c>
      <c r="N12">
        <v>125000</v>
      </c>
      <c r="O12">
        <v>0.25</v>
      </c>
      <c r="P12">
        <v>0.03</v>
      </c>
    </row>
    <row r="13" spans="2:39" ht="30" x14ac:dyDescent="0.25">
      <c r="B13" s="23"/>
      <c r="C13" s="67" t="s">
        <v>49</v>
      </c>
      <c r="D13" s="68">
        <f t="shared" si="1"/>
        <v>31250</v>
      </c>
      <c r="E13" s="68">
        <f t="shared" si="2"/>
        <v>32187.5</v>
      </c>
      <c r="F13" s="68">
        <f t="shared" si="2"/>
        <v>33153.125</v>
      </c>
      <c r="G13" s="68">
        <f t="shared" si="2"/>
        <v>34147.71875</v>
      </c>
      <c r="H13" s="68">
        <f t="shared" si="2"/>
        <v>35172.150312500002</v>
      </c>
      <c r="I13" s="70"/>
      <c r="J13" s="68">
        <f>SUM(D13:H13)</f>
        <v>165910.49406250002</v>
      </c>
      <c r="N13">
        <v>125000</v>
      </c>
      <c r="O13">
        <v>0.25</v>
      </c>
      <c r="P13">
        <v>0.03</v>
      </c>
    </row>
    <row r="14" spans="2:39" x14ac:dyDescent="0.25">
      <c r="B14" s="23"/>
      <c r="C14" s="73" t="s">
        <v>50</v>
      </c>
      <c r="D14" s="74">
        <f>SUM(D8:D13)</f>
        <v>267500</v>
      </c>
      <c r="E14" s="74">
        <f t="shared" ref="E14:J14" si="4">SUM(E8:E13)</f>
        <v>275525</v>
      </c>
      <c r="F14" s="74">
        <f t="shared" si="4"/>
        <v>283790.75</v>
      </c>
      <c r="G14" s="74">
        <f t="shared" si="4"/>
        <v>292304.47250000003</v>
      </c>
      <c r="H14" s="74">
        <f t="shared" si="4"/>
        <v>301073.60667500005</v>
      </c>
      <c r="I14" s="70">
        <f t="shared" si="4"/>
        <v>450000</v>
      </c>
      <c r="J14" s="74">
        <f t="shared" si="4"/>
        <v>1420193.8291750001</v>
      </c>
    </row>
    <row r="15" spans="2:39" x14ac:dyDescent="0.25">
      <c r="B15" s="23"/>
      <c r="C15" s="83" t="s">
        <v>51</v>
      </c>
      <c r="D15" s="76" t="s">
        <v>43</v>
      </c>
      <c r="E15" s="71"/>
      <c r="F15" s="71"/>
      <c r="G15" s="71"/>
      <c r="H15" s="71"/>
      <c r="I15" s="70"/>
      <c r="J15" s="81" t="s">
        <v>43</v>
      </c>
    </row>
    <row r="16" spans="2:39" x14ac:dyDescent="0.25">
      <c r="B16" s="23"/>
      <c r="C16" s="67" t="s">
        <v>124</v>
      </c>
      <c r="D16" s="68">
        <f>SUM(D8:D13)*$Q$16</f>
        <v>106465</v>
      </c>
      <c r="E16" s="68">
        <f t="shared" ref="E16:H16" si="5">SUM(E8:E13)*$Q$16</f>
        <v>109658.95000000001</v>
      </c>
      <c r="F16" s="68">
        <f t="shared" si="5"/>
        <v>112948.7185</v>
      </c>
      <c r="G16" s="68">
        <f t="shared" si="5"/>
        <v>116337.18005500002</v>
      </c>
      <c r="H16" s="68">
        <f t="shared" si="5"/>
        <v>119827.29545665003</v>
      </c>
      <c r="I16" s="70"/>
      <c r="J16" s="68">
        <f>SUM(D16:H16)</f>
        <v>565237.14401165</v>
      </c>
      <c r="Q16" s="66">
        <v>0.39800000000000002</v>
      </c>
    </row>
    <row r="17" spans="2:10" x14ac:dyDescent="0.25">
      <c r="B17" s="23"/>
      <c r="C17" s="67"/>
      <c r="D17" s="68"/>
      <c r="E17" s="68"/>
      <c r="F17" s="68"/>
      <c r="G17" s="68"/>
      <c r="H17" s="68"/>
      <c r="I17" s="70"/>
      <c r="J17" s="68">
        <f t="shared" ref="J17:J18" si="6">SUM(D17:H17)</f>
        <v>0</v>
      </c>
    </row>
    <row r="18" spans="2:10" x14ac:dyDescent="0.25">
      <c r="B18" s="23"/>
      <c r="C18" s="71"/>
      <c r="D18" s="68"/>
      <c r="E18" s="72"/>
      <c r="F18" s="72"/>
      <c r="G18" s="72"/>
      <c r="H18" s="72"/>
      <c r="I18" s="70"/>
      <c r="J18" s="68">
        <f t="shared" si="6"/>
        <v>0</v>
      </c>
    </row>
    <row r="19" spans="2:10" x14ac:dyDescent="0.25">
      <c r="B19" s="23"/>
      <c r="C19" s="73" t="s">
        <v>13</v>
      </c>
      <c r="D19" s="74">
        <f>SUM(D16:D18)</f>
        <v>106465</v>
      </c>
      <c r="E19" s="74">
        <f t="shared" ref="E19:J19" si="7">SUM(E16:E18)</f>
        <v>109658.95000000001</v>
      </c>
      <c r="F19" s="74">
        <f t="shared" si="7"/>
        <v>112948.7185</v>
      </c>
      <c r="G19" s="74">
        <f t="shared" si="7"/>
        <v>116337.18005500002</v>
      </c>
      <c r="H19" s="74">
        <f t="shared" si="7"/>
        <v>119827.29545665003</v>
      </c>
      <c r="I19" s="70">
        <f t="shared" si="7"/>
        <v>0</v>
      </c>
      <c r="J19" s="74">
        <f t="shared" si="7"/>
        <v>565237.14401165</v>
      </c>
    </row>
    <row r="20" spans="2:10" x14ac:dyDescent="0.25">
      <c r="B20" s="23"/>
      <c r="C20" s="83" t="s">
        <v>52</v>
      </c>
      <c r="D20" s="76" t="s">
        <v>43</v>
      </c>
      <c r="E20" s="71"/>
      <c r="F20" s="71"/>
      <c r="G20" s="71"/>
      <c r="H20" s="71"/>
      <c r="I20" s="70"/>
      <c r="J20" s="81" t="s">
        <v>43</v>
      </c>
    </row>
    <row r="21" spans="2:10" ht="30" x14ac:dyDescent="0.25">
      <c r="B21" s="23"/>
      <c r="C21" s="67" t="s">
        <v>53</v>
      </c>
      <c r="D21" s="68">
        <v>328</v>
      </c>
      <c r="E21" s="68">
        <v>328</v>
      </c>
      <c r="F21" s="68">
        <v>328</v>
      </c>
      <c r="G21" s="68">
        <v>328</v>
      </c>
      <c r="H21" s="68">
        <v>328</v>
      </c>
      <c r="I21" s="70"/>
      <c r="J21" s="68">
        <f t="shared" ref="J21:J22" si="8">SUM(D21:H21)</f>
        <v>1640</v>
      </c>
    </row>
    <row r="22" spans="2:10" x14ac:dyDescent="0.25">
      <c r="B22" s="23"/>
      <c r="C22" s="84"/>
      <c r="D22" s="68"/>
      <c r="E22" s="72"/>
      <c r="F22" s="72"/>
      <c r="G22" s="72"/>
      <c r="H22" s="72"/>
      <c r="I22" s="70"/>
      <c r="J22" s="68">
        <f t="shared" si="8"/>
        <v>0</v>
      </c>
    </row>
    <row r="23" spans="2:10" x14ac:dyDescent="0.25">
      <c r="B23" s="23"/>
      <c r="C23" s="84"/>
      <c r="D23" s="68"/>
      <c r="E23" s="68"/>
      <c r="F23" s="68"/>
      <c r="G23" s="68"/>
      <c r="H23" s="68"/>
      <c r="I23" s="69">
        <v>2000</v>
      </c>
      <c r="J23" s="68">
        <f>SUM(D23:H23)</f>
        <v>0</v>
      </c>
    </row>
    <row r="24" spans="2:10" x14ac:dyDescent="0.25">
      <c r="B24" s="23"/>
      <c r="C24" s="84"/>
      <c r="D24" s="68"/>
      <c r="E24" s="68"/>
      <c r="F24" s="68"/>
      <c r="G24" s="68"/>
      <c r="H24" s="68"/>
      <c r="I24" s="69">
        <v>250</v>
      </c>
      <c r="J24" s="68">
        <f t="shared" ref="J24:J29" si="9">SUM(D24:H24)</f>
        <v>0</v>
      </c>
    </row>
    <row r="25" spans="2:10" x14ac:dyDescent="0.25">
      <c r="B25" s="23"/>
      <c r="C25" s="67"/>
      <c r="D25" s="68"/>
      <c r="E25" s="68"/>
      <c r="F25" s="68"/>
      <c r="G25" s="68"/>
      <c r="H25" s="68"/>
      <c r="I25" s="69">
        <v>2250</v>
      </c>
      <c r="J25" s="68">
        <f t="shared" si="9"/>
        <v>0</v>
      </c>
    </row>
    <row r="26" spans="2:10" x14ac:dyDescent="0.25">
      <c r="B26" s="23"/>
      <c r="C26" s="84"/>
      <c r="D26" s="68"/>
      <c r="E26" s="68"/>
      <c r="F26" s="68"/>
      <c r="G26" s="68"/>
      <c r="H26" s="68"/>
      <c r="I26" s="69">
        <v>1243</v>
      </c>
      <c r="J26" s="68">
        <f t="shared" si="9"/>
        <v>0</v>
      </c>
    </row>
    <row r="27" spans="2:10" x14ac:dyDescent="0.25">
      <c r="B27" s="23"/>
      <c r="C27" s="84"/>
      <c r="D27" s="68"/>
      <c r="E27" s="68"/>
      <c r="F27" s="68"/>
      <c r="G27" s="68"/>
      <c r="H27" s="68"/>
      <c r="I27" s="69">
        <v>225</v>
      </c>
      <c r="J27" s="68">
        <f t="shared" si="9"/>
        <v>0</v>
      </c>
    </row>
    <row r="28" spans="2:10" x14ac:dyDescent="0.25">
      <c r="B28" s="23"/>
      <c r="C28" s="84"/>
      <c r="D28" s="68"/>
      <c r="E28" s="68"/>
      <c r="F28" s="68"/>
      <c r="G28" s="68"/>
      <c r="H28" s="68"/>
      <c r="I28" s="69">
        <v>400</v>
      </c>
      <c r="J28" s="68">
        <f t="shared" si="9"/>
        <v>0</v>
      </c>
    </row>
    <row r="29" spans="2:10" x14ac:dyDescent="0.25">
      <c r="B29" s="23"/>
      <c r="C29" s="67"/>
      <c r="D29" s="68"/>
      <c r="E29" s="68"/>
      <c r="F29" s="68"/>
      <c r="G29" s="68"/>
      <c r="H29" s="68"/>
      <c r="I29" s="69">
        <v>1638</v>
      </c>
      <c r="J29" s="68">
        <f t="shared" si="9"/>
        <v>0</v>
      </c>
    </row>
    <row r="30" spans="2:10" x14ac:dyDescent="0.25">
      <c r="B30" s="23"/>
      <c r="C30" s="73" t="s">
        <v>14</v>
      </c>
      <c r="D30" s="74">
        <f>SUM(D21:D29)</f>
        <v>328</v>
      </c>
      <c r="E30" s="74">
        <f t="shared" ref="E30:H30" si="10">SUM(E21:E29)</f>
        <v>328</v>
      </c>
      <c r="F30" s="74">
        <f t="shared" si="10"/>
        <v>328</v>
      </c>
      <c r="G30" s="74">
        <f t="shared" si="10"/>
        <v>328</v>
      </c>
      <c r="H30" s="74">
        <f t="shared" si="10"/>
        <v>328</v>
      </c>
      <c r="I30" s="70"/>
      <c r="J30" s="74">
        <f>SUM(D30:H30)</f>
        <v>1640</v>
      </c>
    </row>
    <row r="31" spans="2:10" x14ac:dyDescent="0.25">
      <c r="B31" s="23"/>
      <c r="C31" s="83" t="s">
        <v>54</v>
      </c>
      <c r="D31" s="68"/>
      <c r="E31" s="71"/>
      <c r="F31" s="71"/>
      <c r="G31" s="71"/>
      <c r="H31" s="71"/>
      <c r="I31" s="70"/>
      <c r="J31" s="68" t="s">
        <v>20</v>
      </c>
    </row>
    <row r="32" spans="2:10" x14ac:dyDescent="0.25">
      <c r="B32" s="23"/>
      <c r="C32" s="67"/>
      <c r="D32" s="68"/>
      <c r="E32" s="71"/>
      <c r="F32" s="71"/>
      <c r="G32" s="71"/>
      <c r="H32" s="71"/>
      <c r="I32" s="70"/>
      <c r="J32" s="68">
        <f>SUM(D32:H32)</f>
        <v>0</v>
      </c>
    </row>
    <row r="33" spans="2:10" x14ac:dyDescent="0.25">
      <c r="B33" s="23" t="s">
        <v>55</v>
      </c>
      <c r="C33" s="76" t="s">
        <v>55</v>
      </c>
      <c r="D33" s="76" t="s">
        <v>43</v>
      </c>
      <c r="E33" s="71"/>
      <c r="F33" s="71"/>
      <c r="G33" s="71"/>
      <c r="H33" s="71"/>
      <c r="I33" s="70"/>
      <c r="J33" s="68">
        <f t="shared" ref="J33:J57" si="11">SUM(D33:H33)</f>
        <v>0</v>
      </c>
    </row>
    <row r="34" spans="2:10" x14ac:dyDescent="0.25">
      <c r="B34" s="23"/>
      <c r="C34" s="73" t="s">
        <v>15</v>
      </c>
      <c r="D34" s="85">
        <f>SUM(D32:D33)</f>
        <v>0</v>
      </c>
      <c r="E34" s="85">
        <f t="shared" ref="E34:H34" si="12">SUM(E32:E33)</f>
        <v>0</v>
      </c>
      <c r="F34" s="85">
        <f t="shared" si="12"/>
        <v>0</v>
      </c>
      <c r="G34" s="85">
        <f t="shared" si="12"/>
        <v>0</v>
      </c>
      <c r="H34" s="85">
        <f t="shared" si="12"/>
        <v>0</v>
      </c>
      <c r="I34" s="70"/>
      <c r="J34" s="74">
        <f t="shared" si="11"/>
        <v>0</v>
      </c>
    </row>
    <row r="35" spans="2:10" x14ac:dyDescent="0.25">
      <c r="B35" s="23"/>
      <c r="C35" s="83" t="s">
        <v>56</v>
      </c>
      <c r="D35" s="76" t="s">
        <v>43</v>
      </c>
      <c r="E35" s="71"/>
      <c r="F35" s="71"/>
      <c r="G35" s="71"/>
      <c r="H35" s="71"/>
      <c r="I35" s="70"/>
      <c r="J35" s="68"/>
    </row>
    <row r="36" spans="2:10" x14ac:dyDescent="0.25">
      <c r="B36" s="23"/>
      <c r="C36" s="67"/>
      <c r="D36" s="68"/>
      <c r="E36" s="68"/>
      <c r="F36" s="68"/>
      <c r="G36" s="68"/>
      <c r="H36" s="68"/>
      <c r="I36" s="69">
        <v>5000</v>
      </c>
      <c r="J36" s="68">
        <f t="shared" si="11"/>
        <v>0</v>
      </c>
    </row>
    <row r="37" spans="2:10" x14ac:dyDescent="0.25">
      <c r="B37" s="23"/>
      <c r="C37" s="67"/>
      <c r="D37" s="68"/>
      <c r="E37" s="72"/>
      <c r="F37" s="72"/>
      <c r="G37" s="72"/>
      <c r="H37" s="72"/>
      <c r="I37" s="70"/>
      <c r="J37" s="68">
        <f t="shared" si="11"/>
        <v>0</v>
      </c>
    </row>
    <row r="38" spans="2:10" x14ac:dyDescent="0.25">
      <c r="B38" s="23"/>
      <c r="C38" s="73" t="s">
        <v>16</v>
      </c>
      <c r="D38" s="74">
        <f>SUM(D36:D37)</f>
        <v>0</v>
      </c>
      <c r="E38" s="74">
        <f t="shared" ref="E38:H38" si="13">SUM(E36:E37)</f>
        <v>0</v>
      </c>
      <c r="F38" s="74">
        <f t="shared" si="13"/>
        <v>0</v>
      </c>
      <c r="G38" s="74">
        <f t="shared" si="13"/>
        <v>0</v>
      </c>
      <c r="H38" s="74">
        <f t="shared" si="13"/>
        <v>0</v>
      </c>
      <c r="I38" s="70"/>
      <c r="J38" s="74">
        <f t="shared" si="11"/>
        <v>0</v>
      </c>
    </row>
    <row r="39" spans="2:10" x14ac:dyDescent="0.25">
      <c r="B39" s="23"/>
      <c r="C39" s="83" t="s">
        <v>57</v>
      </c>
      <c r="D39" s="76" t="s">
        <v>43</v>
      </c>
      <c r="E39" s="71"/>
      <c r="F39" s="71"/>
      <c r="G39" s="71"/>
      <c r="H39" s="71"/>
      <c r="I39" s="70"/>
      <c r="J39" s="68"/>
    </row>
    <row r="40" spans="2:10" x14ac:dyDescent="0.25">
      <c r="B40" s="23"/>
      <c r="C40" s="67" t="s">
        <v>62</v>
      </c>
      <c r="D40" s="68">
        <v>100000</v>
      </c>
      <c r="E40" s="68">
        <v>150000</v>
      </c>
      <c r="F40" s="68">
        <v>150000</v>
      </c>
      <c r="G40" s="68">
        <v>100000</v>
      </c>
      <c r="H40" s="68"/>
      <c r="I40" s="69"/>
      <c r="J40" s="68">
        <f t="shared" si="11"/>
        <v>500000</v>
      </c>
    </row>
    <row r="41" spans="2:10" x14ac:dyDescent="0.25">
      <c r="B41" s="23"/>
      <c r="C41" s="67"/>
      <c r="D41" s="68"/>
      <c r="E41" s="68"/>
      <c r="F41" s="68"/>
      <c r="G41" s="68"/>
      <c r="H41" s="68"/>
      <c r="I41" s="69">
        <v>22500000</v>
      </c>
      <c r="J41" s="68">
        <f t="shared" si="11"/>
        <v>0</v>
      </c>
    </row>
    <row r="42" spans="2:10" x14ac:dyDescent="0.25">
      <c r="B42" s="23"/>
      <c r="C42" s="67"/>
      <c r="D42" s="68"/>
      <c r="E42" s="68"/>
      <c r="F42" s="68"/>
      <c r="G42" s="68"/>
      <c r="H42" s="68"/>
      <c r="I42" s="69">
        <v>75000000</v>
      </c>
      <c r="J42" s="68">
        <f t="shared" si="11"/>
        <v>0</v>
      </c>
    </row>
    <row r="43" spans="2:10" x14ac:dyDescent="0.25">
      <c r="B43" s="23"/>
      <c r="C43" s="67"/>
      <c r="D43" s="68"/>
      <c r="E43" s="68"/>
      <c r="F43" s="68"/>
      <c r="G43" s="68"/>
      <c r="H43" s="68"/>
      <c r="I43" s="69"/>
      <c r="J43" s="68">
        <f t="shared" si="11"/>
        <v>0</v>
      </c>
    </row>
    <row r="44" spans="2:10" x14ac:dyDescent="0.25">
      <c r="B44" s="23"/>
      <c r="C44" s="67"/>
      <c r="D44" s="68"/>
      <c r="E44" s="68"/>
      <c r="F44" s="68"/>
      <c r="G44" s="68"/>
      <c r="H44" s="68"/>
      <c r="I44" s="70"/>
      <c r="J44" s="68">
        <f t="shared" si="11"/>
        <v>0</v>
      </c>
    </row>
    <row r="45" spans="2:10" x14ac:dyDescent="0.25">
      <c r="B45" s="23"/>
      <c r="C45" s="73" t="s">
        <v>17</v>
      </c>
      <c r="D45" s="74">
        <f>SUM(D40:D44)</f>
        <v>100000</v>
      </c>
      <c r="E45" s="74">
        <f t="shared" ref="E45:H45" si="14">SUM(E40:E44)</f>
        <v>150000</v>
      </c>
      <c r="F45" s="74">
        <f t="shared" si="14"/>
        <v>150000</v>
      </c>
      <c r="G45" s="74">
        <f t="shared" si="14"/>
        <v>100000</v>
      </c>
      <c r="H45" s="74">
        <f t="shared" si="14"/>
        <v>0</v>
      </c>
      <c r="I45" s="70"/>
      <c r="J45" s="74">
        <f t="shared" si="11"/>
        <v>500000</v>
      </c>
    </row>
    <row r="46" spans="2:10" x14ac:dyDescent="0.25">
      <c r="B46" s="23"/>
      <c r="C46" s="83" t="s">
        <v>63</v>
      </c>
      <c r="D46" s="76" t="s">
        <v>43</v>
      </c>
      <c r="E46" s="71"/>
      <c r="F46" s="71"/>
      <c r="G46" s="71"/>
      <c r="H46" s="71"/>
      <c r="I46" s="70"/>
      <c r="J46" s="68"/>
    </row>
    <row r="47" spans="2:10" x14ac:dyDescent="0.25">
      <c r="B47" s="23"/>
      <c r="C47" s="67"/>
      <c r="D47" s="68"/>
      <c r="E47" s="68"/>
      <c r="F47" s="68"/>
      <c r="G47" s="68"/>
      <c r="H47" s="68"/>
      <c r="I47" s="69"/>
      <c r="J47" s="68">
        <f t="shared" ref="J47:J48" si="15">SUM(D47:H47)</f>
        <v>0</v>
      </c>
    </row>
    <row r="48" spans="2:10" x14ac:dyDescent="0.25">
      <c r="B48" s="23"/>
      <c r="C48" s="67"/>
      <c r="D48" s="68"/>
      <c r="E48" s="72"/>
      <c r="F48" s="72"/>
      <c r="G48" s="72"/>
      <c r="H48" s="72"/>
      <c r="I48" s="70"/>
      <c r="J48" s="68">
        <f t="shared" si="15"/>
        <v>0</v>
      </c>
    </row>
    <row r="49" spans="2:10" x14ac:dyDescent="0.25">
      <c r="B49" s="23"/>
      <c r="C49" s="73" t="s">
        <v>18</v>
      </c>
      <c r="D49" s="74">
        <f>SUM(D47:D48)</f>
        <v>0</v>
      </c>
      <c r="E49" s="74">
        <f t="shared" ref="E49:H49" si="16">SUM(E47:E48)</f>
        <v>0</v>
      </c>
      <c r="F49" s="74">
        <f t="shared" si="16"/>
        <v>0</v>
      </c>
      <c r="G49" s="74">
        <f t="shared" si="16"/>
        <v>0</v>
      </c>
      <c r="H49" s="74">
        <f t="shared" si="16"/>
        <v>0</v>
      </c>
      <c r="I49" s="70"/>
      <c r="J49" s="74">
        <f>SUM(J47:J48)</f>
        <v>0</v>
      </c>
    </row>
    <row r="50" spans="2:10" x14ac:dyDescent="0.25">
      <c r="B50" s="23"/>
      <c r="C50" s="83" t="s">
        <v>135</v>
      </c>
      <c r="D50" s="76" t="s">
        <v>43</v>
      </c>
      <c r="E50" s="71"/>
      <c r="F50" s="71"/>
      <c r="G50" s="71"/>
      <c r="H50" s="71"/>
      <c r="I50" s="70"/>
      <c r="J50" s="68"/>
    </row>
    <row r="51" spans="2:10" ht="45" x14ac:dyDescent="0.25">
      <c r="B51" s="23"/>
      <c r="C51" s="67" t="s">
        <v>84</v>
      </c>
      <c r="D51" s="68">
        <v>0</v>
      </c>
      <c r="E51" s="68">
        <v>0</v>
      </c>
      <c r="F51" s="68">
        <f>67800000*0.75</f>
        <v>50850000</v>
      </c>
      <c r="G51" s="68">
        <f>67800000*0.25</f>
        <v>16950000</v>
      </c>
      <c r="H51" s="68">
        <v>0</v>
      </c>
      <c r="I51" s="69">
        <v>375000</v>
      </c>
      <c r="J51" s="68">
        <f>SUM(D51:G51)</f>
        <v>67800000</v>
      </c>
    </row>
    <row r="52" spans="2:10" ht="45" x14ac:dyDescent="0.25">
      <c r="B52" s="23"/>
      <c r="C52" s="67" t="s">
        <v>85</v>
      </c>
      <c r="D52" s="68">
        <v>0</v>
      </c>
      <c r="E52" s="68">
        <v>0</v>
      </c>
      <c r="F52" s="68">
        <f>49200000*(10/15)</f>
        <v>32800000</v>
      </c>
      <c r="G52" s="68">
        <f>49200000*(5/15)</f>
        <v>16400000</v>
      </c>
      <c r="H52" s="68">
        <v>0</v>
      </c>
      <c r="I52" s="69">
        <v>781250</v>
      </c>
      <c r="J52" s="68">
        <f>SUM(D52:G52)</f>
        <v>49200000</v>
      </c>
    </row>
    <row r="53" spans="2:10" ht="30" x14ac:dyDescent="0.25">
      <c r="B53" s="23"/>
      <c r="C53" s="67" t="s">
        <v>86</v>
      </c>
      <c r="D53" s="68">
        <v>132000</v>
      </c>
      <c r="E53" s="68">
        <v>180000</v>
      </c>
      <c r="F53" s="68">
        <v>3648000</v>
      </c>
      <c r="G53" s="68">
        <v>440000</v>
      </c>
      <c r="H53" s="68">
        <v>0</v>
      </c>
      <c r="I53" s="69"/>
      <c r="J53" s="68">
        <f t="shared" si="11"/>
        <v>4400000</v>
      </c>
    </row>
    <row r="54" spans="2:10" ht="45" x14ac:dyDescent="0.25">
      <c r="B54" s="23"/>
      <c r="C54" s="67" t="s">
        <v>87</v>
      </c>
      <c r="D54" s="68">
        <v>5000000</v>
      </c>
      <c r="E54" s="68">
        <v>5000000</v>
      </c>
      <c r="F54" s="68">
        <v>5000000</v>
      </c>
      <c r="G54" s="68">
        <v>5000000</v>
      </c>
      <c r="H54" s="68">
        <v>0</v>
      </c>
      <c r="I54" s="69">
        <v>2083335</v>
      </c>
      <c r="J54" s="68">
        <f t="shared" si="11"/>
        <v>20000000</v>
      </c>
    </row>
    <row r="55" spans="2:10" ht="45" x14ac:dyDescent="0.25">
      <c r="B55" s="23"/>
      <c r="C55" s="67" t="s">
        <v>88</v>
      </c>
      <c r="D55" s="68">
        <v>2000000</v>
      </c>
      <c r="E55" s="68">
        <v>3000000</v>
      </c>
      <c r="F55" s="68">
        <v>10000000</v>
      </c>
      <c r="G55" s="68">
        <v>5000000</v>
      </c>
      <c r="H55" s="68">
        <v>0</v>
      </c>
      <c r="I55" s="70"/>
      <c r="J55" s="68">
        <f t="shared" si="11"/>
        <v>20000000</v>
      </c>
    </row>
    <row r="56" spans="2:10" ht="45" x14ac:dyDescent="0.25">
      <c r="B56" s="23"/>
      <c r="C56" s="67" t="s">
        <v>122</v>
      </c>
      <c r="D56" s="68">
        <f>0.3*(10.5*2000000)</f>
        <v>6300000</v>
      </c>
      <c r="E56" s="68">
        <f>0.7*(10.5*2000000)</f>
        <v>14699999.999999998</v>
      </c>
      <c r="F56" s="68">
        <v>0</v>
      </c>
      <c r="G56" s="68">
        <v>0</v>
      </c>
      <c r="H56" s="68">
        <v>0</v>
      </c>
      <c r="I56" s="70"/>
      <c r="J56" s="68">
        <f t="shared" si="11"/>
        <v>21000000</v>
      </c>
    </row>
    <row r="57" spans="2:10" x14ac:dyDescent="0.25">
      <c r="B57" s="23"/>
      <c r="C57" s="71"/>
      <c r="D57" s="68"/>
      <c r="E57" s="72"/>
      <c r="F57" s="72"/>
      <c r="G57" s="72"/>
      <c r="H57" s="72"/>
      <c r="I57" s="70"/>
      <c r="J57" s="68">
        <f t="shared" si="11"/>
        <v>0</v>
      </c>
    </row>
    <row r="58" spans="2:10" x14ac:dyDescent="0.25">
      <c r="B58" s="24"/>
      <c r="C58" s="73" t="s">
        <v>71</v>
      </c>
      <c r="D58" s="74">
        <f>SUM(D51:D57)</f>
        <v>13432000</v>
      </c>
      <c r="E58" s="74">
        <f t="shared" ref="E58:G58" si="17">SUM(E51:E57)</f>
        <v>22880000</v>
      </c>
      <c r="F58" s="74">
        <f>SUM(F51:F57)</f>
        <v>102298000</v>
      </c>
      <c r="G58" s="74">
        <f t="shared" si="17"/>
        <v>43790000</v>
      </c>
      <c r="H58" s="74">
        <f>SUM(H51:H57)</f>
        <v>0</v>
      </c>
      <c r="I58" s="70"/>
      <c r="J58" s="74">
        <f>SUM(D58:H58)</f>
        <v>182400000</v>
      </c>
    </row>
    <row r="59" spans="2:10" x14ac:dyDescent="0.25">
      <c r="B59" s="24"/>
      <c r="C59" s="73" t="s">
        <v>19</v>
      </c>
      <c r="D59" s="74">
        <f>SUM(D58,D49,D45,D38,D34,D30,D19,D14)</f>
        <v>13906293</v>
      </c>
      <c r="E59" s="74">
        <f t="shared" ref="E59:H59" si="18">SUM(E58,E49,E45,E38,E34,E30,E19,E14)</f>
        <v>23415511.949999999</v>
      </c>
      <c r="F59" s="74">
        <f t="shared" si="18"/>
        <v>102845067.4685</v>
      </c>
      <c r="G59" s="74">
        <f t="shared" si="18"/>
        <v>44298969.652554996</v>
      </c>
      <c r="H59" s="74">
        <f t="shared" si="18"/>
        <v>421228.90213165007</v>
      </c>
      <c r="I59" s="70"/>
      <c r="J59" s="74">
        <f>SUM(D59:H59)</f>
        <v>184887070.97318664</v>
      </c>
    </row>
    <row r="60" spans="2:10" x14ac:dyDescent="0.25">
      <c r="B60" s="6"/>
      <c r="C60" s="70"/>
      <c r="D60" s="70"/>
      <c r="E60" s="70"/>
      <c r="F60" s="70"/>
      <c r="G60" s="70"/>
      <c r="H60" s="70"/>
      <c r="I60" s="70"/>
      <c r="J60" s="70" t="s">
        <v>20</v>
      </c>
    </row>
    <row r="61" spans="2:10" ht="30" x14ac:dyDescent="0.25">
      <c r="B61" s="63" t="s">
        <v>72</v>
      </c>
      <c r="C61" s="75" t="s">
        <v>72</v>
      </c>
      <c r="D61" s="68"/>
      <c r="E61" s="68"/>
      <c r="F61" s="68"/>
      <c r="G61" s="68"/>
      <c r="H61" s="68"/>
      <c r="I61" s="70"/>
      <c r="J61" s="68">
        <f>SUM(D61:H61)</f>
        <v>0</v>
      </c>
    </row>
    <row r="62" spans="2:10" ht="30" x14ac:dyDescent="0.25">
      <c r="B62" s="23"/>
      <c r="C62" s="67" t="s">
        <v>123</v>
      </c>
      <c r="D62" s="72">
        <f>0.7368*(D14+D19)</f>
        <v>275537.41200000001</v>
      </c>
      <c r="E62" s="72">
        <f>0.7368*(E14+E19)</f>
        <v>283803.53435999999</v>
      </c>
      <c r="F62" s="72">
        <f>0.7368*(F14+F19)</f>
        <v>292317.64039080002</v>
      </c>
      <c r="G62" s="72">
        <f>0.7368*(G14+G19)</f>
        <v>301087.16960252402</v>
      </c>
      <c r="H62" s="72">
        <f>0.7368*(H14+H19)</f>
        <v>310119.78469059977</v>
      </c>
      <c r="I62" s="70"/>
      <c r="J62" s="68">
        <f>SUM(D62:H62)</f>
        <v>1462865.5410439237</v>
      </c>
    </row>
    <row r="63" spans="2:10" x14ac:dyDescent="0.25">
      <c r="B63" s="23"/>
      <c r="C63" s="67"/>
      <c r="D63" s="76"/>
      <c r="E63" s="71"/>
      <c r="F63" s="71"/>
      <c r="G63" s="71"/>
      <c r="H63" s="71"/>
      <c r="I63" s="70"/>
      <c r="J63" s="68">
        <f t="shared" ref="J63:J64" si="19">SUM(D63:H63)</f>
        <v>0</v>
      </c>
    </row>
    <row r="64" spans="2:10" x14ac:dyDescent="0.25">
      <c r="B64" s="24"/>
      <c r="C64" s="73" t="s">
        <v>21</v>
      </c>
      <c r="D64" s="74">
        <f>SUM(D62:D63)</f>
        <v>275537.41200000001</v>
      </c>
      <c r="E64" s="74">
        <f t="shared" ref="E64:H64" si="20">SUM(E62:E63)</f>
        <v>283803.53435999999</v>
      </c>
      <c r="F64" s="74">
        <f t="shared" si="20"/>
        <v>292317.64039080002</v>
      </c>
      <c r="G64" s="74">
        <f t="shared" si="20"/>
        <v>301087.16960252402</v>
      </c>
      <c r="H64" s="74">
        <f t="shared" si="20"/>
        <v>310119.78469059977</v>
      </c>
      <c r="I64" s="70"/>
      <c r="J64" s="74">
        <f t="shared" si="19"/>
        <v>1462865.5410439237</v>
      </c>
    </row>
    <row r="65" spans="2:10" ht="15.75" thickBot="1" x14ac:dyDescent="0.3">
      <c r="B65" s="6"/>
      <c r="C65" s="70"/>
      <c r="D65" s="70"/>
      <c r="E65" s="70"/>
      <c r="F65" s="70"/>
      <c r="G65" s="70"/>
      <c r="H65" s="70"/>
      <c r="I65" s="70"/>
      <c r="J65" s="70" t="s">
        <v>20</v>
      </c>
    </row>
    <row r="66" spans="2:10" s="1" customFormat="1" ht="30.75" thickBot="1" x14ac:dyDescent="0.3">
      <c r="B66" s="19" t="s">
        <v>22</v>
      </c>
      <c r="C66" s="77"/>
      <c r="D66" s="78">
        <f>SUM(D64,D59)</f>
        <v>14181830.412</v>
      </c>
      <c r="E66" s="78">
        <f t="shared" ref="E66:H66" si="21">SUM(E64,E59)</f>
        <v>23699315.484359998</v>
      </c>
      <c r="F66" s="78">
        <f t="shared" si="21"/>
        <v>103137385.1088908</v>
      </c>
      <c r="G66" s="78">
        <f t="shared" si="21"/>
        <v>44600056.822157517</v>
      </c>
      <c r="H66" s="78">
        <f t="shared" si="21"/>
        <v>731348.68682224979</v>
      </c>
      <c r="I66" s="70">
        <f>SUM(I64,I59)</f>
        <v>0</v>
      </c>
      <c r="J66" s="78">
        <f>SUM(J64,J59)</f>
        <v>186349936.51423058</v>
      </c>
    </row>
    <row r="67" spans="2:10" x14ac:dyDescent="0.25">
      <c r="B67" s="6"/>
    </row>
    <row r="68" spans="2:10" x14ac:dyDescent="0.25">
      <c r="B68" s="6"/>
    </row>
    <row r="69" spans="2:10" x14ac:dyDescent="0.25">
      <c r="B69" s="6"/>
    </row>
    <row r="70" spans="2:10" x14ac:dyDescent="0.25">
      <c r="B70" s="6"/>
    </row>
    <row r="71" spans="2:10" x14ac:dyDescent="0.25">
      <c r="B71" s="6"/>
    </row>
    <row r="72" spans="2:10" x14ac:dyDescent="0.25">
      <c r="B72" s="6"/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</sheetData>
  <pageMargins left="0.7" right="0.7" top="0.75" bottom="0.75" header="0.3" footer="0.3"/>
  <pageSetup scale="89" fitToHeight="0" orientation="landscape" r:id="rId1"/>
  <ignoredErrors>
    <ignoredError sqref="J54 J41:J42 J36 J23:J29 J51:J5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C25" sqref="C25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28515625" customWidth="1"/>
  </cols>
  <sheetData>
    <row r="2" spans="2:39" ht="23.25" x14ac:dyDescent="0.35">
      <c r="B2" s="30" t="s">
        <v>89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90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91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50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51</v>
      </c>
      <c r="D12" s="13" t="s">
        <v>43</v>
      </c>
      <c r="E12" s="10"/>
      <c r="F12" s="10"/>
      <c r="G12" s="10"/>
      <c r="H12" s="10"/>
      <c r="J12" s="8" t="s">
        <v>43</v>
      </c>
    </row>
    <row r="13" spans="2:39" x14ac:dyDescent="0.25">
      <c r="B13" s="23"/>
      <c r="C13" s="25" t="s">
        <v>92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52</v>
      </c>
      <c r="D17" s="13" t="s">
        <v>43</v>
      </c>
      <c r="E17" s="10"/>
      <c r="F17" s="10"/>
      <c r="G17" s="10"/>
      <c r="H17" s="10"/>
      <c r="J17" s="8" t="s">
        <v>43</v>
      </c>
    </row>
    <row r="18" spans="2:10" x14ac:dyDescent="0.25">
      <c r="B18" s="23"/>
      <c r="C18" s="29" t="s">
        <v>93</v>
      </c>
      <c r="D18" s="15" t="s">
        <v>55</v>
      </c>
      <c r="E18" s="11" t="s">
        <v>55</v>
      </c>
      <c r="F18" s="11" t="s">
        <v>55</v>
      </c>
      <c r="G18" s="11"/>
      <c r="H18" s="11"/>
      <c r="J18" s="15"/>
    </row>
    <row r="19" spans="2:10" x14ac:dyDescent="0.25">
      <c r="B19" s="23"/>
      <c r="C19" s="29" t="s">
        <v>94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95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96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97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98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99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54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100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55</v>
      </c>
      <c r="C29" s="28" t="s">
        <v>55</v>
      </c>
      <c r="D29" s="13" t="s">
        <v>43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56</v>
      </c>
      <c r="D31" s="13" t="s">
        <v>43</v>
      </c>
      <c r="E31" s="10"/>
      <c r="F31" s="10"/>
      <c r="G31" s="10"/>
      <c r="H31" s="10"/>
      <c r="J31" s="15"/>
    </row>
    <row r="32" spans="2:10" x14ac:dyDescent="0.25">
      <c r="B32" s="23"/>
      <c r="C32" s="25" t="s">
        <v>101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57</v>
      </c>
      <c r="D35" s="13" t="s">
        <v>43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102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103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104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68</v>
      </c>
      <c r="D41" s="13" t="s">
        <v>43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105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106</v>
      </c>
      <c r="D43" s="15">
        <v>10000000</v>
      </c>
      <c r="E43" s="54">
        <v>10000000</v>
      </c>
      <c r="F43" s="54">
        <v>10000000</v>
      </c>
      <c r="G43" s="54">
        <v>10000000</v>
      </c>
      <c r="H43" s="54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71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72</v>
      </c>
      <c r="C48" s="17" t="s">
        <v>72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3" activePane="bottomRight" state="frozen"/>
      <selection pane="topRight" activeCell="R20" sqref="R20:W20"/>
      <selection pane="bottomLeft" activeCell="R20" sqref="R20:W20"/>
      <selection pane="bottomRight" activeCell="D53" sqref="D53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42578125" style="2" customWidth="1"/>
    <col min="6" max="7" width="12.7109375" customWidth="1"/>
    <col min="8" max="8" width="13.42578125" style="2" customWidth="1"/>
    <col min="9" max="9" width="0.7109375" style="7" customWidth="1"/>
    <col min="10" max="10" width="14.42578125" customWidth="1"/>
    <col min="11" max="11" width="10.28515625" customWidth="1"/>
  </cols>
  <sheetData>
    <row r="2" spans="2:39" ht="23.25" x14ac:dyDescent="0.35">
      <c r="B2" s="30" t="s">
        <v>89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90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50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51</v>
      </c>
      <c r="D12" s="13" t="s">
        <v>43</v>
      </c>
      <c r="E12" s="10"/>
      <c r="F12" s="10"/>
      <c r="G12" s="10"/>
      <c r="H12" s="10"/>
      <c r="J12" s="8" t="s">
        <v>43</v>
      </c>
    </row>
    <row r="13" spans="2:39" x14ac:dyDescent="0.25">
      <c r="B13" s="23"/>
      <c r="C13" s="25" t="s">
        <v>92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52</v>
      </c>
      <c r="D17" s="13" t="s">
        <v>43</v>
      </c>
      <c r="E17" s="10"/>
      <c r="F17" s="10"/>
      <c r="G17" s="10"/>
      <c r="H17" s="10"/>
      <c r="J17" s="8" t="s">
        <v>43</v>
      </c>
    </row>
    <row r="18" spans="2:10" x14ac:dyDescent="0.25">
      <c r="B18" s="23"/>
      <c r="C18" s="25" t="s">
        <v>107</v>
      </c>
      <c r="D18" s="13"/>
      <c r="E18" s="10"/>
      <c r="F18" s="10"/>
      <c r="G18" s="10"/>
      <c r="H18" s="10"/>
      <c r="J18" s="15" t="s">
        <v>43</v>
      </c>
    </row>
    <row r="19" spans="2:10" x14ac:dyDescent="0.25">
      <c r="B19" s="23"/>
      <c r="C19" s="29" t="s">
        <v>93</v>
      </c>
      <c r="D19" s="15" t="s">
        <v>55</v>
      </c>
      <c r="E19" s="11" t="s">
        <v>55</v>
      </c>
      <c r="F19" s="11" t="s">
        <v>55</v>
      </c>
      <c r="G19" s="11"/>
      <c r="H19" s="11"/>
      <c r="J19" s="15"/>
    </row>
    <row r="20" spans="2:10" x14ac:dyDescent="0.25">
      <c r="B20" s="23"/>
      <c r="C20" s="29" t="s">
        <v>94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95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96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97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98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99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55</v>
      </c>
      <c r="C30" s="28" t="s">
        <v>55</v>
      </c>
      <c r="D30" s="13" t="s">
        <v>43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56</v>
      </c>
      <c r="D32" s="13" t="s">
        <v>43</v>
      </c>
      <c r="E32" s="10"/>
      <c r="F32" s="10"/>
      <c r="G32" s="10"/>
      <c r="H32" s="10"/>
      <c r="J32" s="15"/>
    </row>
    <row r="33" spans="2:10" x14ac:dyDescent="0.25">
      <c r="B33" s="23"/>
      <c r="C33" s="25" t="s">
        <v>108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57</v>
      </c>
      <c r="D36" s="13" t="s">
        <v>43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56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68</v>
      </c>
      <c r="D43" s="13" t="s">
        <v>43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109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110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111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71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72</v>
      </c>
      <c r="C53" s="17" t="s">
        <v>72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7" sqref="M37"/>
    </sheetView>
  </sheetViews>
  <sheetFormatPr defaultColWidth="9.28515625" defaultRowHeight="15" x14ac:dyDescent="0.25"/>
  <cols>
    <col min="1" max="1" width="3.28515625" customWidth="1"/>
    <col min="2" max="2" width="12.28515625" customWidth="1"/>
    <col min="3" max="3" width="52.71093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7109375" style="7" customWidth="1"/>
    <col min="10" max="10" width="13.5703125" customWidth="1"/>
    <col min="11" max="11" width="10.28515625" customWidth="1"/>
    <col min="13" max="13" width="9.5703125" bestFit="1" customWidth="1"/>
  </cols>
  <sheetData>
    <row r="2" spans="2:39" ht="23.25" x14ac:dyDescent="0.35">
      <c r="B2" s="30" t="s">
        <v>89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112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91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50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51</v>
      </c>
      <c r="D12" s="13" t="s">
        <v>43</v>
      </c>
      <c r="E12" s="10"/>
      <c r="F12" s="10"/>
      <c r="G12" s="10"/>
      <c r="H12" s="10"/>
      <c r="J12" s="8" t="s">
        <v>43</v>
      </c>
    </row>
    <row r="13" spans="2:39" x14ac:dyDescent="0.25">
      <c r="B13" s="23"/>
      <c r="C13" s="25" t="s">
        <v>92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52</v>
      </c>
      <c r="D17" s="13" t="s">
        <v>43</v>
      </c>
      <c r="E17" s="10"/>
      <c r="F17" s="10"/>
      <c r="G17" s="10"/>
      <c r="H17" s="10"/>
      <c r="J17" s="8" t="s">
        <v>43</v>
      </c>
    </row>
    <row r="18" spans="2:10" x14ac:dyDescent="0.25">
      <c r="B18" s="23"/>
      <c r="C18" s="25" t="s">
        <v>107</v>
      </c>
      <c r="D18" s="13"/>
      <c r="E18" s="10"/>
      <c r="F18" s="10"/>
      <c r="G18" s="10"/>
      <c r="H18" s="10"/>
      <c r="J18" s="15" t="s">
        <v>43</v>
      </c>
    </row>
    <row r="19" spans="2:10" x14ac:dyDescent="0.25">
      <c r="B19" s="23"/>
      <c r="C19" s="29" t="s">
        <v>93</v>
      </c>
      <c r="D19" s="15" t="s">
        <v>55</v>
      </c>
      <c r="E19" s="11" t="s">
        <v>55</v>
      </c>
      <c r="F19" s="11" t="s">
        <v>55</v>
      </c>
      <c r="G19" s="11"/>
      <c r="H19" s="11"/>
      <c r="J19" s="15"/>
    </row>
    <row r="20" spans="2:10" x14ac:dyDescent="0.25">
      <c r="B20" s="23"/>
      <c r="C20" s="29" t="s">
        <v>94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95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113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97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98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99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55</v>
      </c>
      <c r="C30" s="28" t="s">
        <v>55</v>
      </c>
      <c r="D30" s="13" t="s">
        <v>43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56</v>
      </c>
      <c r="D32" s="13" t="s">
        <v>43</v>
      </c>
      <c r="E32" s="10"/>
      <c r="F32" s="10"/>
      <c r="G32" s="10"/>
      <c r="H32" s="10"/>
      <c r="J32" s="15"/>
    </row>
    <row r="33" spans="2:10" x14ac:dyDescent="0.25">
      <c r="B33" s="23"/>
      <c r="C33" s="25" t="s">
        <v>101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57</v>
      </c>
      <c r="D36" s="13" t="s">
        <v>43</v>
      </c>
      <c r="E36" s="10"/>
      <c r="F36" s="10"/>
      <c r="G36" s="10"/>
      <c r="H36" s="10"/>
      <c r="J36" s="15"/>
    </row>
    <row r="37" spans="2:10" ht="30" x14ac:dyDescent="0.25">
      <c r="B37" s="23"/>
      <c r="C37" s="55" t="s">
        <v>114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115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116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117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118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68</v>
      </c>
      <c r="D43" s="13" t="s">
        <v>43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119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3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3" x14ac:dyDescent="0.25">
      <c r="B50" s="24"/>
      <c r="C50" s="9" t="s">
        <v>71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3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3" x14ac:dyDescent="0.25">
      <c r="B52" s="6"/>
      <c r="D52"/>
      <c r="E52"/>
      <c r="H52"/>
      <c r="I52"/>
      <c r="J52" t="s">
        <v>20</v>
      </c>
    </row>
    <row r="53" spans="2:13" x14ac:dyDescent="0.25">
      <c r="B53" s="22" t="s">
        <v>72</v>
      </c>
      <c r="C53" s="17" t="s">
        <v>72</v>
      </c>
      <c r="D53" s="18"/>
      <c r="E53" s="18"/>
      <c r="F53" s="18"/>
      <c r="G53" s="18"/>
      <c r="H53" s="18"/>
      <c r="I53"/>
      <c r="J53" s="18" t="s">
        <v>20</v>
      </c>
    </row>
    <row r="54" spans="2:13" ht="30" x14ac:dyDescent="0.25">
      <c r="B54" s="23"/>
      <c r="C54" s="25" t="s">
        <v>73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  <c r="M54" s="65">
        <f>0.03*D51</f>
        <v>2694.6</v>
      </c>
    </row>
    <row r="55" spans="2:13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3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3" ht="15.75" thickBot="1" x14ac:dyDescent="0.3">
      <c r="B57" s="6"/>
      <c r="D57"/>
      <c r="E57"/>
      <c r="H57"/>
      <c r="I57"/>
      <c r="J57" t="s">
        <v>20</v>
      </c>
    </row>
    <row r="58" spans="2:13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3" x14ac:dyDescent="0.25">
      <c r="B59" s="6"/>
    </row>
    <row r="60" spans="2:13" x14ac:dyDescent="0.25">
      <c r="B60" s="6"/>
    </row>
    <row r="61" spans="2:13" x14ac:dyDescent="0.25">
      <c r="B61" s="6"/>
    </row>
    <row r="62" spans="2:13" x14ac:dyDescent="0.25">
      <c r="B62" s="6"/>
    </row>
    <row r="63" spans="2:13" x14ac:dyDescent="0.25">
      <c r="B63" s="6"/>
    </row>
    <row r="64" spans="2:13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rgb="FFFF0000"/>
    <pageSetUpPr fitToPage="1"/>
  </sheetPr>
  <dimension ref="B2:AM76"/>
  <sheetViews>
    <sheetView showGridLines="0" zoomScale="85" zoomScaleNormal="85" workbookViewId="0">
      <pane xSplit="3" ySplit="6" topLeftCell="D30" activePane="bottomRight" state="frozen"/>
      <selection pane="topRight" activeCell="R20" sqref="R20:W20"/>
      <selection pane="bottomLeft" activeCell="R20" sqref="R20:W20"/>
      <selection pane="bottomRight" activeCell="M62" sqref="M62"/>
    </sheetView>
  </sheetViews>
  <sheetFormatPr defaultColWidth="9.28515625" defaultRowHeight="15" x14ac:dyDescent="0.25"/>
  <cols>
    <col min="1" max="1" width="3.28515625" customWidth="1"/>
    <col min="2" max="2" width="10" customWidth="1"/>
    <col min="3" max="3" width="46.7109375" customWidth="1"/>
    <col min="4" max="4" width="12.7109375" style="6" customWidth="1"/>
    <col min="5" max="5" width="12.42578125" style="2" customWidth="1"/>
    <col min="6" max="6" width="12.7109375" customWidth="1"/>
    <col min="7" max="7" width="12.42578125" customWidth="1"/>
    <col min="8" max="8" width="12.7109375" style="2" customWidth="1"/>
    <col min="9" max="9" width="0.7109375" style="7" customWidth="1"/>
    <col min="10" max="10" width="12.7109375" bestFit="1" customWidth="1"/>
    <col min="11" max="11" width="10.28515625" customWidth="1"/>
  </cols>
  <sheetData>
    <row r="2" spans="2:39" ht="23.25" x14ac:dyDescent="0.35">
      <c r="B2" s="30" t="s">
        <v>89</v>
      </c>
    </row>
    <row r="3" spans="2:39" x14ac:dyDescent="0.25">
      <c r="B3" s="59" t="s">
        <v>36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42</v>
      </c>
      <c r="D7" s="10" t="s">
        <v>43</v>
      </c>
      <c r="E7" s="10" t="s">
        <v>43</v>
      </c>
      <c r="F7" s="10" t="s">
        <v>43</v>
      </c>
      <c r="G7" s="10"/>
      <c r="H7" s="10" t="s">
        <v>43</v>
      </c>
      <c r="I7" s="7"/>
      <c r="J7" s="8" t="s">
        <v>43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50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51</v>
      </c>
      <c r="D12" s="13" t="s">
        <v>43</v>
      </c>
      <c r="E12" s="10"/>
      <c r="F12" s="10"/>
      <c r="G12" s="10"/>
      <c r="H12" s="10"/>
      <c r="J12" s="8" t="s">
        <v>43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52</v>
      </c>
      <c r="D17" s="13" t="s">
        <v>43</v>
      </c>
      <c r="E17" s="10"/>
      <c r="F17" s="10"/>
      <c r="G17" s="10"/>
      <c r="H17" s="10"/>
      <c r="J17" s="8" t="s">
        <v>43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55</v>
      </c>
      <c r="E19" s="11" t="s">
        <v>55</v>
      </c>
      <c r="F19" s="11" t="s">
        <v>55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54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55</v>
      </c>
      <c r="C30" s="28" t="s">
        <v>55</v>
      </c>
      <c r="D30" s="13" t="s">
        <v>43</v>
      </c>
      <c r="E30" s="10"/>
      <c r="F30" s="10"/>
      <c r="G30" s="10"/>
      <c r="H30" s="10"/>
      <c r="J30" s="15">
        <f t="shared" ref="J30:J54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56</v>
      </c>
      <c r="D32" s="13" t="s">
        <v>43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57</v>
      </c>
      <c r="D36" s="13" t="s">
        <v>43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120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63</v>
      </c>
      <c r="D42" s="13" t="s">
        <v>43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/>
      <c r="J43" s="15">
        <f t="shared" ref="J43:J44" si="10">SUM(D43:H43)</f>
        <v>0</v>
      </c>
    </row>
    <row r="44" spans="2:10" x14ac:dyDescent="0.25">
      <c r="B44" s="23"/>
      <c r="C44" s="25"/>
      <c r="D44" s="15"/>
      <c r="E44" s="11"/>
      <c r="F44" s="11"/>
      <c r="G44" s="11"/>
      <c r="H44" s="11"/>
      <c r="J44" s="15">
        <f t="shared" si="10"/>
        <v>0</v>
      </c>
    </row>
    <row r="45" spans="2:10" x14ac:dyDescent="0.25">
      <c r="B45" s="23"/>
      <c r="C45" s="9" t="s">
        <v>18</v>
      </c>
      <c r="D45" s="16">
        <f>SUM(D43:D44)</f>
        <v>0</v>
      </c>
      <c r="E45" s="16">
        <f t="shared" ref="E45:H45" si="11">SUM(E43:E44)</f>
        <v>0</v>
      </c>
      <c r="F45" s="16">
        <f t="shared" si="11"/>
        <v>0</v>
      </c>
      <c r="G45" s="16">
        <f t="shared" si="11"/>
        <v>0</v>
      </c>
      <c r="H45" s="16">
        <f t="shared" si="11"/>
        <v>0</v>
      </c>
      <c r="J45" s="16">
        <f>SUM(J43:J44)</f>
        <v>0</v>
      </c>
    </row>
    <row r="46" spans="2:10" x14ac:dyDescent="0.25">
      <c r="B46" s="23"/>
      <c r="C46" s="14" t="s">
        <v>121</v>
      </c>
      <c r="D46" s="13" t="s">
        <v>43</v>
      </c>
      <c r="E46" s="10"/>
      <c r="F46" s="10"/>
      <c r="G46" s="10"/>
      <c r="H46" s="10"/>
      <c r="J46" s="15"/>
    </row>
    <row r="47" spans="2:10" x14ac:dyDescent="0.25">
      <c r="B47" s="23"/>
      <c r="C47" s="25"/>
      <c r="D47" s="15"/>
      <c r="E47" s="15"/>
      <c r="F47" s="15"/>
      <c r="G47" s="15"/>
      <c r="H47" s="15"/>
      <c r="I47" s="35">
        <v>375000</v>
      </c>
      <c r="J47" s="15">
        <f t="shared" si="6"/>
        <v>0</v>
      </c>
    </row>
    <row r="48" spans="2:10" x14ac:dyDescent="0.25">
      <c r="B48" s="23"/>
      <c r="C48" s="25"/>
      <c r="D48" s="15"/>
      <c r="E48" s="15"/>
      <c r="F48" s="15"/>
      <c r="G48" s="15"/>
      <c r="H48" s="15"/>
      <c r="I48" s="35">
        <v>781250</v>
      </c>
      <c r="J48" s="15">
        <f t="shared" si="6"/>
        <v>0</v>
      </c>
    </row>
    <row r="49" spans="2:10" x14ac:dyDescent="0.25">
      <c r="B49" s="23"/>
      <c r="C49" s="25"/>
      <c r="D49" s="15"/>
      <c r="E49" s="15"/>
      <c r="F49" s="15"/>
      <c r="G49" s="15"/>
      <c r="H49" s="15"/>
      <c r="I49" s="35">
        <v>2083335</v>
      </c>
      <c r="J49" s="15">
        <f t="shared" si="6"/>
        <v>0</v>
      </c>
    </row>
    <row r="50" spans="2:10" x14ac:dyDescent="0.25">
      <c r="B50" s="23"/>
      <c r="C50" s="25"/>
      <c r="D50" s="15"/>
      <c r="E50" s="11"/>
      <c r="F50" s="11"/>
      <c r="G50" s="11"/>
      <c r="H50" s="11"/>
      <c r="J50" s="15">
        <f t="shared" si="6"/>
        <v>0</v>
      </c>
    </row>
    <row r="51" spans="2:10" x14ac:dyDescent="0.25">
      <c r="B51" s="23"/>
      <c r="C51" s="25"/>
      <c r="D51" s="15"/>
      <c r="E51" s="11"/>
      <c r="F51" s="11"/>
      <c r="G51" s="11"/>
      <c r="H51" s="11"/>
      <c r="J51" s="15">
        <f t="shared" si="6"/>
        <v>0</v>
      </c>
    </row>
    <row r="52" spans="2:10" x14ac:dyDescent="0.25">
      <c r="B52" s="23"/>
      <c r="C52" s="10"/>
      <c r="D52" s="15"/>
      <c r="E52" s="11"/>
      <c r="F52" s="11"/>
      <c r="G52" s="11"/>
      <c r="H52" s="11"/>
      <c r="J52" s="15">
        <f t="shared" si="6"/>
        <v>0</v>
      </c>
    </row>
    <row r="53" spans="2:10" x14ac:dyDescent="0.25">
      <c r="B53" s="24"/>
      <c r="C53" s="9" t="s">
        <v>71</v>
      </c>
      <c r="D53" s="16">
        <f>SUM(D47:D52)</f>
        <v>0</v>
      </c>
      <c r="E53" s="16">
        <f t="shared" ref="E53:H53" si="12">SUM(E47:E52)</f>
        <v>0</v>
      </c>
      <c r="F53" s="16">
        <f t="shared" si="12"/>
        <v>0</v>
      </c>
      <c r="G53" s="16">
        <f t="shared" si="12"/>
        <v>0</v>
      </c>
      <c r="H53" s="16">
        <f t="shared" si="12"/>
        <v>0</v>
      </c>
      <c r="J53" s="16">
        <f t="shared" si="6"/>
        <v>0</v>
      </c>
    </row>
    <row r="54" spans="2:10" x14ac:dyDescent="0.25">
      <c r="B54" s="24"/>
      <c r="C54" s="9" t="s">
        <v>19</v>
      </c>
      <c r="D54" s="16">
        <f>SUM(D53,D45,D41,D35,D31,D27,D16,D11)</f>
        <v>0</v>
      </c>
      <c r="E54" s="16">
        <f t="shared" ref="E54:H54" si="13">SUM(E53,E45,E41,E35,E31,E27,E16,E11)</f>
        <v>0</v>
      </c>
      <c r="F54" s="16">
        <f t="shared" si="13"/>
        <v>0</v>
      </c>
      <c r="G54" s="16">
        <f t="shared" si="13"/>
        <v>0</v>
      </c>
      <c r="H54" s="16">
        <f t="shared" si="13"/>
        <v>0</v>
      </c>
      <c r="J54" s="16">
        <f t="shared" si="6"/>
        <v>0</v>
      </c>
    </row>
    <row r="55" spans="2:10" x14ac:dyDescent="0.25">
      <c r="B55" s="6"/>
      <c r="D55"/>
      <c r="E55"/>
      <c r="H55"/>
      <c r="I55"/>
      <c r="J55" t="s">
        <v>20</v>
      </c>
    </row>
    <row r="56" spans="2:10" ht="30" x14ac:dyDescent="0.25">
      <c r="B56" s="63" t="s">
        <v>72</v>
      </c>
      <c r="C56" s="17" t="s">
        <v>72</v>
      </c>
      <c r="D56" s="18"/>
      <c r="E56" s="18"/>
      <c r="F56" s="18"/>
      <c r="G56" s="18"/>
      <c r="H56" s="18"/>
      <c r="I56"/>
      <c r="J56" s="18" t="s">
        <v>20</v>
      </c>
    </row>
    <row r="57" spans="2:10" x14ac:dyDescent="0.25">
      <c r="B57" s="23"/>
      <c r="C57" s="25"/>
      <c r="D57" s="13"/>
      <c r="E57" s="10"/>
      <c r="F57" s="10"/>
      <c r="G57" s="10"/>
      <c r="H57" s="10"/>
      <c r="J57" s="15">
        <f>SUM(D57:H57)</f>
        <v>0</v>
      </c>
    </row>
    <row r="58" spans="2:10" x14ac:dyDescent="0.25">
      <c r="B58" s="23"/>
      <c r="C58" s="25"/>
      <c r="D58" s="13"/>
      <c r="E58" s="10"/>
      <c r="F58" s="10"/>
      <c r="G58" s="10"/>
      <c r="H58" s="10"/>
      <c r="J58" s="15">
        <f t="shared" ref="J58:J59" si="14">SUM(D58:H58)</f>
        <v>0</v>
      </c>
    </row>
    <row r="59" spans="2:10" x14ac:dyDescent="0.25">
      <c r="B59" s="24"/>
      <c r="C59" s="9" t="s">
        <v>21</v>
      </c>
      <c r="D59" s="16">
        <f>SUM(D57:D58)</f>
        <v>0</v>
      </c>
      <c r="E59" s="16">
        <f t="shared" ref="E59:H59" si="15">SUM(E57:E58)</f>
        <v>0</v>
      </c>
      <c r="F59" s="16">
        <f t="shared" si="15"/>
        <v>0</v>
      </c>
      <c r="G59" s="16">
        <f t="shared" si="15"/>
        <v>0</v>
      </c>
      <c r="H59" s="16">
        <f t="shared" si="15"/>
        <v>0</v>
      </c>
      <c r="J59" s="16">
        <f t="shared" si="14"/>
        <v>0</v>
      </c>
    </row>
    <row r="60" spans="2:10" ht="15.75" thickBot="1" x14ac:dyDescent="0.3">
      <c r="B60" s="6"/>
      <c r="D60"/>
      <c r="E60"/>
      <c r="H60"/>
      <c r="I60"/>
      <c r="J60" t="s">
        <v>20</v>
      </c>
    </row>
    <row r="61" spans="2:10" s="1" customFormat="1" ht="30.75" thickBot="1" x14ac:dyDescent="0.3">
      <c r="B61" s="19" t="s">
        <v>22</v>
      </c>
      <c r="C61" s="19"/>
      <c r="D61" s="20">
        <f>SUM(D59,D54)</f>
        <v>0</v>
      </c>
      <c r="E61" s="20">
        <f t="shared" ref="E61:J61" si="16">SUM(E59,E54)</f>
        <v>0</v>
      </c>
      <c r="F61" s="20">
        <f t="shared" si="16"/>
        <v>0</v>
      </c>
      <c r="G61" s="20">
        <f t="shared" si="16"/>
        <v>0</v>
      </c>
      <c r="H61" s="20">
        <f t="shared" si="16"/>
        <v>0</v>
      </c>
      <c r="I61" s="7">
        <f>SUM(I59,I54)</f>
        <v>0</v>
      </c>
      <c r="J61" s="20">
        <f t="shared" si="16"/>
        <v>0</v>
      </c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  <row r="74" spans="2:2" x14ac:dyDescent="0.25">
      <c r="B74" s="6"/>
    </row>
    <row r="75" spans="2:2" x14ac:dyDescent="0.25">
      <c r="B75" s="6"/>
    </row>
    <row r="76" spans="2:2" x14ac:dyDescent="0.25">
      <c r="B76" s="6"/>
    </row>
  </sheetData>
  <pageMargins left="0.7" right="0.7" top="0.75" bottom="0.75" header="0.3" footer="0.3"/>
  <pageSetup scale="89" fitToHeight="0" orientation="landscape" r:id="rId1"/>
  <ignoredErrors>
    <ignoredError sqref="J8 J20:J26 J33 J37:J39 J47:J49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B9243846FE484890B438EA71F25B66" ma:contentTypeVersion="11" ma:contentTypeDescription="Create a new document." ma:contentTypeScope="" ma:versionID="1bb72ce3a71d8d35d71f6508c775eec6">
  <xsd:schema xmlns:xsd="http://www.w3.org/2001/XMLSchema" xmlns:xs="http://www.w3.org/2001/XMLSchema" xmlns:p="http://schemas.microsoft.com/office/2006/metadata/properties" xmlns:ns2="ef3e33de-0402-4dd9-9beb-e5f8d7c9941c" xmlns:ns3="c3a8d1a6-0167-4884-a8b2-3d72a0b3493c" targetNamespace="http://schemas.microsoft.com/office/2006/metadata/properties" ma:root="true" ma:fieldsID="53e8bc992ae23ecb8badf2ed7d660a99" ns2:_="" ns3:_="">
    <xsd:import namespace="ef3e33de-0402-4dd9-9beb-e5f8d7c9941c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e33de-0402-4dd9-9beb-e5f8d7c994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7b8dde6-fa9c-4e23-93c1-edab3cf5e178}" ma:internalName="TaxCatchAll" ma:showField="CatchAllData" ma:web="b4967f2a-be0d-43b1-af57-ad44c0b46e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lcf76f155ced4ddcb4097134ff3c332f xmlns="ef3e33de-0402-4dd9-9beb-e5f8d7c9941c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DEAE575A-723E-455E-9E5A-5EF3D9C17B58}"/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documentManagement/types"/>
    <ds:schemaRef ds:uri="ef3e33de-0402-4dd9-9beb-e5f8d7c9941c"/>
    <ds:schemaRef ds:uri="http://purl.org/dc/elements/1.1/"/>
    <ds:schemaRef ds:uri="c3a8d1a6-0167-4884-a8b2-3d72a0b3493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T2 Budget</vt:lpstr>
      <vt:lpstr>Measure T5 Budget</vt:lpstr>
      <vt:lpstr>Measure T6 Budget</vt:lpstr>
      <vt:lpstr>Sample Budget 1</vt:lpstr>
      <vt:lpstr>Sample Budget 2</vt:lpstr>
      <vt:lpstr>Sample Budget 3</vt:lpstr>
      <vt:lpstr>Measure 4 Budget</vt:lpstr>
      <vt:lpstr>Measure 5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2024-03-28T03:44:23Z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0x010100F4B9243846FE484890B438EA71F25B66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