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DEF46F29-55F4-459A-8301-5B508BFA85C8}" xr6:coauthVersionLast="47" xr6:coauthVersionMax="47" xr10:uidLastSave="{00000000-0000-0000-0000-000000000000}"/>
  <bookViews>
    <workbookView xWindow="28680" yWindow="-120" windowWidth="29040" windowHeight="15720" tabRatio="979" activeTab="2" xr2:uid="{AAC398A2-E95D-4231-A920-55B8B1C73F3F}"/>
  </bookViews>
  <sheets>
    <sheet name="Overview" sheetId="26" r:id="rId1"/>
    <sheet name="Consolidated Budget" sheetId="30" r:id="rId2"/>
    <sheet name="Combined Tabs" sheetId="16" r:id="rId3"/>
    <sheet name="M1 Clean Hydrogen" sheetId="38" r:id="rId4"/>
    <sheet name="M2 Industrial Decabonization" sheetId="39" r:id="rId5"/>
    <sheet name="M3 N2O Abatement" sheetId="40" r:id="rId6"/>
    <sheet name="M4 Resilient Clean Ports" sheetId="41" r:id="rId7"/>
    <sheet name="M5 Port Buffer Zone" sheetId="42" r:id="rId8"/>
    <sheet name="M6 Sustainable Agriculture" sheetId="43" r:id="rId9"/>
    <sheet name="M7 Clean Energy" sheetId="44" r:id="rId10"/>
    <sheet name="M8 Nature Based Solutions" sheetId="45" r:id="rId11"/>
  </sheets>
  <definedNames>
    <definedName name="_xlnm._FilterDatabase" localSheetId="2" hidden="1">'Combined Tabs'!#REF!</definedName>
    <definedName name="_xlnm._FilterDatabase" localSheetId="1" hidden="1">'Consolidated Budget'!#REF!</definedName>
    <definedName name="_xlnm._FilterDatabase" localSheetId="3" hidden="1">'M1 Clean Hydrogen'!#REF!</definedName>
    <definedName name="_xlnm._FilterDatabase" localSheetId="4" hidden="1">'M2 Industrial Decabonization'!#REF!</definedName>
    <definedName name="_xlnm._FilterDatabase" localSheetId="5" hidden="1">'M3 N2O Abatement'!#REF!</definedName>
    <definedName name="_xlnm._FilterDatabase" localSheetId="6" hidden="1">'M4 Resilient Clean Ports'!#REF!</definedName>
    <definedName name="_xlnm._FilterDatabase" localSheetId="7" hidden="1">'M5 Port Buffer Zone'!#REF!</definedName>
    <definedName name="_xlnm._FilterDatabase" localSheetId="8" hidden="1">'M6 Sustainable Agriculture'!#REF!</definedName>
    <definedName name="_xlnm._FilterDatabase" localSheetId="9" hidden="1">'M7 Clean Energy'!#REF!</definedName>
    <definedName name="_xlnm._FilterDatabase" localSheetId="10" hidden="1">'M8 Nature Based Solutions'!#REF!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45" l="1"/>
  <c r="G56" i="45"/>
  <c r="F56" i="45"/>
  <c r="E56" i="45"/>
  <c r="D56" i="45"/>
  <c r="H56" i="44"/>
  <c r="G56" i="44"/>
  <c r="F56" i="44"/>
  <c r="E56" i="44"/>
  <c r="D56" i="44"/>
  <c r="H56" i="42"/>
  <c r="G56" i="42"/>
  <c r="F56" i="42"/>
  <c r="E56" i="42"/>
  <c r="D56" i="42"/>
  <c r="H56" i="41"/>
  <c r="G56" i="41"/>
  <c r="F56" i="41"/>
  <c r="E56" i="41"/>
  <c r="D56" i="41"/>
  <c r="H56" i="40"/>
  <c r="G56" i="40"/>
  <c r="F56" i="40"/>
  <c r="E56" i="40"/>
  <c r="D56" i="40"/>
  <c r="H56" i="39"/>
  <c r="G56" i="39"/>
  <c r="F56" i="39"/>
  <c r="E56" i="39"/>
  <c r="D56" i="39"/>
  <c r="H56" i="38"/>
  <c r="G56" i="38"/>
  <c r="F56" i="38"/>
  <c r="E56" i="38"/>
  <c r="D56" i="38"/>
  <c r="H19" i="45"/>
  <c r="G19" i="45"/>
  <c r="F19" i="45"/>
  <c r="F21" i="45" s="1"/>
  <c r="E19" i="45"/>
  <c r="D19" i="45"/>
  <c r="D21" i="45" s="1"/>
  <c r="H18" i="45"/>
  <c r="G18" i="45"/>
  <c r="F18" i="45"/>
  <c r="E18" i="45"/>
  <c r="D18" i="45"/>
  <c r="H17" i="45"/>
  <c r="G17" i="45"/>
  <c r="G21" i="45" s="1"/>
  <c r="F17" i="45"/>
  <c r="E17" i="45"/>
  <c r="E21" i="45" s="1"/>
  <c r="D17" i="45"/>
  <c r="H19" i="44"/>
  <c r="G19" i="44"/>
  <c r="F19" i="44"/>
  <c r="E19" i="44"/>
  <c r="D19" i="44"/>
  <c r="H18" i="44"/>
  <c r="H21" i="44" s="1"/>
  <c r="G18" i="44"/>
  <c r="G21" i="44" s="1"/>
  <c r="F18" i="44"/>
  <c r="F21" i="44" s="1"/>
  <c r="E18" i="44"/>
  <c r="E21" i="44" s="1"/>
  <c r="D18" i="44"/>
  <c r="D21" i="44" s="1"/>
  <c r="H17" i="44"/>
  <c r="G17" i="44"/>
  <c r="F17" i="44"/>
  <c r="E17" i="44"/>
  <c r="D17" i="44"/>
  <c r="H19" i="43"/>
  <c r="G19" i="43"/>
  <c r="F19" i="43"/>
  <c r="E19" i="43"/>
  <c r="D19" i="43"/>
  <c r="H18" i="43"/>
  <c r="G18" i="43"/>
  <c r="F18" i="43"/>
  <c r="F21" i="43" s="1"/>
  <c r="E18" i="43"/>
  <c r="D18" i="43"/>
  <c r="J18" i="43" s="1"/>
  <c r="H17" i="43"/>
  <c r="H21" i="43" s="1"/>
  <c r="G17" i="43"/>
  <c r="F17" i="43"/>
  <c r="E17" i="43"/>
  <c r="E21" i="43" s="1"/>
  <c r="D17" i="43"/>
  <c r="H19" i="42"/>
  <c r="G19" i="42"/>
  <c r="F19" i="42"/>
  <c r="E19" i="42"/>
  <c r="D19" i="42"/>
  <c r="J19" i="42" s="1"/>
  <c r="H18" i="42"/>
  <c r="G18" i="42"/>
  <c r="F18" i="42"/>
  <c r="E18" i="42"/>
  <c r="D18" i="42"/>
  <c r="J18" i="42" s="1"/>
  <c r="H17" i="42"/>
  <c r="G17" i="42"/>
  <c r="F17" i="42"/>
  <c r="E17" i="42"/>
  <c r="D17" i="42"/>
  <c r="J17" i="42" s="1"/>
  <c r="H19" i="41"/>
  <c r="G19" i="41"/>
  <c r="F19" i="41"/>
  <c r="E19" i="41"/>
  <c r="D19" i="41"/>
  <c r="J19" i="41" s="1"/>
  <c r="H18" i="41"/>
  <c r="H21" i="41" s="1"/>
  <c r="G18" i="41"/>
  <c r="G21" i="41" s="1"/>
  <c r="F18" i="41"/>
  <c r="F21" i="41" s="1"/>
  <c r="E18" i="41"/>
  <c r="J18" i="41" s="1"/>
  <c r="D18" i="41"/>
  <c r="H17" i="41"/>
  <c r="G17" i="41"/>
  <c r="F17" i="41"/>
  <c r="E17" i="41"/>
  <c r="E21" i="41" s="1"/>
  <c r="D17" i="41"/>
  <c r="D21" i="41" s="1"/>
  <c r="H19" i="40"/>
  <c r="G19" i="40"/>
  <c r="F19" i="40"/>
  <c r="E19" i="40"/>
  <c r="D19" i="40"/>
  <c r="J19" i="40" s="1"/>
  <c r="H18" i="40"/>
  <c r="G18" i="40"/>
  <c r="F18" i="40"/>
  <c r="F21" i="40" s="1"/>
  <c r="E18" i="40"/>
  <c r="D18" i="40"/>
  <c r="J18" i="40" s="1"/>
  <c r="H17" i="40"/>
  <c r="H21" i="40" s="1"/>
  <c r="G17" i="40"/>
  <c r="F17" i="40"/>
  <c r="E17" i="40"/>
  <c r="E21" i="40" s="1"/>
  <c r="D17" i="40"/>
  <c r="D21" i="40" s="1"/>
  <c r="H19" i="39"/>
  <c r="G19" i="39"/>
  <c r="F19" i="39"/>
  <c r="E19" i="39"/>
  <c r="D19" i="39"/>
  <c r="H18" i="39"/>
  <c r="G18" i="39"/>
  <c r="F18" i="39"/>
  <c r="J18" i="39" s="1"/>
  <c r="E18" i="39"/>
  <c r="D18" i="39"/>
  <c r="H17" i="39"/>
  <c r="G17" i="39"/>
  <c r="G21" i="39" s="1"/>
  <c r="F17" i="39"/>
  <c r="F21" i="39" s="1"/>
  <c r="E17" i="39"/>
  <c r="E21" i="39" s="1"/>
  <c r="D17" i="39"/>
  <c r="D21" i="39" s="1"/>
  <c r="H19" i="38"/>
  <c r="H18" i="38"/>
  <c r="H17" i="38"/>
  <c r="H21" i="38" s="1"/>
  <c r="G19" i="38"/>
  <c r="G18" i="38"/>
  <c r="G17" i="38"/>
  <c r="G21" i="38" s="1"/>
  <c r="F19" i="38"/>
  <c r="F18" i="38"/>
  <c r="F17" i="38"/>
  <c r="F21" i="38" s="1"/>
  <c r="E19" i="38"/>
  <c r="E18" i="38"/>
  <c r="E17" i="38"/>
  <c r="E21" i="38" s="1"/>
  <c r="D19" i="38"/>
  <c r="J19" i="38" s="1"/>
  <c r="D18" i="38"/>
  <c r="D17" i="38"/>
  <c r="H48" i="45"/>
  <c r="G48" i="45"/>
  <c r="F48" i="45"/>
  <c r="E48" i="45"/>
  <c r="D48" i="45"/>
  <c r="H47" i="45"/>
  <c r="G47" i="45"/>
  <c r="F47" i="45"/>
  <c r="E47" i="45"/>
  <c r="E49" i="45" s="1"/>
  <c r="D47" i="45"/>
  <c r="J47" i="45" s="1"/>
  <c r="H46" i="45"/>
  <c r="H49" i="45" s="1"/>
  <c r="G46" i="45"/>
  <c r="J46" i="45" s="1"/>
  <c r="F46" i="45"/>
  <c r="E46" i="45"/>
  <c r="D46" i="45"/>
  <c r="J57" i="45"/>
  <c r="J52" i="45"/>
  <c r="H52" i="45"/>
  <c r="G52" i="45"/>
  <c r="F52" i="45"/>
  <c r="E52" i="45"/>
  <c r="D52" i="45"/>
  <c r="J51" i="45"/>
  <c r="J48" i="45"/>
  <c r="J45" i="45"/>
  <c r="J44" i="45"/>
  <c r="J43" i="45"/>
  <c r="J42" i="45"/>
  <c r="J41" i="45"/>
  <c r="J40" i="45"/>
  <c r="J39" i="45"/>
  <c r="J38" i="45"/>
  <c r="J37" i="45"/>
  <c r="F49" i="45"/>
  <c r="J36" i="45"/>
  <c r="J35" i="45"/>
  <c r="J34" i="45"/>
  <c r="J33" i="45"/>
  <c r="H31" i="45"/>
  <c r="G31" i="45"/>
  <c r="F31" i="45"/>
  <c r="E31" i="45"/>
  <c r="D30" i="45"/>
  <c r="J30" i="45" s="1"/>
  <c r="D29" i="45"/>
  <c r="J29" i="45" s="1"/>
  <c r="D28" i="45"/>
  <c r="D31" i="45" s="1"/>
  <c r="J27" i="45"/>
  <c r="D27" i="45"/>
  <c r="D26" i="45"/>
  <c r="J26" i="45" s="1"/>
  <c r="H24" i="45"/>
  <c r="G24" i="45"/>
  <c r="F24" i="45"/>
  <c r="E24" i="45"/>
  <c r="D23" i="45"/>
  <c r="D24" i="45" s="1"/>
  <c r="H21" i="45"/>
  <c r="J20" i="45"/>
  <c r="J18" i="45"/>
  <c r="D11" i="45"/>
  <c r="D13" i="45" s="1"/>
  <c r="D10" i="45"/>
  <c r="E10" i="45" s="1"/>
  <c r="D9" i="45"/>
  <c r="D8" i="45"/>
  <c r="J57" i="44"/>
  <c r="H52" i="44"/>
  <c r="G52" i="44"/>
  <c r="F52" i="44"/>
  <c r="E52" i="44"/>
  <c r="D52" i="44"/>
  <c r="J51" i="44"/>
  <c r="J52" i="44" s="1"/>
  <c r="E49" i="44"/>
  <c r="D49" i="44"/>
  <c r="H48" i="44"/>
  <c r="J48" i="44" s="1"/>
  <c r="G48" i="44"/>
  <c r="F48" i="44"/>
  <c r="E48" i="44"/>
  <c r="D48" i="44"/>
  <c r="J47" i="44"/>
  <c r="H47" i="44"/>
  <c r="G47" i="44"/>
  <c r="F47" i="44"/>
  <c r="E47" i="44"/>
  <c r="D47" i="44"/>
  <c r="H46" i="44"/>
  <c r="G46" i="44"/>
  <c r="F46" i="44"/>
  <c r="E46" i="44"/>
  <c r="D46" i="44"/>
  <c r="J46" i="44" s="1"/>
  <c r="J45" i="44"/>
  <c r="J44" i="44"/>
  <c r="J43" i="44"/>
  <c r="J42" i="44"/>
  <c r="J41" i="44"/>
  <c r="J40" i="44"/>
  <c r="J39" i="44"/>
  <c r="J38" i="44"/>
  <c r="J37" i="44"/>
  <c r="H49" i="44"/>
  <c r="G49" i="44"/>
  <c r="J36" i="44"/>
  <c r="J35" i="44"/>
  <c r="J34" i="44"/>
  <c r="J33" i="44"/>
  <c r="H31" i="44"/>
  <c r="G31" i="44"/>
  <c r="F31" i="44"/>
  <c r="E31" i="44"/>
  <c r="D30" i="44"/>
  <c r="J30" i="44" s="1"/>
  <c r="J29" i="44"/>
  <c r="D29" i="44"/>
  <c r="D28" i="44"/>
  <c r="J28" i="44" s="1"/>
  <c r="D27" i="44"/>
  <c r="J27" i="44" s="1"/>
  <c r="D26" i="44"/>
  <c r="D31" i="44" s="1"/>
  <c r="H24" i="44"/>
  <c r="G24" i="44"/>
  <c r="F24" i="44"/>
  <c r="E24" i="44"/>
  <c r="D23" i="44"/>
  <c r="D24" i="44" s="1"/>
  <c r="J20" i="44"/>
  <c r="J19" i="44"/>
  <c r="J17" i="44"/>
  <c r="E10" i="44"/>
  <c r="F10" i="44" s="1"/>
  <c r="G10" i="44" s="1"/>
  <c r="H10" i="44" s="1"/>
  <c r="D10" i="44"/>
  <c r="J10" i="44" s="1"/>
  <c r="D9" i="44"/>
  <c r="E9" i="44" s="1"/>
  <c r="F9" i="44" s="1"/>
  <c r="G9" i="44" s="1"/>
  <c r="H9" i="44" s="1"/>
  <c r="D8" i="44"/>
  <c r="E8" i="44" s="1"/>
  <c r="J57" i="43"/>
  <c r="J52" i="43"/>
  <c r="H52" i="43"/>
  <c r="G52" i="43"/>
  <c r="F52" i="43"/>
  <c r="E52" i="43"/>
  <c r="D52" i="43"/>
  <c r="J51" i="43"/>
  <c r="H48" i="43"/>
  <c r="G48" i="43"/>
  <c r="F48" i="43"/>
  <c r="E48" i="43"/>
  <c r="D48" i="43"/>
  <c r="H47" i="43"/>
  <c r="G47" i="43"/>
  <c r="G49" i="43" s="1"/>
  <c r="F47" i="43"/>
  <c r="E47" i="43"/>
  <c r="D47" i="43"/>
  <c r="H46" i="43"/>
  <c r="G46" i="43"/>
  <c r="F46" i="43"/>
  <c r="E46" i="43"/>
  <c r="E49" i="43" s="1"/>
  <c r="D46" i="43"/>
  <c r="J45" i="43"/>
  <c r="J44" i="43"/>
  <c r="J43" i="43"/>
  <c r="J42" i="43"/>
  <c r="J41" i="43"/>
  <c r="J40" i="43"/>
  <c r="J39" i="43"/>
  <c r="J38" i="43"/>
  <c r="J37" i="43"/>
  <c r="J36" i="43"/>
  <c r="H49" i="43"/>
  <c r="F49" i="43"/>
  <c r="J35" i="43"/>
  <c r="J34" i="43"/>
  <c r="J33" i="43"/>
  <c r="H31" i="43"/>
  <c r="G31" i="43"/>
  <c r="F31" i="43"/>
  <c r="E31" i="43"/>
  <c r="D30" i="43"/>
  <c r="J30" i="43" s="1"/>
  <c r="D29" i="43"/>
  <c r="D31" i="43" s="1"/>
  <c r="D28" i="43"/>
  <c r="J28" i="43" s="1"/>
  <c r="D27" i="43"/>
  <c r="J27" i="43" s="1"/>
  <c r="D26" i="43"/>
  <c r="J26" i="43" s="1"/>
  <c r="H24" i="43"/>
  <c r="G24" i="43"/>
  <c r="F24" i="43"/>
  <c r="E24" i="43"/>
  <c r="D23" i="43"/>
  <c r="D24" i="43" s="1"/>
  <c r="G21" i="43"/>
  <c r="J20" i="43"/>
  <c r="D10" i="43"/>
  <c r="D9" i="43"/>
  <c r="D8" i="43"/>
  <c r="D11" i="43" s="1"/>
  <c r="D13" i="43" s="1"/>
  <c r="J57" i="42"/>
  <c r="J52" i="42"/>
  <c r="H52" i="42"/>
  <c r="G52" i="42"/>
  <c r="F52" i="42"/>
  <c r="E52" i="42"/>
  <c r="D52" i="42"/>
  <c r="J51" i="42"/>
  <c r="D49" i="42"/>
  <c r="H48" i="42"/>
  <c r="H49" i="42" s="1"/>
  <c r="G48" i="42"/>
  <c r="F48" i="42"/>
  <c r="E48" i="42"/>
  <c r="D48" i="42"/>
  <c r="J47" i="42"/>
  <c r="H47" i="42"/>
  <c r="G47" i="42"/>
  <c r="F47" i="42"/>
  <c r="E47" i="42"/>
  <c r="D47" i="42"/>
  <c r="H46" i="42"/>
  <c r="G46" i="42"/>
  <c r="F46" i="42"/>
  <c r="E46" i="42"/>
  <c r="D46" i="42"/>
  <c r="J46" i="42" s="1"/>
  <c r="J45" i="42"/>
  <c r="J44" i="42"/>
  <c r="J43" i="42"/>
  <c r="J42" i="42"/>
  <c r="H41" i="42"/>
  <c r="G41" i="42"/>
  <c r="F41" i="42"/>
  <c r="E41" i="42"/>
  <c r="J41" i="42" s="1"/>
  <c r="J40" i="42"/>
  <c r="J39" i="42"/>
  <c r="J38" i="42"/>
  <c r="J37" i="42"/>
  <c r="G49" i="42"/>
  <c r="F49" i="42"/>
  <c r="J36" i="42"/>
  <c r="J35" i="42"/>
  <c r="J34" i="42"/>
  <c r="J33" i="42"/>
  <c r="H31" i="42"/>
  <c r="G31" i="42"/>
  <c r="F31" i="42"/>
  <c r="E31" i="42"/>
  <c r="D30" i="42"/>
  <c r="J30" i="42" s="1"/>
  <c r="D29" i="42"/>
  <c r="J29" i="42" s="1"/>
  <c r="J28" i="42"/>
  <c r="J31" i="42" s="1"/>
  <c r="D28" i="42"/>
  <c r="J27" i="42"/>
  <c r="D27" i="42"/>
  <c r="J26" i="42"/>
  <c r="D26" i="42"/>
  <c r="D31" i="42" s="1"/>
  <c r="H24" i="42"/>
  <c r="G24" i="42"/>
  <c r="F24" i="42"/>
  <c r="E24" i="42"/>
  <c r="D23" i="42"/>
  <c r="D24" i="42" s="1"/>
  <c r="H21" i="42"/>
  <c r="G21" i="42"/>
  <c r="F21" i="42"/>
  <c r="E21" i="42"/>
  <c r="D21" i="42"/>
  <c r="J20" i="42"/>
  <c r="D10" i="42"/>
  <c r="D9" i="42"/>
  <c r="D8" i="42"/>
  <c r="E8" i="42" s="1"/>
  <c r="J57" i="41"/>
  <c r="H52" i="41"/>
  <c r="G52" i="41"/>
  <c r="F52" i="41"/>
  <c r="E52" i="41"/>
  <c r="D52" i="41"/>
  <c r="J51" i="41"/>
  <c r="J52" i="41" s="1"/>
  <c r="H48" i="41"/>
  <c r="G48" i="41"/>
  <c r="F48" i="41"/>
  <c r="E48" i="41"/>
  <c r="D48" i="41"/>
  <c r="J48" i="41" s="1"/>
  <c r="H47" i="41"/>
  <c r="G47" i="41"/>
  <c r="F47" i="41"/>
  <c r="E47" i="41"/>
  <c r="D47" i="41"/>
  <c r="J47" i="41" s="1"/>
  <c r="H46" i="41"/>
  <c r="J46" i="41" s="1"/>
  <c r="G46" i="41"/>
  <c r="F46" i="41"/>
  <c r="E46" i="41"/>
  <c r="D46" i="41"/>
  <c r="J45" i="41"/>
  <c r="J44" i="41"/>
  <c r="J43" i="41"/>
  <c r="J42" i="41"/>
  <c r="J41" i="41"/>
  <c r="H40" i="41"/>
  <c r="G40" i="41"/>
  <c r="F40" i="41"/>
  <c r="E40" i="41"/>
  <c r="J40" i="41" s="1"/>
  <c r="H39" i="41"/>
  <c r="J39" i="41" s="1"/>
  <c r="G39" i="41"/>
  <c r="F39" i="41"/>
  <c r="E39" i="41"/>
  <c r="J38" i="41"/>
  <c r="J37" i="41"/>
  <c r="J36" i="41"/>
  <c r="H49" i="41"/>
  <c r="G49" i="41"/>
  <c r="F49" i="41"/>
  <c r="J35" i="41"/>
  <c r="J34" i="41"/>
  <c r="J33" i="41"/>
  <c r="H31" i="41"/>
  <c r="G31" i="41"/>
  <c r="F31" i="41"/>
  <c r="E31" i="41"/>
  <c r="D30" i="41"/>
  <c r="J30" i="41" s="1"/>
  <c r="D29" i="41"/>
  <c r="J29" i="41" s="1"/>
  <c r="D28" i="41"/>
  <c r="J28" i="41" s="1"/>
  <c r="J27" i="41"/>
  <c r="D27" i="41"/>
  <c r="D26" i="41"/>
  <c r="D31" i="41" s="1"/>
  <c r="J24" i="41"/>
  <c r="H24" i="41"/>
  <c r="G24" i="41"/>
  <c r="F24" i="41"/>
  <c r="E24" i="41"/>
  <c r="J23" i="41"/>
  <c r="D23" i="41"/>
  <c r="D24" i="41" s="1"/>
  <c r="J20" i="41"/>
  <c r="J17" i="41"/>
  <c r="D11" i="41"/>
  <c r="D13" i="41" s="1"/>
  <c r="E10" i="41"/>
  <c r="D10" i="41"/>
  <c r="E9" i="41"/>
  <c r="F9" i="41" s="1"/>
  <c r="G9" i="41" s="1"/>
  <c r="H9" i="41" s="1"/>
  <c r="D9" i="41"/>
  <c r="J9" i="41" s="1"/>
  <c r="D8" i="41"/>
  <c r="E8" i="41" s="1"/>
  <c r="J57" i="40"/>
  <c r="J52" i="40"/>
  <c r="H52" i="40"/>
  <c r="G52" i="40"/>
  <c r="F52" i="40"/>
  <c r="E52" i="40"/>
  <c r="D52" i="40"/>
  <c r="J51" i="40"/>
  <c r="H48" i="40"/>
  <c r="G48" i="40"/>
  <c r="F48" i="40"/>
  <c r="E48" i="40"/>
  <c r="D48" i="40"/>
  <c r="J48" i="40" s="1"/>
  <c r="H47" i="40"/>
  <c r="J47" i="40" s="1"/>
  <c r="G47" i="40"/>
  <c r="F47" i="40"/>
  <c r="E47" i="40"/>
  <c r="D47" i="40"/>
  <c r="H46" i="40"/>
  <c r="G46" i="40"/>
  <c r="F46" i="40"/>
  <c r="E46" i="40"/>
  <c r="J46" i="40" s="1"/>
  <c r="D46" i="40"/>
  <c r="J45" i="40"/>
  <c r="J44" i="40"/>
  <c r="J43" i="40"/>
  <c r="J42" i="40"/>
  <c r="J41" i="40"/>
  <c r="J40" i="40"/>
  <c r="J39" i="40"/>
  <c r="J38" i="40"/>
  <c r="J37" i="40"/>
  <c r="H49" i="40"/>
  <c r="G49" i="40"/>
  <c r="J36" i="40"/>
  <c r="F49" i="40"/>
  <c r="J35" i="40"/>
  <c r="J34" i="40"/>
  <c r="J33" i="40"/>
  <c r="J49" i="40" s="1"/>
  <c r="H31" i="40"/>
  <c r="G31" i="40"/>
  <c r="F31" i="40"/>
  <c r="E31" i="40"/>
  <c r="D30" i="40"/>
  <c r="J30" i="40" s="1"/>
  <c r="D29" i="40"/>
  <c r="J29" i="40" s="1"/>
  <c r="J28" i="40"/>
  <c r="D28" i="40"/>
  <c r="D27" i="40"/>
  <c r="J27" i="40" s="1"/>
  <c r="D26" i="40"/>
  <c r="J26" i="40" s="1"/>
  <c r="J31" i="40" s="1"/>
  <c r="H24" i="40"/>
  <c r="G24" i="40"/>
  <c r="F24" i="40"/>
  <c r="E24" i="40"/>
  <c r="D23" i="40"/>
  <c r="D24" i="40" s="1"/>
  <c r="G21" i="40"/>
  <c r="J20" i="40"/>
  <c r="D10" i="40"/>
  <c r="D9" i="40"/>
  <c r="E9" i="40" s="1"/>
  <c r="F9" i="40" s="1"/>
  <c r="G9" i="40" s="1"/>
  <c r="H9" i="40" s="1"/>
  <c r="D8" i="40"/>
  <c r="D11" i="40" s="1"/>
  <c r="D13" i="40" s="1"/>
  <c r="J57" i="39"/>
  <c r="J52" i="39"/>
  <c r="H52" i="39"/>
  <c r="G52" i="39"/>
  <c r="F52" i="39"/>
  <c r="E52" i="39"/>
  <c r="D52" i="39"/>
  <c r="J51" i="39"/>
  <c r="H48" i="39"/>
  <c r="G48" i="39"/>
  <c r="F48" i="39"/>
  <c r="E48" i="39"/>
  <c r="D48" i="39"/>
  <c r="J48" i="39" s="1"/>
  <c r="H47" i="39"/>
  <c r="G47" i="39"/>
  <c r="F47" i="39"/>
  <c r="E47" i="39"/>
  <c r="D47" i="39"/>
  <c r="J47" i="39" s="1"/>
  <c r="H46" i="39"/>
  <c r="G46" i="39"/>
  <c r="F46" i="39"/>
  <c r="E46" i="39"/>
  <c r="D46" i="39"/>
  <c r="J46" i="39" s="1"/>
  <c r="J45" i="39"/>
  <c r="J44" i="39"/>
  <c r="J43" i="39"/>
  <c r="J42" i="39"/>
  <c r="J41" i="39"/>
  <c r="J40" i="39"/>
  <c r="J39" i="39"/>
  <c r="J38" i="39"/>
  <c r="H37" i="39"/>
  <c r="G37" i="39"/>
  <c r="F37" i="39"/>
  <c r="J37" i="39" s="1"/>
  <c r="E37" i="39"/>
  <c r="H36" i="39"/>
  <c r="G36" i="39"/>
  <c r="F36" i="39"/>
  <c r="E36" i="39"/>
  <c r="J36" i="39" s="1"/>
  <c r="H49" i="39"/>
  <c r="G49" i="39"/>
  <c r="J35" i="39"/>
  <c r="J34" i="39"/>
  <c r="E49" i="39"/>
  <c r="J33" i="39"/>
  <c r="H31" i="39"/>
  <c r="G31" i="39"/>
  <c r="F31" i="39"/>
  <c r="E31" i="39"/>
  <c r="D30" i="39"/>
  <c r="J30" i="39" s="1"/>
  <c r="D29" i="39"/>
  <c r="J29" i="39" s="1"/>
  <c r="D28" i="39"/>
  <c r="J28" i="39" s="1"/>
  <c r="D27" i="39"/>
  <c r="J27" i="39" s="1"/>
  <c r="J26" i="39"/>
  <c r="D26" i="39"/>
  <c r="D31" i="39" s="1"/>
  <c r="H24" i="39"/>
  <c r="G24" i="39"/>
  <c r="F24" i="39"/>
  <c r="E24" i="39"/>
  <c r="D23" i="39"/>
  <c r="D24" i="39" s="1"/>
  <c r="H21" i="39"/>
  <c r="J20" i="39"/>
  <c r="J19" i="39"/>
  <c r="J17" i="39"/>
  <c r="D11" i="39"/>
  <c r="D13" i="39" s="1"/>
  <c r="D10" i="39"/>
  <c r="E10" i="39" s="1"/>
  <c r="D9" i="39"/>
  <c r="D8" i="39"/>
  <c r="E8" i="39" s="1"/>
  <c r="H48" i="38"/>
  <c r="G48" i="38"/>
  <c r="F48" i="38"/>
  <c r="E48" i="38"/>
  <c r="D48" i="38"/>
  <c r="H47" i="38"/>
  <c r="J47" i="38" s="1"/>
  <c r="G47" i="38"/>
  <c r="F47" i="38"/>
  <c r="E47" i="38"/>
  <c r="D47" i="38"/>
  <c r="H46" i="38"/>
  <c r="G46" i="38"/>
  <c r="F46" i="38"/>
  <c r="E46" i="38"/>
  <c r="D46" i="38"/>
  <c r="D30" i="38"/>
  <c r="D29" i="38"/>
  <c r="J29" i="38" s="1"/>
  <c r="D28" i="38"/>
  <c r="J28" i="38" s="1"/>
  <c r="D27" i="38"/>
  <c r="J27" i="38" s="1"/>
  <c r="D26" i="38"/>
  <c r="J26" i="38" s="1"/>
  <c r="D23" i="38"/>
  <c r="D24" i="38" s="1"/>
  <c r="D10" i="38"/>
  <c r="D9" i="38"/>
  <c r="D8" i="38"/>
  <c r="J57" i="38"/>
  <c r="J52" i="38"/>
  <c r="H52" i="38"/>
  <c r="G52" i="38"/>
  <c r="F52" i="38"/>
  <c r="E52" i="38"/>
  <c r="D52" i="38"/>
  <c r="J51" i="38"/>
  <c r="J46" i="38"/>
  <c r="H35" i="38"/>
  <c r="G35" i="38"/>
  <c r="F35" i="38"/>
  <c r="E35" i="38"/>
  <c r="J35" i="38" s="1"/>
  <c r="J34" i="38"/>
  <c r="J33" i="38"/>
  <c r="E33" i="38"/>
  <c r="D33" i="38"/>
  <c r="H31" i="38"/>
  <c r="G31" i="38"/>
  <c r="F31" i="38"/>
  <c r="E31" i="38"/>
  <c r="J30" i="38"/>
  <c r="H24" i="38"/>
  <c r="G24" i="38"/>
  <c r="F24" i="38"/>
  <c r="E24" i="38"/>
  <c r="J20" i="38"/>
  <c r="D11" i="38"/>
  <c r="D13" i="38" s="1"/>
  <c r="D14" i="38" s="1"/>
  <c r="E10" i="38"/>
  <c r="E9" i="38"/>
  <c r="F9" i="38" s="1"/>
  <c r="G9" i="38" s="1"/>
  <c r="H9" i="38" s="1"/>
  <c r="E8" i="38"/>
  <c r="F8" i="38" s="1"/>
  <c r="H16" i="30"/>
  <c r="G16" i="30"/>
  <c r="F16" i="30"/>
  <c r="E16" i="30"/>
  <c r="D16" i="30"/>
  <c r="H13" i="30"/>
  <c r="G13" i="30"/>
  <c r="F13" i="30"/>
  <c r="E13" i="30"/>
  <c r="D13" i="30"/>
  <c r="H12" i="30"/>
  <c r="G12" i="30"/>
  <c r="F12" i="30"/>
  <c r="E12" i="30"/>
  <c r="D12" i="30"/>
  <c r="H11" i="30"/>
  <c r="G11" i="30"/>
  <c r="F11" i="30"/>
  <c r="E11" i="30"/>
  <c r="D11" i="30"/>
  <c r="H10" i="30"/>
  <c r="G10" i="30"/>
  <c r="F10" i="30"/>
  <c r="E10" i="30"/>
  <c r="D10" i="30"/>
  <c r="H9" i="30"/>
  <c r="G9" i="30"/>
  <c r="F9" i="30"/>
  <c r="E9" i="30"/>
  <c r="D9" i="30"/>
  <c r="H8" i="30"/>
  <c r="G8" i="30"/>
  <c r="F8" i="30"/>
  <c r="E8" i="30"/>
  <c r="D8" i="30"/>
  <c r="H7" i="30"/>
  <c r="G7" i="30"/>
  <c r="F7" i="30"/>
  <c r="E7" i="30"/>
  <c r="D7" i="30"/>
  <c r="H56" i="16"/>
  <c r="G56" i="16"/>
  <c r="F56" i="16"/>
  <c r="E56" i="16"/>
  <c r="D56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H47" i="16"/>
  <c r="G47" i="16"/>
  <c r="F47" i="16"/>
  <c r="E47" i="16"/>
  <c r="D47" i="16"/>
  <c r="H41" i="16"/>
  <c r="G41" i="16"/>
  <c r="F41" i="16"/>
  <c r="E41" i="16"/>
  <c r="H40" i="16"/>
  <c r="G40" i="16"/>
  <c r="F40" i="16"/>
  <c r="E40" i="16"/>
  <c r="H39" i="16"/>
  <c r="G39" i="16"/>
  <c r="F39" i="16"/>
  <c r="E39" i="16"/>
  <c r="H37" i="16"/>
  <c r="G37" i="16"/>
  <c r="F37" i="16"/>
  <c r="E37" i="16"/>
  <c r="H36" i="16"/>
  <c r="G36" i="16"/>
  <c r="F36" i="16"/>
  <c r="E36" i="16"/>
  <c r="H35" i="16"/>
  <c r="G35" i="16"/>
  <c r="F35" i="16"/>
  <c r="E35" i="16"/>
  <c r="E33" i="16"/>
  <c r="D33" i="16"/>
  <c r="J30" i="16"/>
  <c r="J29" i="16"/>
  <c r="J28" i="16"/>
  <c r="J27" i="16"/>
  <c r="D30" i="16"/>
  <c r="D29" i="16"/>
  <c r="D28" i="16"/>
  <c r="D27" i="16"/>
  <c r="D26" i="16"/>
  <c r="D23" i="16"/>
  <c r="H19" i="16"/>
  <c r="G19" i="16"/>
  <c r="F19" i="16"/>
  <c r="E19" i="16"/>
  <c r="D19" i="16"/>
  <c r="H18" i="16"/>
  <c r="G18" i="16"/>
  <c r="F18" i="16"/>
  <c r="E18" i="16"/>
  <c r="D18" i="16"/>
  <c r="H17" i="16"/>
  <c r="G17" i="16"/>
  <c r="F17" i="16"/>
  <c r="E17" i="16"/>
  <c r="D17" i="16"/>
  <c r="H13" i="16"/>
  <c r="G13" i="16"/>
  <c r="F13" i="16"/>
  <c r="E13" i="16"/>
  <c r="D13" i="16"/>
  <c r="E10" i="16"/>
  <c r="F10" i="16" s="1"/>
  <c r="G10" i="16" s="1"/>
  <c r="H10" i="16" s="1"/>
  <c r="E9" i="16"/>
  <c r="F9" i="16" s="1"/>
  <c r="G9" i="16" s="1"/>
  <c r="H9" i="16" s="1"/>
  <c r="E8" i="16"/>
  <c r="F8" i="16" s="1"/>
  <c r="G8" i="16" s="1"/>
  <c r="H8" i="16" s="1"/>
  <c r="J47" i="43" l="1"/>
  <c r="J48" i="43"/>
  <c r="J19" i="43"/>
  <c r="J21" i="43" s="1"/>
  <c r="J46" i="43"/>
  <c r="J49" i="43" s="1"/>
  <c r="D21" i="43"/>
  <c r="J17" i="45"/>
  <c r="J19" i="45"/>
  <c r="J21" i="45" s="1"/>
  <c r="J18" i="44"/>
  <c r="J21" i="44" s="1"/>
  <c r="J17" i="43"/>
  <c r="J21" i="42"/>
  <c r="J21" i="41"/>
  <c r="J17" i="40"/>
  <c r="J21" i="40"/>
  <c r="J21" i="39"/>
  <c r="D21" i="38"/>
  <c r="G49" i="45"/>
  <c r="J49" i="44"/>
  <c r="J49" i="45"/>
  <c r="F10" i="45"/>
  <c r="G10" i="45" s="1"/>
  <c r="H10" i="45" s="1"/>
  <c r="D14" i="45"/>
  <c r="E9" i="45"/>
  <c r="F9" i="45" s="1"/>
  <c r="G9" i="45" s="1"/>
  <c r="H9" i="45" s="1"/>
  <c r="J23" i="45"/>
  <c r="J24" i="45" s="1"/>
  <c r="D49" i="45"/>
  <c r="D53" i="45" s="1"/>
  <c r="E8" i="45"/>
  <c r="J28" i="45"/>
  <c r="J31" i="45" s="1"/>
  <c r="F8" i="44"/>
  <c r="E11" i="44"/>
  <c r="E13" i="44" s="1"/>
  <c r="E14" i="44" s="1"/>
  <c r="E53" i="44" s="1"/>
  <c r="E58" i="44" s="1"/>
  <c r="E60" i="44" s="1"/>
  <c r="J23" i="44"/>
  <c r="J24" i="44" s="1"/>
  <c r="J9" i="44"/>
  <c r="J26" i="44"/>
  <c r="J31" i="44" s="1"/>
  <c r="D11" i="44"/>
  <c r="D13" i="44" s="1"/>
  <c r="F49" i="44"/>
  <c r="D14" i="43"/>
  <c r="E9" i="43"/>
  <c r="F9" i="43" s="1"/>
  <c r="G9" i="43" s="1"/>
  <c r="H9" i="43" s="1"/>
  <c r="J23" i="43"/>
  <c r="J24" i="43" s="1"/>
  <c r="D49" i="43"/>
  <c r="D53" i="43" s="1"/>
  <c r="D56" i="43" s="1"/>
  <c r="J29" i="43"/>
  <c r="J31" i="43" s="1"/>
  <c r="E10" i="43"/>
  <c r="F10" i="43" s="1"/>
  <c r="G10" i="43" s="1"/>
  <c r="H10" i="43" s="1"/>
  <c r="E8" i="43"/>
  <c r="F8" i="42"/>
  <c r="E9" i="42"/>
  <c r="F9" i="42" s="1"/>
  <c r="G9" i="42" s="1"/>
  <c r="H9" i="42" s="1"/>
  <c r="J23" i="42"/>
  <c r="J24" i="42" s="1"/>
  <c r="E49" i="42"/>
  <c r="J48" i="42"/>
  <c r="J49" i="42" s="1"/>
  <c r="E10" i="42"/>
  <c r="F10" i="42" s="1"/>
  <c r="G10" i="42" s="1"/>
  <c r="H10" i="42" s="1"/>
  <c r="D11" i="42"/>
  <c r="D13" i="42" s="1"/>
  <c r="J49" i="41"/>
  <c r="E11" i="41"/>
  <c r="E13" i="41" s="1"/>
  <c r="E14" i="41" s="1"/>
  <c r="F8" i="41"/>
  <c r="D14" i="41"/>
  <c r="D49" i="41"/>
  <c r="D53" i="41" s="1"/>
  <c r="E49" i="41"/>
  <c r="E53" i="41" s="1"/>
  <c r="E58" i="41" s="1"/>
  <c r="E60" i="41" s="1"/>
  <c r="F10" i="41"/>
  <c r="G10" i="41" s="1"/>
  <c r="H10" i="41" s="1"/>
  <c r="J26" i="41"/>
  <c r="J31" i="41" s="1"/>
  <c r="D14" i="40"/>
  <c r="E8" i="40"/>
  <c r="J23" i="40"/>
  <c r="J24" i="40" s="1"/>
  <c r="D49" i="40"/>
  <c r="E49" i="40"/>
  <c r="J9" i="40"/>
  <c r="D31" i="40"/>
  <c r="E10" i="40"/>
  <c r="F10" i="40" s="1"/>
  <c r="G10" i="40" s="1"/>
  <c r="H10" i="40" s="1"/>
  <c r="J49" i="39"/>
  <c r="D14" i="39"/>
  <c r="J31" i="39"/>
  <c r="F8" i="39"/>
  <c r="F10" i="39"/>
  <c r="G10" i="39" s="1"/>
  <c r="H10" i="39" s="1"/>
  <c r="E9" i="39"/>
  <c r="F9" i="39" s="1"/>
  <c r="G9" i="39" s="1"/>
  <c r="H9" i="39" s="1"/>
  <c r="J23" i="39"/>
  <c r="J24" i="39" s="1"/>
  <c r="D49" i="39"/>
  <c r="D53" i="39" s="1"/>
  <c r="F49" i="39"/>
  <c r="F49" i="38"/>
  <c r="J48" i="38"/>
  <c r="J49" i="38" s="1"/>
  <c r="D49" i="38"/>
  <c r="D53" i="38" s="1"/>
  <c r="G49" i="38"/>
  <c r="H49" i="38"/>
  <c r="D31" i="38"/>
  <c r="E11" i="38"/>
  <c r="E13" i="38" s="1"/>
  <c r="E14" i="38" s="1"/>
  <c r="G8" i="38"/>
  <c r="J31" i="38"/>
  <c r="J17" i="38"/>
  <c r="J9" i="38"/>
  <c r="E49" i="38"/>
  <c r="F10" i="38"/>
  <c r="G10" i="38" s="1"/>
  <c r="H10" i="38" s="1"/>
  <c r="J18" i="38"/>
  <c r="J23" i="38"/>
  <c r="J24" i="38" s="1"/>
  <c r="G14" i="30"/>
  <c r="J16" i="30"/>
  <c r="F8" i="45" l="1"/>
  <c r="E11" i="45"/>
  <c r="E13" i="45" s="1"/>
  <c r="J9" i="45"/>
  <c r="J10" i="45"/>
  <c r="D14" i="44"/>
  <c r="D53" i="44" s="1"/>
  <c r="G8" i="44"/>
  <c r="F11" i="44"/>
  <c r="F13" i="44" s="1"/>
  <c r="F14" i="44" s="1"/>
  <c r="F53" i="44" s="1"/>
  <c r="F58" i="44" s="1"/>
  <c r="F60" i="44" s="1"/>
  <c r="E11" i="43"/>
  <c r="E13" i="43" s="1"/>
  <c r="F8" i="43"/>
  <c r="J10" i="43"/>
  <c r="J9" i="43"/>
  <c r="J10" i="42"/>
  <c r="D14" i="42"/>
  <c r="D53" i="42" s="1"/>
  <c r="E11" i="42"/>
  <c r="E13" i="42" s="1"/>
  <c r="E14" i="42" s="1"/>
  <c r="E53" i="42" s="1"/>
  <c r="E58" i="42" s="1"/>
  <c r="E60" i="42" s="1"/>
  <c r="F11" i="42"/>
  <c r="F13" i="42" s="1"/>
  <c r="F14" i="42" s="1"/>
  <c r="F53" i="42" s="1"/>
  <c r="F58" i="42" s="1"/>
  <c r="F60" i="42" s="1"/>
  <c r="G8" i="42"/>
  <c r="J9" i="42"/>
  <c r="J10" i="41"/>
  <c r="G8" i="41"/>
  <c r="F11" i="41"/>
  <c r="F13" i="41" s="1"/>
  <c r="D53" i="40"/>
  <c r="E11" i="40"/>
  <c r="E13" i="40" s="1"/>
  <c r="F8" i="40"/>
  <c r="J10" i="40"/>
  <c r="J10" i="39"/>
  <c r="E11" i="39"/>
  <c r="E13" i="39" s="1"/>
  <c r="J9" i="39"/>
  <c r="G8" i="39"/>
  <c r="F11" i="39"/>
  <c r="F13" i="39" s="1"/>
  <c r="F14" i="39" s="1"/>
  <c r="F53" i="39" s="1"/>
  <c r="F58" i="39" s="1"/>
  <c r="F60" i="39" s="1"/>
  <c r="E53" i="38"/>
  <c r="J21" i="38"/>
  <c r="F11" i="38"/>
  <c r="F13" i="38" s="1"/>
  <c r="H8" i="38"/>
  <c r="H11" i="38" s="1"/>
  <c r="H13" i="38" s="1"/>
  <c r="H14" i="38" s="1"/>
  <c r="H53" i="38" s="1"/>
  <c r="G11" i="38"/>
  <c r="G13" i="38" s="1"/>
  <c r="G14" i="38" s="1"/>
  <c r="G53" i="38" s="1"/>
  <c r="J10" i="38"/>
  <c r="J8" i="38"/>
  <c r="J11" i="38" s="1"/>
  <c r="H58" i="38" l="1"/>
  <c r="H60" i="38" s="1"/>
  <c r="G58" i="38"/>
  <c r="G60" i="38" s="1"/>
  <c r="E58" i="38"/>
  <c r="E60" i="38" s="1"/>
  <c r="E14" i="45"/>
  <c r="E53" i="45" s="1"/>
  <c r="G8" i="45"/>
  <c r="F11" i="45"/>
  <c r="F13" i="45" s="1"/>
  <c r="F14" i="45" s="1"/>
  <c r="F53" i="45" s="1"/>
  <c r="F58" i="45" s="1"/>
  <c r="F60" i="45" s="1"/>
  <c r="D58" i="45"/>
  <c r="D60" i="45" s="1"/>
  <c r="H8" i="44"/>
  <c r="H11" i="44" s="1"/>
  <c r="H13" i="44" s="1"/>
  <c r="H14" i="44" s="1"/>
  <c r="H53" i="44" s="1"/>
  <c r="H58" i="44" s="1"/>
  <c r="H60" i="44" s="1"/>
  <c r="G11" i="44"/>
  <c r="G13" i="44" s="1"/>
  <c r="G14" i="44" s="1"/>
  <c r="G53" i="44" s="1"/>
  <c r="G58" i="44" s="1"/>
  <c r="G60" i="44" s="1"/>
  <c r="J8" i="44"/>
  <c r="J11" i="44" s="1"/>
  <c r="J13" i="44"/>
  <c r="J14" i="44" s="1"/>
  <c r="D58" i="43"/>
  <c r="D60" i="43" s="1"/>
  <c r="F11" i="43"/>
  <c r="F13" i="43" s="1"/>
  <c r="F14" i="43" s="1"/>
  <c r="F53" i="43" s="1"/>
  <c r="G8" i="43"/>
  <c r="E14" i="43"/>
  <c r="E53" i="43" s="1"/>
  <c r="E56" i="43" s="1"/>
  <c r="H8" i="42"/>
  <c r="H11" i="42" s="1"/>
  <c r="H13" i="42" s="1"/>
  <c r="H14" i="42" s="1"/>
  <c r="H53" i="42" s="1"/>
  <c r="H58" i="42" s="1"/>
  <c r="H60" i="42" s="1"/>
  <c r="G11" i="42"/>
  <c r="G13" i="42" s="1"/>
  <c r="G14" i="42" s="1"/>
  <c r="G53" i="42" s="1"/>
  <c r="G58" i="42" s="1"/>
  <c r="G60" i="42" s="1"/>
  <c r="J8" i="42"/>
  <c r="J11" i="42" s="1"/>
  <c r="J13" i="42"/>
  <c r="J14" i="42" s="1"/>
  <c r="F14" i="41"/>
  <c r="F53" i="41" s="1"/>
  <c r="H8" i="41"/>
  <c r="H11" i="41" s="1"/>
  <c r="H13" i="41" s="1"/>
  <c r="H14" i="41" s="1"/>
  <c r="H53" i="41" s="1"/>
  <c r="H58" i="41" s="1"/>
  <c r="H60" i="41" s="1"/>
  <c r="G11" i="41"/>
  <c r="G13" i="41" s="1"/>
  <c r="G14" i="41" s="1"/>
  <c r="G53" i="41" s="1"/>
  <c r="G58" i="41" s="1"/>
  <c r="G60" i="41" s="1"/>
  <c r="J8" i="41"/>
  <c r="J11" i="41" s="1"/>
  <c r="D58" i="41"/>
  <c r="D60" i="41" s="1"/>
  <c r="G8" i="40"/>
  <c r="F11" i="40"/>
  <c r="F13" i="40" s="1"/>
  <c r="F14" i="40" s="1"/>
  <c r="F53" i="40" s="1"/>
  <c r="F58" i="40" s="1"/>
  <c r="F60" i="40" s="1"/>
  <c r="E14" i="40"/>
  <c r="E53" i="40" s="1"/>
  <c r="E58" i="40" s="1"/>
  <c r="E60" i="40" s="1"/>
  <c r="D58" i="39"/>
  <c r="D60" i="39" s="1"/>
  <c r="H8" i="39"/>
  <c r="H11" i="39" s="1"/>
  <c r="H13" i="39" s="1"/>
  <c r="H14" i="39" s="1"/>
  <c r="H53" i="39" s="1"/>
  <c r="H58" i="39" s="1"/>
  <c r="H60" i="39" s="1"/>
  <c r="G11" i="39"/>
  <c r="G13" i="39" s="1"/>
  <c r="G14" i="39" s="1"/>
  <c r="G53" i="39" s="1"/>
  <c r="G58" i="39" s="1"/>
  <c r="G60" i="39" s="1"/>
  <c r="J8" i="39"/>
  <c r="J11" i="39" s="1"/>
  <c r="E14" i="39"/>
  <c r="E53" i="39" s="1"/>
  <c r="J13" i="39"/>
  <c r="J14" i="39" s="1"/>
  <c r="F14" i="38"/>
  <c r="F53" i="38" s="1"/>
  <c r="J13" i="38"/>
  <c r="J14" i="38" s="1"/>
  <c r="D58" i="38"/>
  <c r="D60" i="38" s="1"/>
  <c r="F58" i="43" l="1"/>
  <c r="F60" i="43" s="1"/>
  <c r="F56" i="43"/>
  <c r="J53" i="42"/>
  <c r="H8" i="45"/>
  <c r="H11" i="45" s="1"/>
  <c r="H13" i="45" s="1"/>
  <c r="H14" i="45" s="1"/>
  <c r="H53" i="45" s="1"/>
  <c r="H58" i="45" s="1"/>
  <c r="H60" i="45" s="1"/>
  <c r="G11" i="45"/>
  <c r="G13" i="45" s="1"/>
  <c r="G14" i="45" s="1"/>
  <c r="G53" i="45" s="1"/>
  <c r="G58" i="45" s="1"/>
  <c r="G60" i="45" s="1"/>
  <c r="J8" i="45"/>
  <c r="J11" i="45" s="1"/>
  <c r="J13" i="45"/>
  <c r="J14" i="45" s="1"/>
  <c r="D58" i="44"/>
  <c r="D60" i="44" s="1"/>
  <c r="J56" i="44"/>
  <c r="J58" i="44" s="1"/>
  <c r="J53" i="44"/>
  <c r="H8" i="43"/>
  <c r="G11" i="43"/>
  <c r="G13" i="43" s="1"/>
  <c r="J56" i="42"/>
  <c r="J58" i="42" s="1"/>
  <c r="D58" i="42"/>
  <c r="D60" i="42" s="1"/>
  <c r="J13" i="41"/>
  <c r="J14" i="41" s="1"/>
  <c r="J53" i="41"/>
  <c r="H8" i="40"/>
  <c r="H11" i="40" s="1"/>
  <c r="H13" i="40" s="1"/>
  <c r="H14" i="40" s="1"/>
  <c r="H53" i="40" s="1"/>
  <c r="H58" i="40" s="1"/>
  <c r="H60" i="40" s="1"/>
  <c r="G11" i="40"/>
  <c r="G13" i="40" s="1"/>
  <c r="D58" i="40"/>
  <c r="D60" i="40" s="1"/>
  <c r="J53" i="39"/>
  <c r="J53" i="38"/>
  <c r="J53" i="45" l="1"/>
  <c r="J60" i="44"/>
  <c r="D29" i="30" s="1"/>
  <c r="J60" i="42"/>
  <c r="D27" i="30" s="1"/>
  <c r="E58" i="45"/>
  <c r="E60" i="45" s="1"/>
  <c r="J56" i="45"/>
  <c r="J58" i="45" s="1"/>
  <c r="J60" i="45" s="1"/>
  <c r="D30" i="30" s="1"/>
  <c r="G14" i="43"/>
  <c r="G53" i="43" s="1"/>
  <c r="G56" i="43" s="1"/>
  <c r="J13" i="43"/>
  <c r="J14" i="43" s="1"/>
  <c r="H11" i="43"/>
  <c r="H13" i="43" s="1"/>
  <c r="H14" i="43" s="1"/>
  <c r="H53" i="43" s="1"/>
  <c r="J8" i="43"/>
  <c r="J11" i="43" s="1"/>
  <c r="E58" i="43"/>
  <c r="E60" i="43" s="1"/>
  <c r="F58" i="41"/>
  <c r="F60" i="41" s="1"/>
  <c r="J56" i="41"/>
  <c r="J58" i="41" s="1"/>
  <c r="J60" i="41" s="1"/>
  <c r="D26" i="30" s="1"/>
  <c r="J8" i="40"/>
  <c r="J11" i="40" s="1"/>
  <c r="G14" i="40"/>
  <c r="G53" i="40" s="1"/>
  <c r="J13" i="40"/>
  <c r="J14" i="40" s="1"/>
  <c r="E58" i="39"/>
  <c r="E60" i="39" s="1"/>
  <c r="J56" i="39"/>
  <c r="J58" i="39" s="1"/>
  <c r="J60" i="39" s="1"/>
  <c r="D24" i="30" s="1"/>
  <c r="F58" i="38"/>
  <c r="F60" i="38" s="1"/>
  <c r="J56" i="38"/>
  <c r="H58" i="43" l="1"/>
  <c r="H60" i="43" s="1"/>
  <c r="H56" i="43"/>
  <c r="J58" i="38"/>
  <c r="J60" i="38" s="1"/>
  <c r="D23" i="30" s="1"/>
  <c r="J53" i="43"/>
  <c r="J53" i="40"/>
  <c r="G58" i="43" l="1"/>
  <c r="G60" i="43" s="1"/>
  <c r="J56" i="43"/>
  <c r="J58" i="43" s="1"/>
  <c r="J60" i="43" s="1"/>
  <c r="D28" i="30" s="1"/>
  <c r="G58" i="40"/>
  <c r="G60" i="40" s="1"/>
  <c r="J56" i="40"/>
  <c r="J58" i="40" s="1"/>
  <c r="J60" i="40" s="1"/>
  <c r="D25" i="30" s="1"/>
  <c r="J10" i="16" l="1"/>
  <c r="J8" i="16"/>
  <c r="J9" i="16"/>
  <c r="E14" i="16"/>
  <c r="F14" i="16"/>
  <c r="E58" i="16"/>
  <c r="F58" i="16"/>
  <c r="G58" i="16"/>
  <c r="H58" i="16"/>
  <c r="D58" i="16"/>
  <c r="J57" i="16"/>
  <c r="J56" i="16"/>
  <c r="E52" i="16"/>
  <c r="F52" i="16"/>
  <c r="G52" i="16"/>
  <c r="H52" i="16"/>
  <c r="D52" i="16"/>
  <c r="E49" i="16"/>
  <c r="F49" i="16"/>
  <c r="G49" i="16"/>
  <c r="H49" i="16"/>
  <c r="D49" i="16"/>
  <c r="J48" i="16"/>
  <c r="E31" i="16"/>
  <c r="F31" i="16"/>
  <c r="G31" i="16"/>
  <c r="H31" i="16"/>
  <c r="D31" i="16"/>
  <c r="J26" i="16"/>
  <c r="J33" i="16"/>
  <c r="J34" i="16"/>
  <c r="J47" i="16"/>
  <c r="J51" i="16"/>
  <c r="E24" i="16"/>
  <c r="F24" i="16"/>
  <c r="G24" i="16"/>
  <c r="H24" i="16"/>
  <c r="D24" i="16"/>
  <c r="J23" i="16"/>
  <c r="E21" i="16"/>
  <c r="F21" i="16"/>
  <c r="G21" i="16"/>
  <c r="H21" i="16"/>
  <c r="D21" i="16"/>
  <c r="J18" i="16"/>
  <c r="J19" i="16"/>
  <c r="J20" i="16"/>
  <c r="J17" i="16"/>
  <c r="E11" i="16"/>
  <c r="F11" i="16"/>
  <c r="G11" i="16"/>
  <c r="H11" i="16"/>
  <c r="D11" i="16"/>
  <c r="G14" i="16"/>
  <c r="H14" i="16"/>
  <c r="D14" i="16"/>
  <c r="J58" i="16" l="1"/>
  <c r="J52" i="16"/>
  <c r="J24" i="16"/>
  <c r="J21" i="16"/>
  <c r="J31" i="16"/>
  <c r="D53" i="16"/>
  <c r="D60" i="16" s="1"/>
  <c r="J49" i="16"/>
  <c r="J10" i="30"/>
  <c r="H53" i="16"/>
  <c r="H60" i="16" s="1"/>
  <c r="J11" i="16"/>
  <c r="J13" i="16"/>
  <c r="J14" i="16" s="1"/>
  <c r="E53" i="16"/>
  <c r="E60" i="16" s="1"/>
  <c r="G53" i="16"/>
  <c r="G60" i="16" s="1"/>
  <c r="F53" i="16"/>
  <c r="F60" i="16" s="1"/>
  <c r="J11" i="30" l="1"/>
  <c r="E14" i="30"/>
  <c r="E18" i="30" s="1"/>
  <c r="J12" i="30"/>
  <c r="F14" i="30"/>
  <c r="F18" i="30" s="1"/>
  <c r="J9" i="30"/>
  <c r="J8" i="30"/>
  <c r="G18" i="30"/>
  <c r="J7" i="30"/>
  <c r="H14" i="30"/>
  <c r="H18" i="30" s="1"/>
  <c r="D14" i="30"/>
  <c r="J13" i="30"/>
  <c r="J53" i="16"/>
  <c r="J60" i="16" s="1"/>
  <c r="J14" i="30" l="1"/>
  <c r="J18" i="30" s="1"/>
  <c r="D18" i="30"/>
  <c r="D31" i="30"/>
  <c r="E24" i="30" l="1"/>
  <c r="E28" i="30"/>
  <c r="E29" i="30"/>
  <c r="E30" i="30"/>
  <c r="E25" i="30"/>
  <c r="E23" i="30"/>
  <c r="E26" i="30"/>
  <c r="E27" i="30"/>
  <c r="E31" i="30" l="1"/>
</calcChain>
</file>

<file path=xl/sharedStrings.xml><?xml version="1.0" encoding="utf-8"?>
<sst xmlns="http://schemas.openxmlformats.org/spreadsheetml/2006/main" count="730" uniqueCount="101">
  <si>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</si>
  <si>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</si>
  <si>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</si>
  <si>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</si>
  <si>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</si>
  <si>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</si>
  <si>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</si>
  <si>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</si>
  <si>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</si>
  <si>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</si>
  <si>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</si>
  <si>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</si>
  <si>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</si>
  <si>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</si>
  <si>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</si>
  <si>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</si>
  <si>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</si>
  <si>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</si>
  <si>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</si>
  <si>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</si>
  <si>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</si>
  <si>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</si>
  <si>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</si>
  <si>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</si>
  <si>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</si>
  <si>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</si>
  <si>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</si>
  <si>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</si>
  <si>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</si>
  <si>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</si>
  <si>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</si>
  <si>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</si>
  <si>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</si>
  <si>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</si>
  <si>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</si>
  <si>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</si>
  <si>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</si>
  <si>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</si>
  <si>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</si>
  <si>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Travel for conference and workshop presentations:</t>
  </si>
  <si>
    <t xml:space="preserve">This Excel Workbook is provided to aid applicants in developing the required budget table(s) within the budget narrative.  </t>
  </si>
  <si>
    <t>CATEGORY: MEASURE 1. HYDROGEN ECONOMY</t>
  </si>
  <si>
    <t>Task 1.0 Clean Hydrogen Network ($0.5M/study for 4; $3.75M/blueprint for 2; contract experts at $1.3M/yr)</t>
  </si>
  <si>
    <t>Task 1.1 Hydrogen Upstream Production ($16M/demonstration project for 4 projects)</t>
  </si>
  <si>
    <t>Task 1.2 Hydrogen Downstream Use ($1.25M/corridor for all major Louisiana 16 corridors)</t>
  </si>
  <si>
    <t>Task 2.1 Industrial Decarbonization Technologies ($3M/project for 7 projects )</t>
  </si>
  <si>
    <t>Task 2.2 Industrial CCS - ($3.75M/project for 7 projects)</t>
  </si>
  <si>
    <t>Task 3.1 N2O Abatement ($4M/site for 3 sites)</t>
  </si>
  <si>
    <t>Task 4.1 Port Shore Power ($1M/unit at all 32-Ports and $0.5M/study for 1 study)</t>
  </si>
  <si>
    <t xml:space="preserve">Task 4.2 Port Community Resilience Hubs ($1.2M/hub at all 32-Ports and $0.5M/study for 1 study) </t>
  </si>
  <si>
    <t>Task 5.1 Port Buffer Zone Program ($.5M/port at all 32-Ports)</t>
  </si>
  <si>
    <t>Workforce Development and Apprenticeship Program (contract educational entities to develop 600 trainees) ALLOCATED</t>
  </si>
  <si>
    <t>Community Engagement and Education (64 Parishes + 4 Tribal Nations) 68 events twice/year @$3k/event ALLOCATED</t>
  </si>
  <si>
    <t>Technical Assistance (contract environmental and energy experts to supplement state personnel) ALLOCATED</t>
  </si>
  <si>
    <t>N/A</t>
  </si>
  <si>
    <t>Rounding Adjustment</t>
  </si>
  <si>
    <t>State Labor Indirect Rate 10% ALLOCATED</t>
  </si>
  <si>
    <t>Transportation Allowance - $100 @ 8 trips per year - ALLOCATED</t>
  </si>
  <si>
    <t>Program Manager @ $92,500/yr, 1 FTE with salary increase 3% ALLOCATED</t>
  </si>
  <si>
    <t>Program Staff @ $74,000 1 FTE each year with salary increase 3% ALLOCATED</t>
  </si>
  <si>
    <t>Grant Contract Coorindator @ $75,000/yr, 1 FTE with salary increase 3% ALLOCATED</t>
  </si>
  <si>
    <t>Full-time Employees @ 40% of salary ALLOCATED</t>
  </si>
  <si>
    <t>Airfare - $500 roundtrip @ 8 roundtrip per year ALLOCATED</t>
  </si>
  <si>
    <t>Hotel - $250 per day @ 3 days @ 8 trips per year ALLOCATED</t>
  </si>
  <si>
    <t>Per Diem - $75 per day @ 3.5 days @ 8 trips per year ALLOCATED</t>
  </si>
  <si>
    <t>Building Thermal Images ($6,500/each for 4) ALLOCATED</t>
  </si>
  <si>
    <t>Laptop Computer ($2,500/each for 3 newly hired program personnel) ALLOCATED</t>
  </si>
  <si>
    <t>Home Office Printer ($1,000/each for 3 newly hired program personnel) ALLOCATED</t>
  </si>
  <si>
    <t>Home Office Display Monitor ($1,000/each for 3 newly hired program personnel) ALLOCATED</t>
  </si>
  <si>
    <t>Home Office Deck ($800/each for 3 newly hired program personnel) ALLOCATED</t>
  </si>
  <si>
    <t>Home Office Chair ($500/each for 3 newly hired program personnel) ALLOCATED</t>
  </si>
  <si>
    <t>10/1/2024-9/30/2025</t>
  </si>
  <si>
    <t>10/1/2025-9/30/2026</t>
  </si>
  <si>
    <t>10/1/2026-9/30/2027</t>
  </si>
  <si>
    <t>10/1/2027-9/30/2028</t>
  </si>
  <si>
    <t>10/1/2028-9/30/2029</t>
  </si>
  <si>
    <t>10/1/2024-9/30/2029</t>
  </si>
  <si>
    <t>Industrial Decarbonization</t>
  </si>
  <si>
    <t>N2O Abatement</t>
  </si>
  <si>
    <t>Clean Resilient Ports</t>
  </si>
  <si>
    <t>Port Buffer Zone</t>
  </si>
  <si>
    <t>Sustainable Agriculture</t>
  </si>
  <si>
    <t>Clean Energy Acceleration</t>
  </si>
  <si>
    <t>Nature-Based Solutions</t>
  </si>
  <si>
    <t>Task 8.0 Blue Carbon Research and Accreditation</t>
  </si>
  <si>
    <t>Task 8.1 Community Forestry and Greening</t>
  </si>
  <si>
    <t xml:space="preserve">Task 8.0 Blue Carbon Research and Accreditation </t>
  </si>
  <si>
    <t>Task 7.1 Clean Energy Acceleration ($5M on new grid capacity to enable coffshore wind and large scale solar)</t>
  </si>
  <si>
    <t>Task 6.1 Sustainable Agriculture Innovation Program ($4M to farmers on acreage burn reduction actions)</t>
  </si>
  <si>
    <t>Task 1.0 Clean Hydrogen Economy ($0.5M/study for 4; $3.75M/blueprint for 2; contract experts at $1.3M/yr)</t>
  </si>
  <si>
    <t>Task 2.1 Industrial Decarbonization  ($3M/project for 7 projects )</t>
  </si>
  <si>
    <t>Task 6.1 Sustainable Agriculture Innovative Program ($4M to farmers on acreage burn reduction actions)</t>
  </si>
  <si>
    <t>MEASURE 1. CLEAN HYDROGEN ECONOMY</t>
  </si>
  <si>
    <t>MEASURE 3. N2O ABATEMENT INNOVATIVE PILOT</t>
  </si>
  <si>
    <t>MEASURE 2. INDUSTRIAL DECARBONIZATION</t>
  </si>
  <si>
    <t>MEASURE 4. RESILIENT CLEAN PORTS</t>
  </si>
  <si>
    <t xml:space="preserve"> MEASURE 5. PORT BUFFER ZONE PROGRAM</t>
  </si>
  <si>
    <t>MEASURE 6. SUSTAINABLE AGRICULTURE INNOVATIVE PROGRAM</t>
  </si>
  <si>
    <t>MEASURE 7. CLEAN ENERGY ACCELERATION</t>
  </si>
  <si>
    <t>MEASURE 8. NATURE-BASED SOLUTIONS</t>
  </si>
  <si>
    <t>Clean Hydrogen Economy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</si>
</sst>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</font>
    <font>
      <b/>
      <sz val="11"/>
      <color theme="0"/>
      <name val="Calibri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548135"/>
        <bgColor rgb="FF548135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2" fillId="0" borderId="1" xfId="0" applyFont="1" applyBorder="1"/>
    <xf numFmtId="0" fontId="9" fillId="0" borderId="10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5" xfId="0" applyFont="1" applyBorder="1" applyAlignment="1">
      <alignment vertical="top" wrapText="1"/>
    </xf>
    <xf numFmtId="0" fontId="0" fillId="0" borderId="16" xfId="0" applyBorder="1"/>
    <xf numFmtId="0" fontId="5" fillId="0" borderId="17" xfId="0" applyFont="1" applyBorder="1" applyAlignment="1">
      <alignment vertical="top" wrapText="1"/>
    </xf>
    <xf numFmtId="6" fontId="0" fillId="0" borderId="0" xfId="0" applyNumberFormat="1"/>
    <xf numFmtId="0" fontId="11" fillId="5" borderId="7" xfId="0" applyFont="1" applyFill="1" applyBorder="1"/>
    <xf numFmtId="0" fontId="1" fillId="5" borderId="6" xfId="0" applyFont="1" applyFill="1" applyBorder="1" applyAlignment="1">
      <alignment wrapText="1"/>
    </xf>
    <xf numFmtId="0" fontId="9" fillId="6" borderId="12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7" xfId="0" applyFont="1" applyFill="1" applyBorder="1"/>
    <xf numFmtId="0" fontId="1" fillId="2" borderId="6" xfId="0" applyFont="1" applyFill="1" applyBorder="1" applyAlignment="1">
      <alignment wrapText="1"/>
    </xf>
    <xf numFmtId="0" fontId="9" fillId="3" borderId="12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0" fontId="9" fillId="3" borderId="19" xfId="0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0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14" fillId="0" borderId="21" xfId="0" applyFont="1" applyBorder="1" applyAlignment="1">
      <alignment horizontal="left" wrapText="1"/>
    </xf>
    <xf numFmtId="0" fontId="14" fillId="0" borderId="21" xfId="0" applyFont="1" applyBorder="1" applyAlignment="1">
      <alignment wrapText="1"/>
    </xf>
    <xf numFmtId="0" fontId="15" fillId="9" borderId="22" xfId="0" quotePrefix="1" applyFont="1" applyFill="1" applyBorder="1" applyAlignment="1">
      <alignment horizontal="center" wrapText="1"/>
    </xf>
    <xf numFmtId="6" fontId="16" fillId="0" borderId="21" xfId="0" applyNumberFormat="1" applyFont="1" applyBorder="1" applyAlignment="1">
      <alignment wrapText="1"/>
    </xf>
    <xf numFmtId="6" fontId="17" fillId="0" borderId="0" xfId="0" applyNumberFormat="1" applyFont="1"/>
    <xf numFmtId="0" fontId="17" fillId="0" borderId="0" xfId="0" applyFont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6" fontId="17" fillId="0" borderId="1" xfId="0" applyNumberFormat="1" applyFont="1" applyBorder="1" applyAlignment="1">
      <alignment wrapText="1"/>
    </xf>
    <xf numFmtId="6" fontId="17" fillId="4" borderId="1" xfId="0" applyNumberFormat="1" applyFont="1" applyFill="1" applyBorder="1" applyAlignment="1">
      <alignment wrapText="1"/>
    </xf>
    <xf numFmtId="6" fontId="17" fillId="4" borderId="4" xfId="0" applyNumberFormat="1" applyFont="1" applyFill="1" applyBorder="1" applyAlignment="1">
      <alignment wrapText="1"/>
    </xf>
    <xf numFmtId="6" fontId="18" fillId="0" borderId="11" xfId="0" applyNumberFormat="1" applyFont="1" applyBorder="1" applyAlignment="1">
      <alignment wrapText="1"/>
    </xf>
    <xf numFmtId="6" fontId="13" fillId="0" borderId="21" xfId="0" applyNumberFormat="1" applyFont="1" applyBorder="1" applyAlignment="1">
      <alignment wrapText="1"/>
    </xf>
    <xf numFmtId="0" fontId="17" fillId="8" borderId="0" xfId="0" applyFont="1" applyFill="1"/>
    <xf numFmtId="6" fontId="18" fillId="0" borderId="18" xfId="0" applyNumberFormat="1" applyFont="1" applyBorder="1" applyAlignment="1">
      <alignment wrapText="1"/>
    </xf>
    <xf numFmtId="0" fontId="18" fillId="0" borderId="0" xfId="0" applyFont="1"/>
    <xf numFmtId="6" fontId="18" fillId="0" borderId="1" xfId="0" applyNumberFormat="1" applyFont="1" applyBorder="1" applyAlignment="1">
      <alignment wrapText="1"/>
    </xf>
    <xf numFmtId="6" fontId="17" fillId="7" borderId="1" xfId="0" applyNumberFormat="1" applyFont="1" applyFill="1" applyBorder="1" applyAlignment="1">
      <alignment wrapText="1"/>
    </xf>
    <xf numFmtId="6" fontId="17" fillId="7" borderId="1" xfId="0" applyNumberFormat="1" applyFont="1" applyFill="1" applyBorder="1" applyAlignment="1">
      <alignment horizontal="left" vertical="top" wrapText="1"/>
    </xf>
    <xf numFmtId="6" fontId="17" fillId="7" borderId="7" xfId="0" applyNumberFormat="1" applyFont="1" applyFill="1" applyBorder="1" applyAlignment="1">
      <alignment wrapText="1"/>
    </xf>
    <xf numFmtId="12" fontId="13" fillId="0" borderId="21" xfId="0" applyNumberFormat="1" applyFont="1" applyBorder="1" applyAlignment="1">
      <alignment wrapText="1"/>
    </xf>
    <xf numFmtId="0" fontId="14" fillId="10" borderId="21" xfId="0" applyFont="1" applyFill="1" applyBorder="1" applyAlignment="1">
      <alignment horizontal="left" wrapText="1"/>
    </xf>
    <xf numFmtId="6" fontId="13" fillId="10" borderId="21" xfId="0" applyNumberFormat="1" applyFont="1" applyFill="1" applyBorder="1" applyAlignment="1">
      <alignment wrapText="1"/>
    </xf>
    <xf numFmtId="6" fontId="17" fillId="10" borderId="0" xfId="0" applyNumberFormat="1" applyFont="1" applyFill="1"/>
    <xf numFmtId="6" fontId="17" fillId="10" borderId="1" xfId="0" applyNumberFormat="1" applyFont="1" applyFill="1" applyBorder="1" applyAlignment="1">
      <alignment wrapText="1"/>
    </xf>
    <xf numFmtId="0" fontId="14" fillId="10" borderId="21" xfId="0" applyFont="1" applyFill="1" applyBorder="1" applyAlignment="1">
      <alignment wrapText="1"/>
    </xf>
    <xf numFmtId="6" fontId="0" fillId="0" borderId="0" xfId="0" applyNumberFormat="1" applyAlignment="1">
      <alignment vertical="top"/>
    </xf>
    <xf numFmtId="6" fontId="17" fillId="8" borderId="0" xfId="0" applyNumberFormat="1" applyFont="1" applyFill="1"/>
    <xf numFmtId="6" fontId="17" fillId="8" borderId="1" xfId="0" applyNumberFormat="1" applyFont="1" applyFill="1" applyBorder="1" applyAlignment="1">
      <alignment wrapText="1"/>
    </xf>
    <xf numFmtId="43" fontId="0" fillId="0" borderId="0" xfId="3" applyFont="1"/>
    <xf numFmtId="0" fontId="3" fillId="0" borderId="0" xfId="0" applyFont="1" applyAlignment="1">
      <alignment horizontal="left" wrapText="1"/>
    </xf>
    <xf numFmtId="9" fontId="17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22"/>
      <c r="K2" s="3"/>
    </row>
    <row r="3" spans="4:11" x14ac:dyDescent="0.3">
      <c r="D3" s="3"/>
      <c r="E3" s="3"/>
      <c r="J3" s="20"/>
      <c r="K3" s="21"/>
    </row>
    <row r="4" spans="4:11" x14ac:dyDescent="0.3">
      <c r="D4" s="4"/>
      <c r="E4" s="3"/>
    </row>
    <row r="9" spans="4:11" x14ac:dyDescent="0.3">
      <c r="J9" s="14"/>
    </row>
    <row r="17" spans="5:18" x14ac:dyDescent="0.3">
      <c r="E17" s="23"/>
      <c r="F17" s="23"/>
      <c r="G17" s="23"/>
      <c r="H17" s="23"/>
      <c r="I17" s="23"/>
    </row>
    <row r="18" spans="5:18" x14ac:dyDescent="0.3">
      <c r="E18" s="23"/>
      <c r="F18" s="23"/>
      <c r="G18" s="23"/>
      <c r="H18" s="23"/>
      <c r="I18" s="23"/>
    </row>
    <row r="27" spans="5:18" ht="23.4" x14ac:dyDescent="0.45">
      <c r="Q27" s="19"/>
    </row>
    <row r="28" spans="5:18" x14ac:dyDescent="0.3">
      <c r="Q28" s="39"/>
      <c r="R28" s="40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26346-A616-421A-95AF-55B76C102DD1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98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50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50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50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50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50"/>
      <c r="J37" s="70">
        <f t="shared" si="4"/>
        <v>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50"/>
      <c r="J38" s="70">
        <f t="shared" si="4"/>
        <v>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50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50"/>
      <c r="J40" s="70">
        <f t="shared" si="4"/>
        <v>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50"/>
      <c r="J41" s="70">
        <f t="shared" si="4"/>
        <v>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50"/>
      <c r="J42" s="70">
        <f t="shared" si="4"/>
        <v>0</v>
      </c>
    </row>
    <row r="43" spans="2:10" x14ac:dyDescent="0.3">
      <c r="B43" s="16"/>
      <c r="C43" s="46" t="s">
        <v>87</v>
      </c>
      <c r="D43" s="58">
        <v>500000</v>
      </c>
      <c r="E43" s="58">
        <v>1500000</v>
      </c>
      <c r="F43" s="58">
        <v>1500000</v>
      </c>
      <c r="G43" s="58">
        <v>1500000</v>
      </c>
      <c r="H43" s="58"/>
      <c r="I43" s="50"/>
      <c r="J43" s="54">
        <f t="shared" si="4"/>
        <v>5000000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50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50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926000</v>
      </c>
      <c r="E49" s="55">
        <f t="shared" ref="E49:H49" si="5">SUM(E33:E48)</f>
        <v>2113500</v>
      </c>
      <c r="F49" s="55">
        <f t="shared" si="5"/>
        <v>2113500</v>
      </c>
      <c r="G49" s="55">
        <f t="shared" si="5"/>
        <v>2113500</v>
      </c>
      <c r="H49" s="55">
        <f t="shared" si="5"/>
        <v>613500</v>
      </c>
      <c r="I49" s="51"/>
      <c r="J49" s="55">
        <f>SUM(J33:J48)</f>
        <v>7880000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975300</v>
      </c>
      <c r="E53" s="55">
        <f>SUM(E52,E49,E31,E24,E21,E14,E11)</f>
        <v>2158642.875</v>
      </c>
      <c r="F53" s="55">
        <f>SUM(F52,F49,F31,F24,F21,F14,F11)</f>
        <v>2159948.7862500004</v>
      </c>
      <c r="G53" s="55">
        <f>SUM(G52,G49,G31,G24,G21,G14,G11)</f>
        <v>2161293.8748375</v>
      </c>
      <c r="H53" s="55">
        <f>SUM(H52,H49,H31,H24,H21,H14,H11)</f>
        <v>662679.31608262507</v>
      </c>
      <c r="I53" s="51"/>
      <c r="J53" s="55">
        <f t="shared" si="4"/>
        <v>8117864.8521701256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97530</v>
      </c>
      <c r="E56" s="58">
        <f>+E53*0.1</f>
        <v>215864.28750000001</v>
      </c>
      <c r="F56" s="58">
        <f>+F53*0.1</f>
        <v>215994.87862500004</v>
      </c>
      <c r="G56" s="58">
        <f>+G53*0.1</f>
        <v>216129.38748375</v>
      </c>
      <c r="H56" s="58">
        <f>+H53*0.1</f>
        <v>66267.931608262516</v>
      </c>
      <c r="I56" s="51"/>
      <c r="J56" s="54">
        <f>SUM(D56:H56)</f>
        <v>811786.48521701247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6">SUM(D57:H57)</f>
        <v>0</v>
      </c>
    </row>
    <row r="58" spans="2:10" x14ac:dyDescent="0.3">
      <c r="B58" s="17"/>
      <c r="C58" s="9" t="s">
        <v>21</v>
      </c>
      <c r="D58" s="55">
        <f>SUM(D56:D57)</f>
        <v>97530</v>
      </c>
      <c r="E58" s="55">
        <f t="shared" ref="E58:H58" si="7">SUM(E56:E57)</f>
        <v>215864.28750000001</v>
      </c>
      <c r="F58" s="55">
        <f t="shared" si="7"/>
        <v>215994.87862500004</v>
      </c>
      <c r="G58" s="55">
        <f t="shared" si="7"/>
        <v>216129.38748375</v>
      </c>
      <c r="H58" s="55">
        <f t="shared" si="7"/>
        <v>66267.931608262516</v>
      </c>
      <c r="I58" s="51"/>
      <c r="J58" s="55">
        <f>SUM(J56:J57)</f>
        <v>811786.48521701247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1072830</v>
      </c>
      <c r="E60" s="57">
        <f t="shared" ref="E60:J60" si="8">SUM(E58,E53)</f>
        <v>2374507.1625000001</v>
      </c>
      <c r="F60" s="57">
        <f t="shared" si="8"/>
        <v>2375943.6648750002</v>
      </c>
      <c r="G60" s="57">
        <f t="shared" si="8"/>
        <v>2377423.26232125</v>
      </c>
      <c r="H60" s="57">
        <f t="shared" si="8"/>
        <v>728947.24769088754</v>
      </c>
      <c r="I60" s="51"/>
      <c r="J60" s="57">
        <f t="shared" si="8"/>
        <v>8929651.3373871371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45A4E-5C07-42DD-8C5F-B8A67EDBE014}">
  <sheetPr>
    <tabColor theme="9" tint="0.39997558519241921"/>
    <pageSetUpPr fitToPage="1"/>
  </sheetPr>
  <dimension ref="B2:AM75"/>
  <sheetViews>
    <sheetView showGridLines="0" zoomScale="85" zoomScaleNormal="85" workbookViewId="0">
      <selection activeCell="C19" sqref="C19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99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69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69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69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69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69"/>
      <c r="J37" s="70">
        <f t="shared" si="4"/>
        <v>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69"/>
      <c r="J38" s="70">
        <f t="shared" si="4"/>
        <v>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69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69"/>
      <c r="J40" s="70">
        <f t="shared" si="4"/>
        <v>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69"/>
      <c r="J41" s="70">
        <f t="shared" si="4"/>
        <v>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69"/>
      <c r="J42" s="70">
        <f t="shared" si="4"/>
        <v>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69"/>
      <c r="J43" s="70">
        <f t="shared" si="4"/>
        <v>0</v>
      </c>
    </row>
    <row r="44" spans="2:10" x14ac:dyDescent="0.3">
      <c r="B44" s="16"/>
      <c r="C44" s="46" t="s">
        <v>86</v>
      </c>
      <c r="D44" s="58">
        <v>750000</v>
      </c>
      <c r="E44" s="58">
        <v>750000</v>
      </c>
      <c r="F44" s="58">
        <v>300000</v>
      </c>
      <c r="G44" s="58">
        <v>300000</v>
      </c>
      <c r="H44" s="58">
        <v>300000</v>
      </c>
      <c r="I44" s="50"/>
      <c r="J44" s="54">
        <f t="shared" si="4"/>
        <v>2400000</v>
      </c>
    </row>
    <row r="45" spans="2:10" x14ac:dyDescent="0.3">
      <c r="B45" s="16"/>
      <c r="C45" s="46" t="s">
        <v>85</v>
      </c>
      <c r="D45" s="58"/>
      <c r="E45" s="58">
        <v>600000</v>
      </c>
      <c r="F45" s="58">
        <v>600000</v>
      </c>
      <c r="G45" s="58">
        <v>600000</v>
      </c>
      <c r="H45" s="58">
        <v>600000</v>
      </c>
      <c r="I45" s="50"/>
      <c r="J45" s="54">
        <f t="shared" si="4"/>
        <v>2400000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73"/>
      <c r="J46" s="7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73"/>
      <c r="J47" s="7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9"/>
      <c r="J48" s="7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1176000</v>
      </c>
      <c r="E49" s="55">
        <f t="shared" ref="E49:H49" si="5">SUM(E33:E48)</f>
        <v>1963500</v>
      </c>
      <c r="F49" s="55">
        <f t="shared" si="5"/>
        <v>1513500</v>
      </c>
      <c r="G49" s="55">
        <f t="shared" si="5"/>
        <v>1513500</v>
      </c>
      <c r="H49" s="55">
        <f t="shared" si="5"/>
        <v>1513500</v>
      </c>
      <c r="I49" s="51"/>
      <c r="J49" s="55">
        <f>SUM(J33:J48)</f>
        <v>7680000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1225300</v>
      </c>
      <c r="E53" s="55">
        <f>SUM(E52,E49,E31,E24,E21,E14,E11)</f>
        <v>2008642.875</v>
      </c>
      <c r="F53" s="55">
        <f>SUM(F52,F49,F31,F24,F21,F14,F11)</f>
        <v>1559948.7862499999</v>
      </c>
      <c r="G53" s="55">
        <f>SUM(G52,G49,G31,G24,G21,G14,G11)</f>
        <v>1561293.8748375</v>
      </c>
      <c r="H53" s="55">
        <f>SUM(H52,H49,H31,H24,H21,H14,H11)</f>
        <v>1562679.316082625</v>
      </c>
      <c r="I53" s="51"/>
      <c r="J53" s="55">
        <f t="shared" si="4"/>
        <v>7917864.8521701247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122530</v>
      </c>
      <c r="E56" s="58">
        <f>+E53*0.1</f>
        <v>200864.28750000001</v>
      </c>
      <c r="F56" s="58">
        <f>+F53*0.1</f>
        <v>155994.87862499998</v>
      </c>
      <c r="G56" s="58">
        <f>+G53*0.1</f>
        <v>156129.38748375</v>
      </c>
      <c r="H56" s="58">
        <f>+H53*0.1</f>
        <v>156267.9316082625</v>
      </c>
      <c r="I56" s="51"/>
      <c r="J56" s="54">
        <f>SUM(D56:H56)</f>
        <v>791786.48521701247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6">SUM(D57:H57)</f>
        <v>0</v>
      </c>
    </row>
    <row r="58" spans="2:10" x14ac:dyDescent="0.3">
      <c r="B58" s="17"/>
      <c r="C58" s="9" t="s">
        <v>21</v>
      </c>
      <c r="D58" s="55">
        <f>SUM(D56:D57)</f>
        <v>122530</v>
      </c>
      <c r="E58" s="55">
        <f t="shared" ref="E58:H58" si="7">SUM(E56:E57)</f>
        <v>200864.28750000001</v>
      </c>
      <c r="F58" s="55">
        <f t="shared" si="7"/>
        <v>155994.87862499998</v>
      </c>
      <c r="G58" s="55">
        <f t="shared" si="7"/>
        <v>156129.38748375</v>
      </c>
      <c r="H58" s="55">
        <f t="shared" si="7"/>
        <v>156267.9316082625</v>
      </c>
      <c r="I58" s="51"/>
      <c r="J58" s="55">
        <f>SUM(J56:J57)</f>
        <v>791786.48521701247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1347830</v>
      </c>
      <c r="E60" s="57">
        <f t="shared" ref="E60:J60" si="8">SUM(E58,E53)</f>
        <v>2209507.1625000001</v>
      </c>
      <c r="F60" s="57">
        <f t="shared" si="8"/>
        <v>1715943.6648749998</v>
      </c>
      <c r="G60" s="57">
        <f t="shared" si="8"/>
        <v>1717423.26232125</v>
      </c>
      <c r="H60" s="57">
        <f t="shared" si="8"/>
        <v>1718947.2476908874</v>
      </c>
      <c r="I60" s="51"/>
      <c r="J60" s="57">
        <f t="shared" si="8"/>
        <v>8709651.3373871371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3"/>
  <sheetViews>
    <sheetView showGridLines="0" topLeftCell="A2" zoomScale="83" zoomScaleNormal="85" workbookViewId="0">
      <selection activeCell="C24" sqref="C24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8.44140625" customWidth="1"/>
    <col min="4" max="4" width="18" style="6" customWidth="1"/>
    <col min="5" max="5" width="14.33203125" style="2" customWidth="1"/>
    <col min="6" max="6" width="14" customWidth="1"/>
    <col min="7" max="7" width="14.33203125" customWidth="1"/>
    <col min="8" max="8" width="14.33203125" style="2" customWidth="1"/>
    <col min="9" max="9" width="3.5546875" style="7" customWidth="1"/>
    <col min="10" max="10" width="12.77734375" bestFit="1" customWidth="1"/>
    <col min="11" max="11" width="10.21875" customWidth="1"/>
  </cols>
  <sheetData>
    <row r="2" spans="2:39" ht="23.4" x14ac:dyDescent="0.45">
      <c r="B2" s="19" t="s">
        <v>0</v>
      </c>
    </row>
    <row r="3" spans="2:39" ht="26.55" customHeight="1" x14ac:dyDescent="0.3">
      <c r="B3" s="76" t="s">
        <v>1</v>
      </c>
      <c r="C3" s="76"/>
      <c r="D3" s="76"/>
      <c r="E3" s="76"/>
      <c r="F3" s="76"/>
      <c r="G3" s="76"/>
      <c r="H3" s="76"/>
      <c r="I3" s="76"/>
      <c r="J3" s="76"/>
    </row>
    <row r="4" spans="2:39" ht="15" customHeight="1" x14ac:dyDescent="0.3">
      <c r="B4" s="5"/>
    </row>
    <row r="5" spans="2:39" ht="18" x14ac:dyDescent="0.35">
      <c r="B5" s="31" t="s">
        <v>2</v>
      </c>
      <c r="C5" s="32"/>
      <c r="D5" s="32"/>
      <c r="E5" s="32"/>
      <c r="F5" s="32"/>
      <c r="G5" s="32"/>
      <c r="H5" s="32"/>
      <c r="I5" s="32"/>
      <c r="J5" s="43"/>
    </row>
    <row r="6" spans="2:39" ht="17.100000000000001" customHeight="1" x14ac:dyDescent="0.3">
      <c r="B6" s="33" t="s">
        <v>3</v>
      </c>
      <c r="C6" s="33" t="s">
        <v>4</v>
      </c>
      <c r="D6" s="33" t="s">
        <v>5</v>
      </c>
      <c r="E6" s="34" t="s">
        <v>6</v>
      </c>
      <c r="F6" s="34" t="s">
        <v>7</v>
      </c>
      <c r="G6" s="34" t="s">
        <v>8</v>
      </c>
      <c r="H6" s="35" t="s">
        <v>9</v>
      </c>
      <c r="I6" s="36"/>
      <c r="J6" s="44" t="s">
        <v>10</v>
      </c>
    </row>
    <row r="7" spans="2:39" s="5" customFormat="1" ht="14.4" x14ac:dyDescent="0.3">
      <c r="B7" s="15" t="s">
        <v>11</v>
      </c>
      <c r="C7" s="37" t="s">
        <v>12</v>
      </c>
      <c r="D7" s="63">
        <f>+'Combined Tabs'!D11</f>
        <v>241500</v>
      </c>
      <c r="E7" s="63">
        <f>+'Combined Tabs'!E11</f>
        <v>248745</v>
      </c>
      <c r="F7" s="63">
        <f>+'Combined Tabs'!F11</f>
        <v>256207.35</v>
      </c>
      <c r="G7" s="63">
        <f>+'Combined Tabs'!G11</f>
        <v>263893.57050000003</v>
      </c>
      <c r="H7" s="63">
        <f>+'Combined Tabs'!H11</f>
        <v>271810.377615</v>
      </c>
      <c r="I7" s="59"/>
      <c r="J7" s="63">
        <f>SUM(D7:I7)</f>
        <v>1282156.2981150001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16"/>
      <c r="C8" s="37" t="s">
        <v>13</v>
      </c>
      <c r="D8" s="63">
        <f>+'Combined Tabs'!D14</f>
        <v>96600</v>
      </c>
      <c r="E8" s="63">
        <f>+'Combined Tabs'!E14</f>
        <v>99498</v>
      </c>
      <c r="F8" s="63">
        <f>+'Combined Tabs'!F14</f>
        <v>102482.94</v>
      </c>
      <c r="G8" s="63">
        <f>+'Combined Tabs'!G14</f>
        <v>105557.42820000002</v>
      </c>
      <c r="H8" s="63">
        <f>+'Combined Tabs'!H14</f>
        <v>108724.15104600001</v>
      </c>
      <c r="I8" s="59"/>
      <c r="J8" s="63">
        <f t="shared" ref="J8:J16" si="0">SUM(D8:I8)</f>
        <v>512862.51924600004</v>
      </c>
    </row>
    <row r="9" spans="2:39" ht="14.4" x14ac:dyDescent="0.3">
      <c r="B9" s="16"/>
      <c r="C9" s="37" t="s">
        <v>14</v>
      </c>
      <c r="D9" s="63">
        <f>+'Combined Tabs'!D21</f>
        <v>12900</v>
      </c>
      <c r="E9" s="63">
        <f>+'Combined Tabs'!E21</f>
        <v>12900</v>
      </c>
      <c r="F9" s="63">
        <f>+'Combined Tabs'!F21</f>
        <v>12900</v>
      </c>
      <c r="G9" s="63">
        <f>+'Combined Tabs'!G21</f>
        <v>12900</v>
      </c>
      <c r="H9" s="63">
        <f>+'Combined Tabs'!H21</f>
        <v>12900</v>
      </c>
      <c r="I9" s="59"/>
      <c r="J9" s="63">
        <f t="shared" si="0"/>
        <v>64500</v>
      </c>
    </row>
    <row r="10" spans="2:39" ht="14.4" x14ac:dyDescent="0.3">
      <c r="B10" s="16"/>
      <c r="C10" s="37" t="s">
        <v>15</v>
      </c>
      <c r="D10" s="63">
        <f>+'Combined Tabs'!D24</f>
        <v>26000</v>
      </c>
      <c r="E10" s="63">
        <f>+'Combined Tabs'!E24</f>
        <v>0</v>
      </c>
      <c r="F10" s="63">
        <f>+'Combined Tabs'!F24</f>
        <v>0</v>
      </c>
      <c r="G10" s="63">
        <f>+'Combined Tabs'!G24</f>
        <v>0</v>
      </c>
      <c r="H10" s="63">
        <f>+'Combined Tabs'!H24</f>
        <v>0</v>
      </c>
      <c r="I10" s="59"/>
      <c r="J10" s="63">
        <f t="shared" si="0"/>
        <v>26000</v>
      </c>
    </row>
    <row r="11" spans="2:39" ht="14.4" x14ac:dyDescent="0.3">
      <c r="B11" s="16"/>
      <c r="C11" s="37" t="s">
        <v>16</v>
      </c>
      <c r="D11" s="63">
        <f>+'Combined Tabs'!D31</f>
        <v>17400</v>
      </c>
      <c r="E11" s="63">
        <f>+'Combined Tabs'!E31</f>
        <v>0</v>
      </c>
      <c r="F11" s="63">
        <f>+'Combined Tabs'!F31</f>
        <v>0</v>
      </c>
      <c r="G11" s="63">
        <f>+'Combined Tabs'!G31</f>
        <v>0</v>
      </c>
      <c r="H11" s="63">
        <f>+'Combined Tabs'!H31</f>
        <v>0</v>
      </c>
      <c r="I11" s="59"/>
      <c r="J11" s="63">
        <f t="shared" si="0"/>
        <v>17400</v>
      </c>
    </row>
    <row r="12" spans="2:39" ht="14.4" x14ac:dyDescent="0.3">
      <c r="B12" s="16"/>
      <c r="C12" s="37" t="s">
        <v>17</v>
      </c>
      <c r="D12" s="63">
        <f>+'Combined Tabs'!D49</f>
        <v>8958000</v>
      </c>
      <c r="E12" s="63">
        <f>+'Combined Tabs'!E49</f>
        <v>75970500</v>
      </c>
      <c r="F12" s="63">
        <f>+'Combined Tabs'!F49</f>
        <v>68020500</v>
      </c>
      <c r="G12" s="63">
        <f>+'Combined Tabs'!G49</f>
        <v>68020500</v>
      </c>
      <c r="H12" s="63">
        <f>+'Combined Tabs'!H49</f>
        <v>62520500</v>
      </c>
      <c r="I12" s="59"/>
      <c r="J12" s="63">
        <f t="shared" si="0"/>
        <v>283490000</v>
      </c>
    </row>
    <row r="13" spans="2:39" ht="14.4" x14ac:dyDescent="0.3">
      <c r="B13" s="16"/>
      <c r="C13" s="37" t="s">
        <v>18</v>
      </c>
      <c r="D13" s="63">
        <f>+'Combined Tabs'!D52</f>
        <v>0</v>
      </c>
      <c r="E13" s="63">
        <f>+'Combined Tabs'!E52</f>
        <v>0</v>
      </c>
      <c r="F13" s="63">
        <f>+'Combined Tabs'!F52</f>
        <v>0</v>
      </c>
      <c r="G13" s="63">
        <f>+'Combined Tabs'!G52</f>
        <v>0</v>
      </c>
      <c r="H13" s="63">
        <f>+'Combined Tabs'!H52</f>
        <v>0</v>
      </c>
      <c r="I13" s="59"/>
      <c r="J13" s="63">
        <f t="shared" si="0"/>
        <v>0</v>
      </c>
    </row>
    <row r="14" spans="2:39" ht="14.4" x14ac:dyDescent="0.3">
      <c r="B14" s="17"/>
      <c r="C14" s="9" t="s">
        <v>19</v>
      </c>
      <c r="D14" s="55">
        <f>D13+D12+D11+D10+D9+D8+D7</f>
        <v>9352400</v>
      </c>
      <c r="E14" s="55">
        <f>E13+E12+E11+E10+E9+E8+E7</f>
        <v>76331643</v>
      </c>
      <c r="F14" s="55">
        <f>F13+F12+F11+F10+F9+F8+F7</f>
        <v>68392090.289999992</v>
      </c>
      <c r="G14" s="55">
        <f>G13+G12+G11+G10+G9+G8+G7</f>
        <v>68402850.998700008</v>
      </c>
      <c r="H14" s="55">
        <f>H13+H12+H11+H10+H9+H8+H7</f>
        <v>62913934.528660998</v>
      </c>
      <c r="I14" s="51"/>
      <c r="J14" s="55">
        <f t="shared" si="0"/>
        <v>285392918.817361</v>
      </c>
    </row>
    <row r="15" spans="2:39" ht="14.4" x14ac:dyDescent="0.3">
      <c r="B15" s="42"/>
      <c r="D15" s="51"/>
      <c r="E15" s="51"/>
      <c r="F15" s="51"/>
      <c r="G15" s="51"/>
      <c r="H15" s="51"/>
      <c r="I15" s="51"/>
      <c r="J15" s="53" t="s">
        <v>20</v>
      </c>
    </row>
    <row r="16" spans="2:39" ht="20.100000000000001" customHeight="1" x14ac:dyDescent="0.3">
      <c r="B16" s="42"/>
      <c r="C16" s="9" t="s">
        <v>21</v>
      </c>
      <c r="D16" s="55">
        <f>+'Combined Tabs'!D58</f>
        <v>935240</v>
      </c>
      <c r="E16" s="55">
        <f>+'Combined Tabs'!E58</f>
        <v>7633164.3000000007</v>
      </c>
      <c r="F16" s="55">
        <f>+'Combined Tabs'!F58</f>
        <v>6839209.0289999992</v>
      </c>
      <c r="G16" s="55">
        <f>+'Combined Tabs'!G58</f>
        <v>6840285.099870001</v>
      </c>
      <c r="H16" s="55">
        <f>+'Combined Tabs'!H58</f>
        <v>6299182.4528660998</v>
      </c>
      <c r="I16" s="51"/>
      <c r="J16" s="55">
        <f t="shared" si="0"/>
        <v>28547080.8817361</v>
      </c>
    </row>
    <row r="17" spans="2:10" thickBot="1" x14ac:dyDescent="0.35">
      <c r="B17" s="42"/>
      <c r="D17" s="51"/>
      <c r="E17" s="51"/>
      <c r="F17" s="51"/>
      <c r="G17" s="51"/>
      <c r="H17" s="51"/>
      <c r="I17" s="51"/>
      <c r="J17" s="53" t="s">
        <v>20</v>
      </c>
    </row>
    <row r="18" spans="2:10" ht="31.05" customHeight="1" thickBot="1" x14ac:dyDescent="0.35">
      <c r="B18" s="41" t="s">
        <v>22</v>
      </c>
      <c r="C18" s="13"/>
      <c r="D18" s="60">
        <f>D14+D16</f>
        <v>10287640</v>
      </c>
      <c r="E18" s="60">
        <f>E14+E16</f>
        <v>83964807.299999997</v>
      </c>
      <c r="F18" s="60">
        <f>F14+F16</f>
        <v>75231299.318999991</v>
      </c>
      <c r="G18" s="60">
        <f>G14+G16</f>
        <v>75243136.098570004</v>
      </c>
      <c r="H18" s="60">
        <f>H14+H16</f>
        <v>69213116.98152709</v>
      </c>
      <c r="I18" s="61"/>
      <c r="J18" s="62">
        <f>J14+J16</f>
        <v>313939999.6990971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  <c r="J20" s="23"/>
    </row>
    <row r="21" spans="2:10" ht="15" customHeight="1" x14ac:dyDescent="0.35">
      <c r="B21" s="31" t="s">
        <v>23</v>
      </c>
      <c r="C21" s="32"/>
      <c r="D21" s="32"/>
      <c r="E21" s="78"/>
      <c r="F21" s="78"/>
      <c r="H21"/>
      <c r="I21"/>
    </row>
    <row r="22" spans="2:10" ht="29.1" customHeight="1" x14ac:dyDescent="0.3">
      <c r="B22" s="33" t="s">
        <v>24</v>
      </c>
      <c r="C22" s="33" t="s">
        <v>25</v>
      </c>
      <c r="D22" s="38" t="s">
        <v>26</v>
      </c>
      <c r="E22" s="79" t="s">
        <v>27</v>
      </c>
      <c r="F22" s="79"/>
      <c r="H22"/>
      <c r="I22"/>
    </row>
    <row r="23" spans="2:10" ht="15" customHeight="1" x14ac:dyDescent="0.3">
      <c r="B23" s="37">
        <v>1</v>
      </c>
      <c r="C23" s="64" t="s">
        <v>100</v>
      </c>
      <c r="D23" s="65">
        <f>+'M1 Clean Hydrogen'!J60</f>
        <v>113437440.33738714</v>
      </c>
      <c r="E23" s="77">
        <f t="shared" ref="E23:E30" si="1">D23/D$31</f>
        <v>0.36133477876700582</v>
      </c>
      <c r="F23" s="77"/>
      <c r="H23"/>
      <c r="I23"/>
    </row>
    <row r="24" spans="2:10" ht="15" customHeight="1" x14ac:dyDescent="0.3">
      <c r="B24" s="37">
        <v>2</v>
      </c>
      <c r="C24" s="63" t="s">
        <v>77</v>
      </c>
      <c r="D24" s="65">
        <f>+'M2 Industrial Decabonization'!J60</f>
        <v>55404651.337387137</v>
      </c>
      <c r="E24" s="77">
        <f t="shared" si="1"/>
        <v>0.17648165697423382</v>
      </c>
      <c r="F24" s="77"/>
      <c r="H24"/>
      <c r="I24"/>
    </row>
    <row r="25" spans="2:10" ht="15" customHeight="1" x14ac:dyDescent="0.3">
      <c r="B25" s="37">
        <v>3</v>
      </c>
      <c r="C25" s="63" t="s">
        <v>78</v>
      </c>
      <c r="D25" s="65">
        <f>+'M3 N2O Abatement'!J60</f>
        <v>16629651.337387135</v>
      </c>
      <c r="E25" s="77">
        <f t="shared" si="1"/>
        <v>5.2970794907709111E-2</v>
      </c>
      <c r="F25" s="77"/>
      <c r="H25"/>
      <c r="I25"/>
    </row>
    <row r="26" spans="2:10" ht="15" customHeight="1" x14ac:dyDescent="0.3">
      <c r="B26" s="37">
        <v>4</v>
      </c>
      <c r="C26" s="63" t="s">
        <v>79</v>
      </c>
      <c r="D26" s="65">
        <f>+'M4 Resilient Clean Ports'!J60</f>
        <v>81969651.337387145</v>
      </c>
      <c r="E26" s="77">
        <f t="shared" si="1"/>
        <v>0.26109973694321464</v>
      </c>
      <c r="F26" s="77"/>
      <c r="H26"/>
      <c r="I26"/>
    </row>
    <row r="27" spans="2:10" ht="15" customHeight="1" x14ac:dyDescent="0.3">
      <c r="B27" s="37">
        <v>5</v>
      </c>
      <c r="C27" s="63" t="s">
        <v>80</v>
      </c>
      <c r="D27" s="65">
        <f>+'M5 Port Buffer Zone'!J60</f>
        <v>21029651.337387137</v>
      </c>
      <c r="E27" s="77">
        <f t="shared" si="1"/>
        <v>6.6986211879797031E-2</v>
      </c>
      <c r="F27" s="77"/>
      <c r="H27"/>
      <c r="I27"/>
    </row>
    <row r="28" spans="2:10" ht="15" customHeight="1" x14ac:dyDescent="0.3">
      <c r="B28" s="37">
        <v>6</v>
      </c>
      <c r="C28" s="63" t="s">
        <v>81</v>
      </c>
      <c r="D28" s="65">
        <f>+'M6 Sustainable Agriculture'!J60</f>
        <v>7829651.3373871371</v>
      </c>
      <c r="E28" s="77">
        <f t="shared" si="1"/>
        <v>2.4939960963533295E-2</v>
      </c>
      <c r="F28" s="77"/>
      <c r="H28"/>
      <c r="I28"/>
    </row>
    <row r="29" spans="2:10" ht="15" customHeight="1" x14ac:dyDescent="0.3">
      <c r="B29" s="37">
        <v>7</v>
      </c>
      <c r="C29" s="63" t="s">
        <v>82</v>
      </c>
      <c r="D29" s="65">
        <f>+'M7 Clean Energy'!J60</f>
        <v>8929651.3373871371</v>
      </c>
      <c r="E29" s="77">
        <f t="shared" si="1"/>
        <v>2.844381520655527E-2</v>
      </c>
      <c r="F29" s="77"/>
      <c r="H29"/>
      <c r="I29"/>
    </row>
    <row r="30" spans="2:10" ht="15" customHeight="1" x14ac:dyDescent="0.3">
      <c r="B30" s="37">
        <v>8</v>
      </c>
      <c r="C30" s="63" t="s">
        <v>83</v>
      </c>
      <c r="D30" s="65">
        <f>+'M8 Nature Based Solutions'!J60</f>
        <v>8709651.3373871371</v>
      </c>
      <c r="E30" s="77">
        <f t="shared" si="1"/>
        <v>2.7743044357950875E-2</v>
      </c>
      <c r="F30" s="77"/>
      <c r="H30"/>
      <c r="I30"/>
    </row>
    <row r="31" spans="2:10" ht="15" customHeight="1" x14ac:dyDescent="0.3">
      <c r="B31" s="37" t="s">
        <v>28</v>
      </c>
      <c r="C31" s="63"/>
      <c r="D31" s="65">
        <f>SUM(D23:D30)</f>
        <v>313939999.69909716</v>
      </c>
      <c r="E31" s="77">
        <f t="shared" ref="E31" si="2">SUM(E23:E30)</f>
        <v>0.99999999999999978</v>
      </c>
      <c r="F31" s="77"/>
      <c r="H31"/>
      <c r="I31"/>
    </row>
    <row r="32" spans="2:10" ht="15" customHeight="1" x14ac:dyDescent="0.3">
      <c r="H32"/>
      <c r="I32"/>
    </row>
    <row r="33" spans="4:4" ht="15" customHeight="1" x14ac:dyDescent="0.3">
      <c r="D33" s="72"/>
    </row>
  </sheetData>
  <mergeCells count="12">
    <mergeCell ref="B3:J3"/>
    <mergeCell ref="E27:F27"/>
    <mergeCell ref="E30:F30"/>
    <mergeCell ref="E31:F31"/>
    <mergeCell ref="E21:F21"/>
    <mergeCell ref="E22:F22"/>
    <mergeCell ref="E23:F23"/>
    <mergeCell ref="E24:F24"/>
    <mergeCell ref="E25:F25"/>
    <mergeCell ref="E26:F26"/>
    <mergeCell ref="E28:F28"/>
    <mergeCell ref="E29:F29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5"/>
  <sheetViews>
    <sheetView showGridLines="0" tabSelected="1" topLeftCell="A2" zoomScale="85" zoomScaleNormal="85" workbookViewId="0">
      <selection activeCell="M20" sqref="M20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1.8867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ht="28.8" x14ac:dyDescent="0.3">
      <c r="B6" s="26" t="s">
        <v>3</v>
      </c>
      <c r="C6" s="26" t="s">
        <v>41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v>92500</v>
      </c>
      <c r="E8" s="49">
        <f t="shared" ref="E8:H10" si="0">+D8*1.03</f>
        <v>95275</v>
      </c>
      <c r="F8" s="49">
        <f t="shared" si="0"/>
        <v>98133.25</v>
      </c>
      <c r="G8" s="49">
        <f t="shared" si="0"/>
        <v>101077.2475</v>
      </c>
      <c r="H8" s="49">
        <f t="shared" si="0"/>
        <v>104109.564925</v>
      </c>
      <c r="I8" s="50"/>
      <c r="J8" s="54">
        <f>SUM(D8:H8)</f>
        <v>491095.06242500001</v>
      </c>
    </row>
    <row r="9" spans="2:39" x14ac:dyDescent="0.3">
      <c r="B9" s="16"/>
      <c r="C9" s="46" t="s">
        <v>59</v>
      </c>
      <c r="D9" s="49">
        <v>74000</v>
      </c>
      <c r="E9" s="49">
        <f t="shared" si="0"/>
        <v>76220</v>
      </c>
      <c r="F9" s="49">
        <f t="shared" si="0"/>
        <v>78506.600000000006</v>
      </c>
      <c r="G9" s="49">
        <f t="shared" si="0"/>
        <v>80861.79800000001</v>
      </c>
      <c r="H9" s="49">
        <f t="shared" si="0"/>
        <v>83287.651940000011</v>
      </c>
      <c r="I9" s="51"/>
      <c r="J9" s="54">
        <f>SUM(D9:H9)</f>
        <v>392876.04994000006</v>
      </c>
    </row>
    <row r="10" spans="2:39" x14ac:dyDescent="0.3">
      <c r="B10" s="16"/>
      <c r="C10" s="46" t="s">
        <v>60</v>
      </c>
      <c r="D10" s="49">
        <v>75000</v>
      </c>
      <c r="E10" s="49">
        <f t="shared" si="0"/>
        <v>77250</v>
      </c>
      <c r="F10" s="49">
        <f t="shared" si="0"/>
        <v>79567.5</v>
      </c>
      <c r="G10" s="49">
        <f t="shared" si="0"/>
        <v>81954.525000000009</v>
      </c>
      <c r="H10" s="49">
        <f t="shared" si="0"/>
        <v>84413.16075000001</v>
      </c>
      <c r="I10" s="51"/>
      <c r="J10" s="54">
        <f>SUM(D10:H10)</f>
        <v>398185.18575000006</v>
      </c>
    </row>
    <row r="11" spans="2:39" x14ac:dyDescent="0.3">
      <c r="B11" s="16"/>
      <c r="C11" s="9" t="s">
        <v>12</v>
      </c>
      <c r="D11" s="55">
        <f>SUM(D8:D10)</f>
        <v>241500</v>
      </c>
      <c r="E11" s="55">
        <f t="shared" ref="E11:J11" si="1">SUM(E8:E10)</f>
        <v>248745</v>
      </c>
      <c r="F11" s="55">
        <f t="shared" si="1"/>
        <v>256207.35</v>
      </c>
      <c r="G11" s="55">
        <f t="shared" si="1"/>
        <v>263893.57050000003</v>
      </c>
      <c r="H11" s="55">
        <f t="shared" si="1"/>
        <v>271810.377615</v>
      </c>
      <c r="I11" s="51"/>
      <c r="J11" s="55">
        <f t="shared" si="1"/>
        <v>1282156.2981150001</v>
      </c>
      <c r="K11" s="23"/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96600</v>
      </c>
      <c r="E13" s="58">
        <f t="shared" si="2"/>
        <v>99498</v>
      </c>
      <c r="F13" s="58">
        <f t="shared" si="2"/>
        <v>102482.94</v>
      </c>
      <c r="G13" s="58">
        <f t="shared" si="2"/>
        <v>105557.42820000002</v>
      </c>
      <c r="H13" s="58">
        <f t="shared" si="2"/>
        <v>108724.15104600001</v>
      </c>
      <c r="I13" s="51"/>
      <c r="J13" s="54">
        <f>SUM(D13:H13)</f>
        <v>512862.51924600004</v>
      </c>
    </row>
    <row r="14" spans="2:39" x14ac:dyDescent="0.3">
      <c r="B14" s="16"/>
      <c r="C14" s="9" t="s">
        <v>13</v>
      </c>
      <c r="D14" s="55">
        <f>SUM(D13:D13)</f>
        <v>96600</v>
      </c>
      <c r="E14" s="55">
        <f>SUM(E13:E13)</f>
        <v>99498</v>
      </c>
      <c r="F14" s="55">
        <f>SUM(F13:F13)</f>
        <v>102482.94</v>
      </c>
      <c r="G14" s="55">
        <f>SUM(G13:G13)</f>
        <v>105557.42820000002</v>
      </c>
      <c r="H14" s="55">
        <f>SUM(H13:H13)</f>
        <v>108724.15104600001</v>
      </c>
      <c r="I14" s="51"/>
      <c r="J14" s="55">
        <f>SUM(J13:J13)</f>
        <v>512862.51924600004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 t="shared" ref="D17:H17" si="3">500*8</f>
        <v>4000</v>
      </c>
      <c r="E17" s="58">
        <f t="shared" si="3"/>
        <v>4000</v>
      </c>
      <c r="F17" s="58">
        <f t="shared" si="3"/>
        <v>4000</v>
      </c>
      <c r="G17" s="58">
        <f t="shared" si="3"/>
        <v>4000</v>
      </c>
      <c r="H17" s="58">
        <f t="shared" si="3"/>
        <v>4000</v>
      </c>
      <c r="I17" s="50"/>
      <c r="J17" s="54">
        <f>SUM(D17:H17)</f>
        <v>20000</v>
      </c>
    </row>
    <row r="18" spans="2:10" x14ac:dyDescent="0.3">
      <c r="B18" s="16"/>
      <c r="C18" s="46" t="s">
        <v>63</v>
      </c>
      <c r="D18" s="58">
        <f t="shared" ref="D18:H18" si="4">750*8</f>
        <v>6000</v>
      </c>
      <c r="E18" s="58">
        <f t="shared" si="4"/>
        <v>6000</v>
      </c>
      <c r="F18" s="58">
        <f t="shared" si="4"/>
        <v>6000</v>
      </c>
      <c r="G18" s="58">
        <f t="shared" si="4"/>
        <v>6000</v>
      </c>
      <c r="H18" s="58">
        <f t="shared" si="4"/>
        <v>6000</v>
      </c>
      <c r="I18" s="50"/>
      <c r="J18" s="54">
        <f t="shared" ref="J18:J20" si="5">SUM(D18:H18)</f>
        <v>30000</v>
      </c>
    </row>
    <row r="19" spans="2:10" x14ac:dyDescent="0.3">
      <c r="B19" s="16"/>
      <c r="C19" s="46" t="s">
        <v>64</v>
      </c>
      <c r="D19" s="58">
        <f t="shared" ref="D19:H19" si="6">SUM(75*3.5)*8</f>
        <v>2100</v>
      </c>
      <c r="E19" s="58">
        <f t="shared" si="6"/>
        <v>2100</v>
      </c>
      <c r="F19" s="58">
        <f t="shared" si="6"/>
        <v>2100</v>
      </c>
      <c r="G19" s="58">
        <f t="shared" si="6"/>
        <v>2100</v>
      </c>
      <c r="H19" s="58">
        <f t="shared" si="6"/>
        <v>2100</v>
      </c>
      <c r="I19" s="50"/>
      <c r="J19" s="54">
        <f t="shared" si="5"/>
        <v>10500</v>
      </c>
    </row>
    <row r="20" spans="2:10" x14ac:dyDescent="0.3">
      <c r="B20" s="16"/>
      <c r="C20" s="46" t="s">
        <v>57</v>
      </c>
      <c r="D20" s="58">
        <v>800</v>
      </c>
      <c r="E20" s="58">
        <v>800</v>
      </c>
      <c r="F20" s="58">
        <v>800</v>
      </c>
      <c r="G20" s="58">
        <v>800</v>
      </c>
      <c r="H20" s="58">
        <v>800</v>
      </c>
      <c r="I20" s="50"/>
      <c r="J20" s="54">
        <f t="shared" si="5"/>
        <v>4000</v>
      </c>
    </row>
    <row r="21" spans="2:10" x14ac:dyDescent="0.3">
      <c r="B21" s="16"/>
      <c r="C21" s="9" t="s">
        <v>14</v>
      </c>
      <c r="D21" s="55">
        <f>SUM(D17:D20)</f>
        <v>12900</v>
      </c>
      <c r="E21" s="55">
        <f>SUM(E17:E20)</f>
        <v>12900</v>
      </c>
      <c r="F21" s="55">
        <f>SUM(F17:F20)</f>
        <v>12900</v>
      </c>
      <c r="G21" s="55">
        <f>SUM(G17:G20)</f>
        <v>12900</v>
      </c>
      <c r="H21" s="55">
        <f>SUM(H17:H20)</f>
        <v>12900</v>
      </c>
      <c r="I21" s="51"/>
      <c r="J21" s="55">
        <f>SUM(J16:J20)</f>
        <v>64500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6500*4</f>
        <v>26000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26000</v>
      </c>
    </row>
    <row r="24" spans="2:10" x14ac:dyDescent="0.3">
      <c r="B24" s="16"/>
      <c r="C24" s="9" t="s">
        <v>15</v>
      </c>
      <c r="D24" s="56">
        <f>SUM(D23:D23)</f>
        <v>26000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26000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2500*3</f>
        <v>7500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7">SUM(D26:H26)</f>
        <v>7500</v>
      </c>
    </row>
    <row r="27" spans="2:10" x14ac:dyDescent="0.3">
      <c r="B27" s="16"/>
      <c r="C27" s="47" t="s">
        <v>67</v>
      </c>
      <c r="D27" s="58">
        <f t="shared" ref="D27:D28" si="8">1000*3</f>
        <v>3000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7"/>
        <v>3000</v>
      </c>
    </row>
    <row r="28" spans="2:10" x14ac:dyDescent="0.3">
      <c r="B28" s="16"/>
      <c r="C28" s="47" t="s">
        <v>68</v>
      </c>
      <c r="D28" s="58">
        <f t="shared" si="8"/>
        <v>3000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7"/>
        <v>3000</v>
      </c>
    </row>
    <row r="29" spans="2:10" x14ac:dyDescent="0.3">
      <c r="B29" s="16"/>
      <c r="C29" s="47" t="s">
        <v>69</v>
      </c>
      <c r="D29" s="58">
        <f>800*3</f>
        <v>2400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7"/>
        <v>2400</v>
      </c>
    </row>
    <row r="30" spans="2:10" x14ac:dyDescent="0.3">
      <c r="B30" s="16"/>
      <c r="C30" s="47" t="s">
        <v>70</v>
      </c>
      <c r="D30" s="58">
        <f>500*3</f>
        <v>1500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7"/>
        <v>1500</v>
      </c>
    </row>
    <row r="31" spans="2:10" x14ac:dyDescent="0.3">
      <c r="B31" s="16"/>
      <c r="C31" s="9" t="s">
        <v>16</v>
      </c>
      <c r="D31" s="55">
        <f>SUM(D26:D30)</f>
        <v>17400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17400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47" t="s">
        <v>89</v>
      </c>
      <c r="D33" s="58">
        <f>SUM(500000*4)+1300000</f>
        <v>3300000</v>
      </c>
      <c r="E33" s="58">
        <f>SUM(3750000*2)+1300000</f>
        <v>8800000</v>
      </c>
      <c r="F33" s="58">
        <v>1300000</v>
      </c>
      <c r="G33" s="58">
        <v>1300000</v>
      </c>
      <c r="H33" s="58">
        <v>1300000</v>
      </c>
      <c r="I33" s="50"/>
      <c r="J33" s="54">
        <f t="shared" si="7"/>
        <v>16000000</v>
      </c>
    </row>
    <row r="34" spans="2:10" x14ac:dyDescent="0.3">
      <c r="B34" s="16"/>
      <c r="C34" s="46" t="s">
        <v>43</v>
      </c>
      <c r="D34" s="58"/>
      <c r="E34" s="58">
        <v>16000000</v>
      </c>
      <c r="F34" s="58">
        <v>16000000</v>
      </c>
      <c r="G34" s="58">
        <v>16000000</v>
      </c>
      <c r="H34" s="58">
        <v>16000000</v>
      </c>
      <c r="I34" s="50"/>
      <c r="J34" s="54">
        <f t="shared" si="7"/>
        <v>64000000</v>
      </c>
    </row>
    <row r="35" spans="2:10" x14ac:dyDescent="0.3">
      <c r="B35" s="16"/>
      <c r="C35" s="46" t="s">
        <v>44</v>
      </c>
      <c r="D35" s="58"/>
      <c r="E35" s="58">
        <f t="shared" ref="E35:H35" si="9">20000000/4</f>
        <v>5000000</v>
      </c>
      <c r="F35" s="58">
        <f t="shared" si="9"/>
        <v>5000000</v>
      </c>
      <c r="G35" s="58">
        <f t="shared" si="9"/>
        <v>5000000</v>
      </c>
      <c r="H35" s="58">
        <f t="shared" si="9"/>
        <v>5000000</v>
      </c>
      <c r="I35" s="50"/>
      <c r="J35" s="54">
        <f t="shared" si="7"/>
        <v>20000000</v>
      </c>
    </row>
    <row r="36" spans="2:10" x14ac:dyDescent="0.3">
      <c r="B36" s="16"/>
      <c r="C36" s="46" t="s">
        <v>90</v>
      </c>
      <c r="D36" s="58"/>
      <c r="E36" s="58">
        <f t="shared" ref="E36:F36" si="10">SUM(3000000*7)/4</f>
        <v>5250000</v>
      </c>
      <c r="F36" s="58">
        <f t="shared" si="10"/>
        <v>5250000</v>
      </c>
      <c r="G36" s="58">
        <f t="shared" ref="G36:H36" si="11">21000000/4</f>
        <v>5250000</v>
      </c>
      <c r="H36" s="58">
        <f t="shared" si="11"/>
        <v>5250000</v>
      </c>
      <c r="I36" s="50"/>
      <c r="J36" s="54">
        <f t="shared" si="7"/>
        <v>21000000</v>
      </c>
    </row>
    <row r="37" spans="2:10" x14ac:dyDescent="0.3">
      <c r="B37" s="16"/>
      <c r="C37" s="46" t="s">
        <v>46</v>
      </c>
      <c r="D37" s="58"/>
      <c r="E37" s="58">
        <f t="shared" ref="E37:H37" si="12">SUM(3750000*7)/4</f>
        <v>6562500</v>
      </c>
      <c r="F37" s="58">
        <f t="shared" si="12"/>
        <v>6562500</v>
      </c>
      <c r="G37" s="58">
        <f t="shared" si="12"/>
        <v>6562500</v>
      </c>
      <c r="H37" s="58">
        <f t="shared" si="12"/>
        <v>6562500</v>
      </c>
      <c r="I37" s="50"/>
      <c r="J37" s="54">
        <f t="shared" si="7"/>
        <v>26250000</v>
      </c>
    </row>
    <row r="38" spans="2:10" x14ac:dyDescent="0.3">
      <c r="B38" s="16"/>
      <c r="C38" s="47" t="s">
        <v>47</v>
      </c>
      <c r="D38" s="58"/>
      <c r="E38" s="58">
        <v>4000000</v>
      </c>
      <c r="F38" s="58">
        <v>4000000</v>
      </c>
      <c r="G38" s="58">
        <v>4000000</v>
      </c>
      <c r="H38" s="58"/>
      <c r="I38" s="50"/>
      <c r="J38" s="54">
        <f t="shared" si="7"/>
        <v>12000000</v>
      </c>
    </row>
    <row r="39" spans="2:10" x14ac:dyDescent="0.3">
      <c r="B39" s="16"/>
      <c r="C39" s="46" t="s">
        <v>48</v>
      </c>
      <c r="D39" s="58">
        <v>500000</v>
      </c>
      <c r="E39" s="58">
        <f t="shared" ref="E39:H39" si="13">SUM(1000000*32)/4</f>
        <v>8000000</v>
      </c>
      <c r="F39" s="58">
        <f t="shared" si="13"/>
        <v>8000000</v>
      </c>
      <c r="G39" s="58">
        <f t="shared" si="13"/>
        <v>8000000</v>
      </c>
      <c r="H39" s="58">
        <f t="shared" si="13"/>
        <v>8000000</v>
      </c>
      <c r="I39" s="50"/>
      <c r="J39" s="54">
        <f t="shared" si="7"/>
        <v>32500000</v>
      </c>
    </row>
    <row r="40" spans="2:10" x14ac:dyDescent="0.3">
      <c r="B40" s="16"/>
      <c r="C40" s="46" t="s">
        <v>49</v>
      </c>
      <c r="D40" s="58">
        <v>500000</v>
      </c>
      <c r="E40" s="58">
        <f t="shared" ref="E40:H40" si="14">SUM(1200000*32)/4</f>
        <v>9600000</v>
      </c>
      <c r="F40" s="58">
        <f t="shared" si="14"/>
        <v>9600000</v>
      </c>
      <c r="G40" s="58">
        <f t="shared" si="14"/>
        <v>9600000</v>
      </c>
      <c r="H40" s="58">
        <f t="shared" si="14"/>
        <v>9600000</v>
      </c>
      <c r="I40" s="50"/>
      <c r="J40" s="54">
        <f t="shared" si="7"/>
        <v>38900000</v>
      </c>
    </row>
    <row r="41" spans="2:10" x14ac:dyDescent="0.3">
      <c r="B41" s="16"/>
      <c r="C41" s="46" t="s">
        <v>50</v>
      </c>
      <c r="D41" s="58"/>
      <c r="E41" s="58">
        <f t="shared" ref="E41:H41" si="15">SUM(500000*32)/4</f>
        <v>4000000</v>
      </c>
      <c r="F41" s="58">
        <f t="shared" si="15"/>
        <v>4000000</v>
      </c>
      <c r="G41" s="58">
        <f t="shared" si="15"/>
        <v>4000000</v>
      </c>
      <c r="H41" s="58">
        <f t="shared" si="15"/>
        <v>4000000</v>
      </c>
      <c r="I41" s="50"/>
      <c r="J41" s="54">
        <f t="shared" si="7"/>
        <v>16000000</v>
      </c>
    </row>
    <row r="42" spans="2:10" x14ac:dyDescent="0.3">
      <c r="B42" s="16"/>
      <c r="C42" s="46" t="s">
        <v>91</v>
      </c>
      <c r="D42" s="58"/>
      <c r="E42" s="58">
        <v>1000000</v>
      </c>
      <c r="F42" s="58">
        <v>1000000</v>
      </c>
      <c r="G42" s="58">
        <v>1000000</v>
      </c>
      <c r="H42" s="58">
        <v>1000000</v>
      </c>
      <c r="I42" s="50"/>
      <c r="J42" s="54">
        <f t="shared" si="7"/>
        <v>4000000</v>
      </c>
    </row>
    <row r="43" spans="2:10" x14ac:dyDescent="0.3">
      <c r="B43" s="16"/>
      <c r="C43" s="46" t="s">
        <v>87</v>
      </c>
      <c r="D43" s="58">
        <v>500000</v>
      </c>
      <c r="E43" s="58">
        <v>1500000</v>
      </c>
      <c r="F43" s="58">
        <v>1500000</v>
      </c>
      <c r="G43" s="58">
        <v>1500000</v>
      </c>
      <c r="H43" s="58"/>
      <c r="I43" s="50"/>
      <c r="J43" s="54">
        <f t="shared" si="7"/>
        <v>5000000</v>
      </c>
    </row>
    <row r="44" spans="2:10" x14ac:dyDescent="0.3">
      <c r="B44" s="16"/>
      <c r="C44" s="46" t="s">
        <v>84</v>
      </c>
      <c r="D44" s="58">
        <v>750000</v>
      </c>
      <c r="E44" s="58">
        <v>750000</v>
      </c>
      <c r="F44" s="58">
        <v>300000</v>
      </c>
      <c r="G44" s="58">
        <v>300000</v>
      </c>
      <c r="H44" s="58">
        <v>300000</v>
      </c>
      <c r="I44" s="50"/>
      <c r="J44" s="54">
        <f t="shared" si="7"/>
        <v>2400000</v>
      </c>
    </row>
    <row r="45" spans="2:10" x14ac:dyDescent="0.3">
      <c r="B45" s="16"/>
      <c r="C45" s="46" t="s">
        <v>85</v>
      </c>
      <c r="D45" s="58"/>
      <c r="E45" s="58">
        <v>600000</v>
      </c>
      <c r="F45" s="58">
        <v>600000</v>
      </c>
      <c r="G45" s="58">
        <v>600000</v>
      </c>
      <c r="H45" s="58">
        <v>600000</v>
      </c>
      <c r="I45" s="50"/>
      <c r="J45" s="54">
        <f t="shared" si="7"/>
        <v>2400000</v>
      </c>
    </row>
    <row r="46" spans="2:10" x14ac:dyDescent="0.3">
      <c r="B46" s="16"/>
      <c r="C46" s="46" t="s">
        <v>51</v>
      </c>
      <c r="D46" s="58">
        <v>1500000</v>
      </c>
      <c r="E46" s="58">
        <v>3000000</v>
      </c>
      <c r="F46" s="58">
        <v>3000000</v>
      </c>
      <c r="G46" s="58">
        <v>3000000</v>
      </c>
      <c r="H46" s="58">
        <v>3000000</v>
      </c>
      <c r="I46" s="50"/>
      <c r="J46" s="54">
        <f t="shared" si="7"/>
        <v>13500000</v>
      </c>
    </row>
    <row r="47" spans="2:10" x14ac:dyDescent="0.3">
      <c r="B47" s="16"/>
      <c r="C47" s="46" t="s">
        <v>52</v>
      </c>
      <c r="D47" s="58">
        <f t="shared" ref="D47:H47" si="16">SUM(68*2*3000)</f>
        <v>408000</v>
      </c>
      <c r="E47" s="58">
        <f t="shared" si="16"/>
        <v>408000</v>
      </c>
      <c r="F47" s="58">
        <f t="shared" si="16"/>
        <v>408000</v>
      </c>
      <c r="G47" s="58">
        <f t="shared" si="16"/>
        <v>408000</v>
      </c>
      <c r="H47" s="58">
        <f t="shared" si="16"/>
        <v>408000</v>
      </c>
      <c r="I47" s="50"/>
      <c r="J47" s="54">
        <f t="shared" si="7"/>
        <v>2040000</v>
      </c>
    </row>
    <row r="48" spans="2:10" x14ac:dyDescent="0.3">
      <c r="B48" s="16"/>
      <c r="C48" s="47" t="s">
        <v>53</v>
      </c>
      <c r="D48" s="58">
        <v>1500000</v>
      </c>
      <c r="E48" s="58">
        <v>1500000</v>
      </c>
      <c r="F48" s="58">
        <v>1500000</v>
      </c>
      <c r="G48" s="58">
        <v>1500000</v>
      </c>
      <c r="H48" s="58">
        <v>1500000</v>
      </c>
      <c r="I48" s="51"/>
      <c r="J48" s="54">
        <f t="shared" si="7"/>
        <v>7500000</v>
      </c>
    </row>
    <row r="49" spans="2:10" x14ac:dyDescent="0.3">
      <c r="B49" s="16"/>
      <c r="C49" s="9" t="s">
        <v>17</v>
      </c>
      <c r="D49" s="55">
        <f>SUM(D33:D48)</f>
        <v>8958000</v>
      </c>
      <c r="E49" s="55">
        <f t="shared" ref="E49:H49" si="17">SUM(E33:E48)</f>
        <v>75970500</v>
      </c>
      <c r="F49" s="55">
        <f t="shared" si="17"/>
        <v>68020500</v>
      </c>
      <c r="G49" s="55">
        <f t="shared" si="17"/>
        <v>68020500</v>
      </c>
      <c r="H49" s="55">
        <f t="shared" si="17"/>
        <v>62520500</v>
      </c>
      <c r="I49" s="51"/>
      <c r="J49" s="55">
        <f>SUM(J33:J48)</f>
        <v>283490000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7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9352400</v>
      </c>
      <c r="E53" s="55">
        <f>SUM(E52,E49,E31,E24,E21,E14,E11)</f>
        <v>76331643</v>
      </c>
      <c r="F53" s="55">
        <f>SUM(F52,F49,F31,F24,F21,F14,F11)</f>
        <v>68392090.289999992</v>
      </c>
      <c r="G53" s="55">
        <f>SUM(G52,G49,G31,G24,G21,G14,G11)</f>
        <v>68402850.998700008</v>
      </c>
      <c r="H53" s="55">
        <f>SUM(H52,H49,H31,H24,H21,H14,H11)</f>
        <v>62913934.528660998</v>
      </c>
      <c r="I53" s="51"/>
      <c r="J53" s="55">
        <f t="shared" si="7"/>
        <v>285392918.817361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935240</v>
      </c>
      <c r="E56" s="58">
        <f>+E53*0.1</f>
        <v>7633164.3000000007</v>
      </c>
      <c r="F56" s="58">
        <f>+F53*0.1</f>
        <v>6839209.0289999992</v>
      </c>
      <c r="G56" s="58">
        <f>+G53*0.1</f>
        <v>6840285.099870001</v>
      </c>
      <c r="H56" s="58">
        <f>+H53*0.1</f>
        <v>6291393.4528660998</v>
      </c>
      <c r="I56" s="51"/>
      <c r="J56" s="54">
        <f>SUM(D56:H56)</f>
        <v>28539291.8817361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7789</v>
      </c>
      <c r="I57" s="51"/>
      <c r="J57" s="54">
        <f t="shared" ref="J57" si="18">SUM(D57:H57)</f>
        <v>7789</v>
      </c>
    </row>
    <row r="58" spans="2:10" x14ac:dyDescent="0.3">
      <c r="B58" s="17"/>
      <c r="C58" s="9" t="s">
        <v>21</v>
      </c>
      <c r="D58" s="55">
        <f>SUM(D56:D57)</f>
        <v>935240</v>
      </c>
      <c r="E58" s="55">
        <f t="shared" ref="E58:H58" si="19">SUM(E56:E57)</f>
        <v>7633164.3000000007</v>
      </c>
      <c r="F58" s="55">
        <f t="shared" si="19"/>
        <v>6839209.0289999992</v>
      </c>
      <c r="G58" s="55">
        <f t="shared" si="19"/>
        <v>6840285.099870001</v>
      </c>
      <c r="H58" s="55">
        <f t="shared" si="19"/>
        <v>6299182.4528660998</v>
      </c>
      <c r="I58" s="51"/>
      <c r="J58" s="55">
        <f>SUM(J56:J57)</f>
        <v>28547080.8817361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10287640</v>
      </c>
      <c r="E60" s="57">
        <f t="shared" ref="E60:J60" si="20">SUM(E58,E53)</f>
        <v>83964807.299999997</v>
      </c>
      <c r="F60" s="57">
        <f t="shared" si="20"/>
        <v>75231299.318999991</v>
      </c>
      <c r="G60" s="57">
        <f t="shared" si="20"/>
        <v>75243136.098570004</v>
      </c>
      <c r="H60" s="57">
        <f t="shared" si="20"/>
        <v>69213116.98152709</v>
      </c>
      <c r="I60" s="51"/>
      <c r="J60" s="57">
        <f t="shared" si="20"/>
        <v>313939999.6990971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  <ignoredErrors>
    <ignoredError sqref="J17:J20 J26 J47 J8 J33:J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57FA4-AA44-4903-AD9C-E0A6EE543570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3.88671875" bestFit="1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92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47" t="s">
        <v>42</v>
      </c>
      <c r="D33" s="58">
        <f>SUM(500000*4)+1300000</f>
        <v>3300000</v>
      </c>
      <c r="E33" s="58">
        <f>SUM(3750000*2)+1300000</f>
        <v>8800000</v>
      </c>
      <c r="F33" s="58">
        <v>1300000</v>
      </c>
      <c r="G33" s="58">
        <v>1300000</v>
      </c>
      <c r="H33" s="58">
        <v>1300000</v>
      </c>
      <c r="I33" s="50"/>
      <c r="J33" s="54">
        <f t="shared" si="4"/>
        <v>16000000</v>
      </c>
    </row>
    <row r="34" spans="2:10" x14ac:dyDescent="0.3">
      <c r="B34" s="16"/>
      <c r="C34" s="46" t="s">
        <v>43</v>
      </c>
      <c r="D34" s="58"/>
      <c r="E34" s="58">
        <v>16000000</v>
      </c>
      <c r="F34" s="58">
        <v>16000000</v>
      </c>
      <c r="G34" s="58">
        <v>16000000</v>
      </c>
      <c r="H34" s="58">
        <v>16000000</v>
      </c>
      <c r="I34" s="50"/>
      <c r="J34" s="54">
        <f t="shared" si="4"/>
        <v>64000000</v>
      </c>
    </row>
    <row r="35" spans="2:10" x14ac:dyDescent="0.3">
      <c r="B35" s="16"/>
      <c r="C35" s="46" t="s">
        <v>44</v>
      </c>
      <c r="D35" s="58"/>
      <c r="E35" s="58">
        <f t="shared" ref="E35:H35" si="5">20000000/4</f>
        <v>5000000</v>
      </c>
      <c r="F35" s="58">
        <f t="shared" si="5"/>
        <v>5000000</v>
      </c>
      <c r="G35" s="58">
        <f t="shared" si="5"/>
        <v>5000000</v>
      </c>
      <c r="H35" s="58">
        <f t="shared" si="5"/>
        <v>5000000</v>
      </c>
      <c r="I35" s="50"/>
      <c r="J35" s="54">
        <f t="shared" si="4"/>
        <v>20000000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69"/>
      <c r="J36" s="70"/>
    </row>
    <row r="37" spans="2:10" x14ac:dyDescent="0.3">
      <c r="B37" s="16"/>
      <c r="C37" s="67"/>
      <c r="D37" s="68"/>
      <c r="E37" s="68"/>
      <c r="F37" s="68"/>
      <c r="G37" s="68"/>
      <c r="H37" s="68"/>
      <c r="I37" s="69"/>
      <c r="J37" s="70"/>
    </row>
    <row r="38" spans="2:10" x14ac:dyDescent="0.3">
      <c r="B38" s="16"/>
      <c r="C38" s="71"/>
      <c r="D38" s="68"/>
      <c r="E38" s="68"/>
      <c r="F38" s="68"/>
      <c r="G38" s="68"/>
      <c r="H38" s="68"/>
      <c r="I38" s="69"/>
      <c r="J38" s="70"/>
    </row>
    <row r="39" spans="2:10" x14ac:dyDescent="0.3">
      <c r="B39" s="16"/>
      <c r="C39" s="67"/>
      <c r="D39" s="68"/>
      <c r="E39" s="68"/>
      <c r="F39" s="68"/>
      <c r="G39" s="68"/>
      <c r="H39" s="68"/>
      <c r="I39" s="69"/>
      <c r="J39" s="70"/>
    </row>
    <row r="40" spans="2:10" x14ac:dyDescent="0.3">
      <c r="B40" s="16"/>
      <c r="C40" s="67"/>
      <c r="D40" s="68"/>
      <c r="E40" s="68"/>
      <c r="F40" s="68"/>
      <c r="G40" s="68"/>
      <c r="H40" s="68"/>
      <c r="I40" s="69"/>
      <c r="J40" s="70"/>
    </row>
    <row r="41" spans="2:10" x14ac:dyDescent="0.3">
      <c r="B41" s="16"/>
      <c r="C41" s="67"/>
      <c r="D41" s="68"/>
      <c r="E41" s="68"/>
      <c r="F41" s="68"/>
      <c r="G41" s="68"/>
      <c r="H41" s="68"/>
      <c r="I41" s="69"/>
      <c r="J41" s="70"/>
    </row>
    <row r="42" spans="2:10" x14ac:dyDescent="0.3">
      <c r="B42" s="16"/>
      <c r="C42" s="67"/>
      <c r="D42" s="68"/>
      <c r="E42" s="68"/>
      <c r="F42" s="68"/>
      <c r="G42" s="68"/>
      <c r="H42" s="68"/>
      <c r="I42" s="69"/>
      <c r="J42" s="70"/>
    </row>
    <row r="43" spans="2:10" x14ac:dyDescent="0.3">
      <c r="B43" s="16"/>
      <c r="C43" s="67"/>
      <c r="D43" s="68"/>
      <c r="E43" s="68"/>
      <c r="F43" s="68"/>
      <c r="G43" s="68"/>
      <c r="H43" s="68"/>
      <c r="I43" s="69"/>
      <c r="J43" s="70"/>
    </row>
    <row r="44" spans="2:10" x14ac:dyDescent="0.3">
      <c r="B44" s="16"/>
      <c r="C44" s="67"/>
      <c r="D44" s="68"/>
      <c r="E44" s="68"/>
      <c r="F44" s="68"/>
      <c r="G44" s="68"/>
      <c r="H44" s="68"/>
      <c r="I44" s="69"/>
      <c r="J44" s="70"/>
    </row>
    <row r="45" spans="2:10" x14ac:dyDescent="0.3">
      <c r="B45" s="16"/>
      <c r="C45" s="67"/>
      <c r="D45" s="68"/>
      <c r="E45" s="68"/>
      <c r="F45" s="68"/>
      <c r="G45" s="68"/>
      <c r="H45" s="68"/>
      <c r="I45" s="69"/>
      <c r="J45" s="70"/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1" x14ac:dyDescent="0.3">
      <c r="B49" s="16"/>
      <c r="C49" s="9" t="s">
        <v>17</v>
      </c>
      <c r="D49" s="55">
        <f>SUM(D33:D48)</f>
        <v>3726000</v>
      </c>
      <c r="E49" s="55">
        <f t="shared" ref="E49:H49" si="6">SUM(E33:E48)</f>
        <v>30413500</v>
      </c>
      <c r="F49" s="55">
        <f t="shared" si="6"/>
        <v>22913500</v>
      </c>
      <c r="G49" s="55">
        <f t="shared" si="6"/>
        <v>22913500</v>
      </c>
      <c r="H49" s="55">
        <f t="shared" si="6"/>
        <v>22913500</v>
      </c>
      <c r="I49" s="51"/>
      <c r="J49" s="55">
        <f>SUM(J33:J48)</f>
        <v>102880000</v>
      </c>
    </row>
    <row r="50" spans="2:11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1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1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1" x14ac:dyDescent="0.3">
      <c r="B53" s="17"/>
      <c r="C53" s="9" t="s">
        <v>19</v>
      </c>
      <c r="D53" s="55">
        <f>SUM(D52,D49,D31,D24,D21,D14,D11)</f>
        <v>3775300</v>
      </c>
      <c r="E53" s="55">
        <f>SUM(E52,E49,E31,E24,E21,E14,E11)</f>
        <v>30458642.875</v>
      </c>
      <c r="F53" s="55">
        <f>SUM(F52,F49,F31,F24,F21,F14,F11)</f>
        <v>22959948.786249999</v>
      </c>
      <c r="G53" s="55">
        <f>SUM(G52,G49,G31,G24,G21,G14,G11)</f>
        <v>22961293.874837499</v>
      </c>
      <c r="H53" s="55">
        <f>SUM(H52,H49,H31,H24,H21,H14,H11)</f>
        <v>22962679.316082627</v>
      </c>
      <c r="I53" s="51"/>
      <c r="J53" s="55">
        <f t="shared" si="4"/>
        <v>103117864.85217012</v>
      </c>
    </row>
    <row r="54" spans="2:11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1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1" x14ac:dyDescent="0.3">
      <c r="B56" s="16"/>
      <c r="C56" s="46" t="s">
        <v>56</v>
      </c>
      <c r="D56" s="58">
        <f>+D53*0.1</f>
        <v>377530</v>
      </c>
      <c r="E56" s="58">
        <f>+E53*0.1</f>
        <v>3045864.2875000001</v>
      </c>
      <c r="F56" s="58">
        <f>+F53*0.1</f>
        <v>2295994.8786249999</v>
      </c>
      <c r="G56" s="58">
        <f>+G53*0.1</f>
        <v>2296129.38748375</v>
      </c>
      <c r="H56" s="58">
        <f>+H53*0.1</f>
        <v>2296267.9316082629</v>
      </c>
      <c r="I56" s="51"/>
      <c r="J56" s="54">
        <f>SUM(D56:H56)</f>
        <v>10311786.485217012</v>
      </c>
      <c r="K56" s="75"/>
    </row>
    <row r="57" spans="2:11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7789</v>
      </c>
      <c r="I57" s="51"/>
      <c r="J57" s="54">
        <f t="shared" ref="J57" si="7">SUM(D57:H57)</f>
        <v>7789</v>
      </c>
    </row>
    <row r="58" spans="2:11" x14ac:dyDescent="0.3">
      <c r="B58" s="17"/>
      <c r="C58" s="9" t="s">
        <v>21</v>
      </c>
      <c r="D58" s="55">
        <f>SUM(D56:D57)</f>
        <v>377530</v>
      </c>
      <c r="E58" s="55">
        <f t="shared" ref="E58:H58" si="8">SUM(E56:E57)</f>
        <v>3045864.2875000001</v>
      </c>
      <c r="F58" s="55">
        <f t="shared" si="8"/>
        <v>2295994.8786249999</v>
      </c>
      <c r="G58" s="55">
        <f t="shared" si="8"/>
        <v>2296129.38748375</v>
      </c>
      <c r="H58" s="55">
        <f t="shared" si="8"/>
        <v>2304056.9316082629</v>
      </c>
      <c r="I58" s="51"/>
      <c r="J58" s="55">
        <f>SUM(J56:J57)</f>
        <v>10319575.485217012</v>
      </c>
    </row>
    <row r="59" spans="2:11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1" s="1" customFormat="1" ht="29.4" thickBot="1" x14ac:dyDescent="0.35">
      <c r="B60" s="13" t="s">
        <v>22</v>
      </c>
      <c r="C60" s="13"/>
      <c r="D60" s="57">
        <f>SUM(D58,D53)</f>
        <v>4152830</v>
      </c>
      <c r="E60" s="57">
        <f t="shared" ref="E60:J60" si="9">SUM(E58,E53)</f>
        <v>33504507.162500001</v>
      </c>
      <c r="F60" s="57">
        <f t="shared" si="9"/>
        <v>25255943.664875001</v>
      </c>
      <c r="G60" s="57">
        <f t="shared" si="9"/>
        <v>25257423.262321249</v>
      </c>
      <c r="H60" s="57">
        <f t="shared" si="9"/>
        <v>25266736.24769089</v>
      </c>
      <c r="I60" s="51"/>
      <c r="J60" s="57">
        <f t="shared" si="9"/>
        <v>113437440.33738714</v>
      </c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55692-BB7B-46FB-B7FF-22C983E41515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94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50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50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50"/>
      <c r="J35" s="70">
        <f t="shared" si="4"/>
        <v>0</v>
      </c>
    </row>
    <row r="36" spans="2:10" x14ac:dyDescent="0.3">
      <c r="B36" s="16"/>
      <c r="C36" s="46" t="s">
        <v>45</v>
      </c>
      <c r="D36" s="58"/>
      <c r="E36" s="58">
        <f t="shared" ref="E36:F36" si="5">SUM(3000000*7)/4</f>
        <v>5250000</v>
      </c>
      <c r="F36" s="58">
        <f t="shared" si="5"/>
        <v>5250000</v>
      </c>
      <c r="G36" s="58">
        <f t="shared" ref="G36:H36" si="6">21000000/4</f>
        <v>5250000</v>
      </c>
      <c r="H36" s="58">
        <f t="shared" si="6"/>
        <v>5250000</v>
      </c>
      <c r="I36" s="50"/>
      <c r="J36" s="54">
        <f t="shared" si="4"/>
        <v>21000000</v>
      </c>
    </row>
    <row r="37" spans="2:10" x14ac:dyDescent="0.3">
      <c r="B37" s="16"/>
      <c r="C37" s="46" t="s">
        <v>46</v>
      </c>
      <c r="D37" s="58"/>
      <c r="E37" s="58">
        <f t="shared" ref="E37:H37" si="7">SUM(3750000*7)/4</f>
        <v>6562500</v>
      </c>
      <c r="F37" s="58">
        <f t="shared" si="7"/>
        <v>6562500</v>
      </c>
      <c r="G37" s="58">
        <f t="shared" si="7"/>
        <v>6562500</v>
      </c>
      <c r="H37" s="58">
        <f t="shared" si="7"/>
        <v>6562500</v>
      </c>
      <c r="I37" s="50"/>
      <c r="J37" s="54">
        <f t="shared" si="4"/>
        <v>26250000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50"/>
      <c r="J38" s="70">
        <f t="shared" si="4"/>
        <v>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50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50"/>
      <c r="J40" s="70">
        <f t="shared" si="4"/>
        <v>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50"/>
      <c r="J41" s="70">
        <f t="shared" si="4"/>
        <v>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50"/>
      <c r="J42" s="70">
        <f t="shared" si="4"/>
        <v>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50"/>
      <c r="J43" s="70">
        <f t="shared" si="4"/>
        <v>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50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50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426000</v>
      </c>
      <c r="E49" s="55">
        <f t="shared" ref="E49:H49" si="8">SUM(E33:E48)</f>
        <v>12426000</v>
      </c>
      <c r="F49" s="55">
        <f t="shared" si="8"/>
        <v>12426000</v>
      </c>
      <c r="G49" s="55">
        <f t="shared" si="8"/>
        <v>12426000</v>
      </c>
      <c r="H49" s="55">
        <f t="shared" si="8"/>
        <v>12426000</v>
      </c>
      <c r="I49" s="51"/>
      <c r="J49" s="55">
        <f>SUM(J33:J48)</f>
        <v>50130000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475300</v>
      </c>
      <c r="E53" s="55">
        <f>SUM(E52,E49,E31,E24,E21,E14,E11)</f>
        <v>12471142.875</v>
      </c>
      <c r="F53" s="55">
        <f>SUM(F52,F49,F31,F24,F21,F14,F11)</f>
        <v>12472448.786249999</v>
      </c>
      <c r="G53" s="55">
        <f>SUM(G52,G49,G31,G24,G21,G14,G11)</f>
        <v>12473793.874837501</v>
      </c>
      <c r="H53" s="55">
        <f>SUM(H52,H49,H31,H24,H21,H14,H11)</f>
        <v>12475179.316082625</v>
      </c>
      <c r="I53" s="51"/>
      <c r="J53" s="55">
        <f t="shared" si="4"/>
        <v>50367864.852170125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47530</v>
      </c>
      <c r="E56" s="58">
        <f>+E53*0.1</f>
        <v>1247114.2875000001</v>
      </c>
      <c r="F56" s="58">
        <f>+F53*0.1</f>
        <v>1247244.8786249999</v>
      </c>
      <c r="G56" s="58">
        <f>+G53*0.1</f>
        <v>1247379.3874837502</v>
      </c>
      <c r="H56" s="58">
        <f>+H53*0.1</f>
        <v>1247517.9316082625</v>
      </c>
      <c r="I56" s="51"/>
      <c r="J56" s="54">
        <f>SUM(D56:H56)</f>
        <v>5036786.4852170125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9">SUM(D57:H57)</f>
        <v>0</v>
      </c>
    </row>
    <row r="58" spans="2:10" x14ac:dyDescent="0.3">
      <c r="B58" s="17"/>
      <c r="C58" s="9" t="s">
        <v>21</v>
      </c>
      <c r="D58" s="55">
        <f>SUM(D56:D57)</f>
        <v>47530</v>
      </c>
      <c r="E58" s="55">
        <f t="shared" ref="E58:H58" si="10">SUM(E56:E57)</f>
        <v>1247114.2875000001</v>
      </c>
      <c r="F58" s="55">
        <f t="shared" si="10"/>
        <v>1247244.8786249999</v>
      </c>
      <c r="G58" s="55">
        <f t="shared" si="10"/>
        <v>1247379.3874837502</v>
      </c>
      <c r="H58" s="55">
        <f t="shared" si="10"/>
        <v>1247517.9316082625</v>
      </c>
      <c r="I58" s="51"/>
      <c r="J58" s="55">
        <f>SUM(J56:J57)</f>
        <v>5036786.4852170125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522830</v>
      </c>
      <c r="E60" s="57">
        <f t="shared" ref="E60:J60" si="11">SUM(E58,E53)</f>
        <v>13718257.1625</v>
      </c>
      <c r="F60" s="57">
        <f t="shared" si="11"/>
        <v>13719693.664874999</v>
      </c>
      <c r="G60" s="57">
        <f t="shared" si="11"/>
        <v>13721173.262321251</v>
      </c>
      <c r="H60" s="57">
        <f t="shared" si="11"/>
        <v>13722697.247690886</v>
      </c>
      <c r="I60" s="51"/>
      <c r="J60" s="57">
        <f t="shared" si="11"/>
        <v>55404651.337387137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08AB-1C56-4426-AF13-FA882BE9BA29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93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69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69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69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69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69"/>
      <c r="J37" s="70">
        <f t="shared" si="4"/>
        <v>0</v>
      </c>
    </row>
    <row r="38" spans="2:10" x14ac:dyDescent="0.3">
      <c r="B38" s="16"/>
      <c r="C38" s="47" t="s">
        <v>47</v>
      </c>
      <c r="D38" s="58"/>
      <c r="E38" s="58">
        <v>4000000</v>
      </c>
      <c r="F38" s="58">
        <v>4000000</v>
      </c>
      <c r="G38" s="58">
        <v>4000000</v>
      </c>
      <c r="H38" s="58"/>
      <c r="I38" s="50"/>
      <c r="J38" s="54">
        <f t="shared" si="4"/>
        <v>12000000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69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69"/>
      <c r="J40" s="70">
        <f t="shared" si="4"/>
        <v>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69"/>
      <c r="J41" s="70">
        <f t="shared" si="4"/>
        <v>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69"/>
      <c r="J42" s="70">
        <f t="shared" si="4"/>
        <v>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69"/>
      <c r="J43" s="70">
        <f t="shared" si="4"/>
        <v>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69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69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426000</v>
      </c>
      <c r="E49" s="55">
        <f t="shared" ref="E49:H49" si="5">SUM(E33:E48)</f>
        <v>4613500</v>
      </c>
      <c r="F49" s="55">
        <f t="shared" si="5"/>
        <v>4613500</v>
      </c>
      <c r="G49" s="55">
        <f t="shared" si="5"/>
        <v>4613500</v>
      </c>
      <c r="H49" s="55">
        <f t="shared" si="5"/>
        <v>613500</v>
      </c>
      <c r="I49" s="51"/>
      <c r="J49" s="55">
        <f>SUM(J33:J48)</f>
        <v>14880000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475300</v>
      </c>
      <c r="E53" s="55">
        <f>SUM(E52,E49,E31,E24,E21,E14,E11)</f>
        <v>4658642.875</v>
      </c>
      <c r="F53" s="55">
        <f>SUM(F52,F49,F31,F24,F21,F14,F11)</f>
        <v>4659948.7862499999</v>
      </c>
      <c r="G53" s="55">
        <f>SUM(G52,G49,G31,G24,G21,G14,G11)</f>
        <v>4661293.8748375</v>
      </c>
      <c r="H53" s="55">
        <f>SUM(H52,H49,H31,H24,H21,H14,H11)</f>
        <v>662679.31608262507</v>
      </c>
      <c r="I53" s="51"/>
      <c r="J53" s="55">
        <f t="shared" si="4"/>
        <v>15117864.852170123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47530</v>
      </c>
      <c r="E56" s="58">
        <f>+E53*0.1</f>
        <v>465864.28750000003</v>
      </c>
      <c r="F56" s="58">
        <f>+F53*0.1</f>
        <v>465994.87862500001</v>
      </c>
      <c r="G56" s="58">
        <f>+G53*0.1</f>
        <v>466129.38748375</v>
      </c>
      <c r="H56" s="58">
        <f>+H53*0.1</f>
        <v>66267.931608262516</v>
      </c>
      <c r="I56" s="51"/>
      <c r="J56" s="54">
        <f>SUM(D56:H56)</f>
        <v>1511786.4852170125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6">SUM(D57:H57)</f>
        <v>0</v>
      </c>
    </row>
    <row r="58" spans="2:10" x14ac:dyDescent="0.3">
      <c r="B58" s="17"/>
      <c r="C58" s="9" t="s">
        <v>21</v>
      </c>
      <c r="D58" s="55">
        <f>SUM(D56:D57)</f>
        <v>47530</v>
      </c>
      <c r="E58" s="55">
        <f t="shared" ref="E58:H58" si="7">SUM(E56:E57)</f>
        <v>465864.28750000003</v>
      </c>
      <c r="F58" s="55">
        <f t="shared" si="7"/>
        <v>465994.87862500001</v>
      </c>
      <c r="G58" s="55">
        <f t="shared" si="7"/>
        <v>466129.38748375</v>
      </c>
      <c r="H58" s="55">
        <f t="shared" si="7"/>
        <v>66267.931608262516</v>
      </c>
      <c r="I58" s="51"/>
      <c r="J58" s="55">
        <f>SUM(J56:J57)</f>
        <v>1511786.4852170125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522830</v>
      </c>
      <c r="E60" s="57">
        <f t="shared" ref="E60:J60" si="8">SUM(E58,E53)</f>
        <v>5124507.1624999996</v>
      </c>
      <c r="F60" s="57">
        <f t="shared" si="8"/>
        <v>5125943.6648749998</v>
      </c>
      <c r="G60" s="57">
        <f t="shared" si="8"/>
        <v>5127423.2623212505</v>
      </c>
      <c r="H60" s="57">
        <f t="shared" si="8"/>
        <v>728947.24769088754</v>
      </c>
      <c r="I60" s="51"/>
      <c r="J60" s="57">
        <f t="shared" si="8"/>
        <v>16629651.337387135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576BF-8136-4E0F-A81C-05CA6B8F2E51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95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50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50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50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50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50"/>
      <c r="J37" s="70">
        <f t="shared" si="4"/>
        <v>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50"/>
      <c r="J38" s="70">
        <f t="shared" si="4"/>
        <v>0</v>
      </c>
    </row>
    <row r="39" spans="2:10" x14ac:dyDescent="0.3">
      <c r="B39" s="16"/>
      <c r="C39" s="46" t="s">
        <v>48</v>
      </c>
      <c r="D39" s="58">
        <v>500000</v>
      </c>
      <c r="E39" s="58">
        <f t="shared" ref="E39:H39" si="5">SUM(1000000*32)/4</f>
        <v>8000000</v>
      </c>
      <c r="F39" s="58">
        <f t="shared" si="5"/>
        <v>8000000</v>
      </c>
      <c r="G39" s="58">
        <f t="shared" si="5"/>
        <v>8000000</v>
      </c>
      <c r="H39" s="58">
        <f t="shared" si="5"/>
        <v>8000000</v>
      </c>
      <c r="I39" s="50"/>
      <c r="J39" s="54">
        <f t="shared" si="4"/>
        <v>32500000</v>
      </c>
    </row>
    <row r="40" spans="2:10" x14ac:dyDescent="0.3">
      <c r="B40" s="16"/>
      <c r="C40" s="46" t="s">
        <v>49</v>
      </c>
      <c r="D40" s="58">
        <v>500000</v>
      </c>
      <c r="E40" s="58">
        <f t="shared" ref="E40:H40" si="6">SUM(1200000*32)/4</f>
        <v>9600000</v>
      </c>
      <c r="F40" s="58">
        <f t="shared" si="6"/>
        <v>9600000</v>
      </c>
      <c r="G40" s="58">
        <f t="shared" si="6"/>
        <v>9600000</v>
      </c>
      <c r="H40" s="58">
        <f t="shared" si="6"/>
        <v>9600000</v>
      </c>
      <c r="I40" s="50"/>
      <c r="J40" s="54">
        <f t="shared" si="4"/>
        <v>38900000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50"/>
      <c r="J41" s="70">
        <f t="shared" si="4"/>
        <v>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50"/>
      <c r="J42" s="70">
        <f t="shared" si="4"/>
        <v>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50"/>
      <c r="J43" s="70">
        <f t="shared" si="4"/>
        <v>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50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50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1426000</v>
      </c>
      <c r="E49" s="55">
        <f t="shared" ref="E49:H49" si="7">SUM(E33:E48)</f>
        <v>18213500</v>
      </c>
      <c r="F49" s="55">
        <f t="shared" si="7"/>
        <v>18213500</v>
      </c>
      <c r="G49" s="55">
        <f t="shared" si="7"/>
        <v>18213500</v>
      </c>
      <c r="H49" s="55">
        <f t="shared" si="7"/>
        <v>18213500</v>
      </c>
      <c r="I49" s="51"/>
      <c r="J49" s="55">
        <f>SUM(J33:J48)</f>
        <v>74280000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1475300</v>
      </c>
      <c r="E53" s="55">
        <f>SUM(E52,E49,E31,E24,E21,E14,E11)</f>
        <v>18258642.875</v>
      </c>
      <c r="F53" s="55">
        <f>SUM(F52,F49,F31,F24,F21,F14,F11)</f>
        <v>18259948.786249999</v>
      </c>
      <c r="G53" s="55">
        <f>SUM(G52,G49,G31,G24,G21,G14,G11)</f>
        <v>18261293.874837499</v>
      </c>
      <c r="H53" s="55">
        <f>SUM(H52,H49,H31,H24,H21,H14,H11)</f>
        <v>18262679.316082627</v>
      </c>
      <c r="I53" s="51"/>
      <c r="J53" s="55">
        <f t="shared" si="4"/>
        <v>74517864.852170125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147530</v>
      </c>
      <c r="E56" s="58">
        <f>+E53*0.1</f>
        <v>1825864.2875000001</v>
      </c>
      <c r="F56" s="58">
        <f>+F53*0.1</f>
        <v>1825994.8786249999</v>
      </c>
      <c r="G56" s="58">
        <f>+G53*0.1</f>
        <v>1826129.38748375</v>
      </c>
      <c r="H56" s="58">
        <f>+H53*0.1</f>
        <v>1826267.9316082627</v>
      </c>
      <c r="I56" s="51"/>
      <c r="J56" s="54">
        <f>SUM(D56:H56)</f>
        <v>7451786.4852170125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8">SUM(D57:H57)</f>
        <v>0</v>
      </c>
    </row>
    <row r="58" spans="2:10" x14ac:dyDescent="0.3">
      <c r="B58" s="17"/>
      <c r="C58" s="9" t="s">
        <v>21</v>
      </c>
      <c r="D58" s="55">
        <f>SUM(D56:D57)</f>
        <v>147530</v>
      </c>
      <c r="E58" s="55">
        <f t="shared" ref="E58:H58" si="9">SUM(E56:E57)</f>
        <v>1825864.2875000001</v>
      </c>
      <c r="F58" s="55">
        <f t="shared" si="9"/>
        <v>1825994.8786249999</v>
      </c>
      <c r="G58" s="55">
        <f t="shared" si="9"/>
        <v>1826129.38748375</v>
      </c>
      <c r="H58" s="55">
        <f t="shared" si="9"/>
        <v>1826267.9316082627</v>
      </c>
      <c r="I58" s="51"/>
      <c r="J58" s="55">
        <f>SUM(J56:J57)</f>
        <v>7451786.4852170125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1622830</v>
      </c>
      <c r="E60" s="57">
        <f t="shared" ref="E60:J60" si="10">SUM(E58,E53)</f>
        <v>20084507.162500001</v>
      </c>
      <c r="F60" s="57">
        <f t="shared" si="10"/>
        <v>20085943.664875001</v>
      </c>
      <c r="G60" s="57">
        <f t="shared" si="10"/>
        <v>20087423.262321249</v>
      </c>
      <c r="H60" s="57">
        <f t="shared" si="10"/>
        <v>20088947.24769089</v>
      </c>
      <c r="I60" s="51"/>
      <c r="J60" s="57">
        <f t="shared" si="10"/>
        <v>81969651.337387145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AAB38-8612-4B52-84E7-CA1595B2556D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96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50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50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50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50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50"/>
      <c r="J37" s="70">
        <f t="shared" si="4"/>
        <v>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50"/>
      <c r="J38" s="70">
        <f t="shared" si="4"/>
        <v>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50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50"/>
      <c r="J40" s="70">
        <f t="shared" si="4"/>
        <v>0</v>
      </c>
    </row>
    <row r="41" spans="2:10" x14ac:dyDescent="0.3">
      <c r="B41" s="16"/>
      <c r="C41" s="46" t="s">
        <v>50</v>
      </c>
      <c r="D41" s="58"/>
      <c r="E41" s="58">
        <f t="shared" ref="E41:H41" si="5">SUM(500000*32)/4</f>
        <v>4000000</v>
      </c>
      <c r="F41" s="58">
        <f t="shared" si="5"/>
        <v>4000000</v>
      </c>
      <c r="G41" s="58">
        <f t="shared" si="5"/>
        <v>4000000</v>
      </c>
      <c r="H41" s="58">
        <f t="shared" si="5"/>
        <v>4000000</v>
      </c>
      <c r="I41" s="50"/>
      <c r="J41" s="54">
        <f t="shared" si="4"/>
        <v>16000000</v>
      </c>
    </row>
    <row r="42" spans="2:10" x14ac:dyDescent="0.3">
      <c r="B42" s="16"/>
      <c r="C42" s="67"/>
      <c r="D42" s="68"/>
      <c r="E42" s="68"/>
      <c r="F42" s="68"/>
      <c r="G42" s="68"/>
      <c r="H42" s="68"/>
      <c r="I42" s="50"/>
      <c r="J42" s="70">
        <f t="shared" si="4"/>
        <v>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50"/>
      <c r="J43" s="70">
        <f t="shared" si="4"/>
        <v>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50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50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426000</v>
      </c>
      <c r="E49" s="55">
        <f t="shared" ref="E49:H49" si="6">SUM(E33:E48)</f>
        <v>4613500</v>
      </c>
      <c r="F49" s="55">
        <f t="shared" si="6"/>
        <v>4613500</v>
      </c>
      <c r="G49" s="55">
        <f t="shared" si="6"/>
        <v>4613500</v>
      </c>
      <c r="H49" s="55">
        <f t="shared" si="6"/>
        <v>4613500</v>
      </c>
      <c r="I49" s="51"/>
      <c r="J49" s="55">
        <f>SUM(J33:J48)</f>
        <v>18880000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475300</v>
      </c>
      <c r="E53" s="55">
        <f>SUM(E52,E49,E31,E24,E21,E14,E11)</f>
        <v>4658642.875</v>
      </c>
      <c r="F53" s="55">
        <f>SUM(F52,F49,F31,F24,F21,F14,F11)</f>
        <v>4659948.7862499999</v>
      </c>
      <c r="G53" s="55">
        <f>SUM(G52,G49,G31,G24,G21,G14,G11)</f>
        <v>4661293.8748375</v>
      </c>
      <c r="H53" s="55">
        <f>SUM(H52,H49,H31,H24,H21,H14,H11)</f>
        <v>4662679.3160826247</v>
      </c>
      <c r="I53" s="51"/>
      <c r="J53" s="55">
        <f t="shared" si="4"/>
        <v>19117864.852170125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47530</v>
      </c>
      <c r="E56" s="58">
        <f>+E53*0.1</f>
        <v>465864.28750000003</v>
      </c>
      <c r="F56" s="58">
        <f>+F53*0.1</f>
        <v>465994.87862500001</v>
      </c>
      <c r="G56" s="58">
        <f>+G53*0.1</f>
        <v>466129.38748375</v>
      </c>
      <c r="H56" s="58">
        <f>+H53*0.1</f>
        <v>466267.93160826247</v>
      </c>
      <c r="I56" s="51"/>
      <c r="J56" s="54">
        <f>SUM(D56:H56)</f>
        <v>1911786.4852170125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7">SUM(D57:H57)</f>
        <v>0</v>
      </c>
    </row>
    <row r="58" spans="2:10" x14ac:dyDescent="0.3">
      <c r="B58" s="17"/>
      <c r="C58" s="9" t="s">
        <v>21</v>
      </c>
      <c r="D58" s="55">
        <f>SUM(D56:D57)</f>
        <v>47530</v>
      </c>
      <c r="E58" s="55">
        <f t="shared" ref="E58:H58" si="8">SUM(E56:E57)</f>
        <v>465864.28750000003</v>
      </c>
      <c r="F58" s="55">
        <f t="shared" si="8"/>
        <v>465994.87862500001</v>
      </c>
      <c r="G58" s="55">
        <f t="shared" si="8"/>
        <v>466129.38748375</v>
      </c>
      <c r="H58" s="55">
        <f t="shared" si="8"/>
        <v>466267.93160826247</v>
      </c>
      <c r="I58" s="51"/>
      <c r="J58" s="55">
        <f>SUM(J56:J57)</f>
        <v>1911786.4852170125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522830</v>
      </c>
      <c r="E60" s="57">
        <f t="shared" ref="E60:J60" si="9">SUM(E58,E53)</f>
        <v>5124507.1624999996</v>
      </c>
      <c r="F60" s="57">
        <f t="shared" si="9"/>
        <v>5125943.6648749998</v>
      </c>
      <c r="G60" s="57">
        <f t="shared" si="9"/>
        <v>5127423.2623212505</v>
      </c>
      <c r="H60" s="57">
        <f t="shared" si="9"/>
        <v>5128947.2476908872</v>
      </c>
      <c r="I60" s="51"/>
      <c r="J60" s="57">
        <f t="shared" si="9"/>
        <v>21029651.337387137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EB62A-6535-4547-8BF4-B25733395F95}">
  <sheetPr>
    <tabColor theme="9" tint="0.39997558519241921"/>
    <pageSetUpPr fitToPage="1"/>
  </sheetPr>
  <dimension ref="B2:AM75"/>
  <sheetViews>
    <sheetView showGridLines="0" zoomScale="85" zoomScaleNormal="85" workbookViewId="0">
      <selection activeCell="C7" sqref="C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110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19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33" customHeight="1" x14ac:dyDescent="0.35">
      <c r="B5" s="24" t="s">
        <v>2</v>
      </c>
      <c r="C5" s="25"/>
      <c r="D5" s="48" t="s">
        <v>71</v>
      </c>
      <c r="E5" s="48" t="s">
        <v>72</v>
      </c>
      <c r="F5" s="48" t="s">
        <v>73</v>
      </c>
      <c r="G5" s="48" t="s">
        <v>74</v>
      </c>
      <c r="H5" s="48" t="s">
        <v>75</v>
      </c>
      <c r="I5" s="48"/>
      <c r="J5" s="48" t="s">
        <v>76</v>
      </c>
    </row>
    <row r="6" spans="2:39" x14ac:dyDescent="0.3">
      <c r="B6" s="26" t="s">
        <v>3</v>
      </c>
      <c r="C6" s="26" t="s">
        <v>97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ht="28.8" x14ac:dyDescent="0.3">
      <c r="B7" s="45" t="s">
        <v>11</v>
      </c>
      <c r="C7" s="18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5" customHeight="1" x14ac:dyDescent="0.3">
      <c r="B8" s="16"/>
      <c r="C8" s="46" t="s">
        <v>58</v>
      </c>
      <c r="D8" s="49">
        <f>92500/8</f>
        <v>11562.5</v>
      </c>
      <c r="E8" s="49">
        <f t="shared" ref="E8:H10" si="0">+D8*1.03</f>
        <v>11909.375</v>
      </c>
      <c r="F8" s="49">
        <f t="shared" si="0"/>
        <v>12266.65625</v>
      </c>
      <c r="G8" s="49">
        <f t="shared" si="0"/>
        <v>12634.6559375</v>
      </c>
      <c r="H8" s="49">
        <f t="shared" si="0"/>
        <v>13013.695615625</v>
      </c>
      <c r="I8" s="50"/>
      <c r="J8" s="54">
        <f>SUM(D8:H8)</f>
        <v>61386.882803125001</v>
      </c>
    </row>
    <row r="9" spans="2:39" x14ac:dyDescent="0.3">
      <c r="B9" s="16"/>
      <c r="C9" s="46" t="s">
        <v>59</v>
      </c>
      <c r="D9" s="49">
        <f>74000/8</f>
        <v>9250</v>
      </c>
      <c r="E9" s="49">
        <f t="shared" si="0"/>
        <v>9527.5</v>
      </c>
      <c r="F9" s="49">
        <f t="shared" si="0"/>
        <v>9813.3250000000007</v>
      </c>
      <c r="G9" s="49">
        <f t="shared" si="0"/>
        <v>10107.724750000001</v>
      </c>
      <c r="H9" s="49">
        <f t="shared" si="0"/>
        <v>10410.956492500001</v>
      </c>
      <c r="I9" s="51"/>
      <c r="J9" s="54">
        <f>SUM(D9:H9)</f>
        <v>49109.506242500007</v>
      </c>
    </row>
    <row r="10" spans="2:39" x14ac:dyDescent="0.3">
      <c r="B10" s="16"/>
      <c r="C10" s="46" t="s">
        <v>60</v>
      </c>
      <c r="D10" s="49">
        <f>75000/8</f>
        <v>9375</v>
      </c>
      <c r="E10" s="49">
        <f t="shared" si="0"/>
        <v>9656.25</v>
      </c>
      <c r="F10" s="49">
        <f t="shared" si="0"/>
        <v>9945.9375</v>
      </c>
      <c r="G10" s="49">
        <f t="shared" si="0"/>
        <v>10244.315625000001</v>
      </c>
      <c r="H10" s="49">
        <f t="shared" si="0"/>
        <v>10551.645093750001</v>
      </c>
      <c r="I10" s="51"/>
      <c r="J10" s="54">
        <f>SUM(D10:H10)</f>
        <v>49773.148218750008</v>
      </c>
    </row>
    <row r="11" spans="2:39" x14ac:dyDescent="0.3">
      <c r="B11" s="16"/>
      <c r="C11" s="9" t="s">
        <v>12</v>
      </c>
      <c r="D11" s="55">
        <f>SUM(D8:D10)</f>
        <v>30187.5</v>
      </c>
      <c r="E11" s="55">
        <f t="shared" ref="E11:J11" si="1">SUM(E8:E10)</f>
        <v>31093.125</v>
      </c>
      <c r="F11" s="55">
        <f t="shared" si="1"/>
        <v>32025.918750000001</v>
      </c>
      <c r="G11" s="55">
        <f t="shared" si="1"/>
        <v>32986.696312500004</v>
      </c>
      <c r="H11" s="55">
        <f t="shared" si="1"/>
        <v>33976.297201875001</v>
      </c>
      <c r="I11" s="51"/>
      <c r="J11" s="55">
        <f t="shared" si="1"/>
        <v>160269.53726437502</v>
      </c>
    </row>
    <row r="12" spans="2:39" x14ac:dyDescent="0.3">
      <c r="B12" s="16"/>
      <c r="C12" s="11" t="s">
        <v>32</v>
      </c>
      <c r="D12" s="52" t="s">
        <v>31</v>
      </c>
      <c r="E12" s="52"/>
      <c r="F12" s="52"/>
      <c r="G12" s="52"/>
      <c r="H12" s="52"/>
      <c r="I12" s="51"/>
      <c r="J12" s="53" t="s">
        <v>31</v>
      </c>
    </row>
    <row r="13" spans="2:39" x14ac:dyDescent="0.3">
      <c r="B13" s="16"/>
      <c r="C13" s="46" t="s">
        <v>61</v>
      </c>
      <c r="D13" s="58">
        <f t="shared" ref="D13:H13" si="2">+D11*0.4</f>
        <v>12075</v>
      </c>
      <c r="E13" s="58">
        <f t="shared" si="2"/>
        <v>12437.25</v>
      </c>
      <c r="F13" s="58">
        <f t="shared" si="2"/>
        <v>12810.3675</v>
      </c>
      <c r="G13" s="58">
        <f t="shared" si="2"/>
        <v>13194.678525000003</v>
      </c>
      <c r="H13" s="58">
        <f t="shared" si="2"/>
        <v>13590.518880750002</v>
      </c>
      <c r="I13" s="51"/>
      <c r="J13" s="54">
        <f>SUM(D13:H13)</f>
        <v>64107.814905750005</v>
      </c>
    </row>
    <row r="14" spans="2:39" x14ac:dyDescent="0.3">
      <c r="B14" s="16"/>
      <c r="C14" s="9" t="s">
        <v>13</v>
      </c>
      <c r="D14" s="55">
        <f>SUM(D13:D13)</f>
        <v>12075</v>
      </c>
      <c r="E14" s="55">
        <f>SUM(E13:E13)</f>
        <v>12437.25</v>
      </c>
      <c r="F14" s="55">
        <f>SUM(F13:F13)</f>
        <v>12810.3675</v>
      </c>
      <c r="G14" s="55">
        <f>SUM(G13:G13)</f>
        <v>13194.678525000003</v>
      </c>
      <c r="H14" s="55">
        <f>SUM(H13:H13)</f>
        <v>13590.518880750002</v>
      </c>
      <c r="I14" s="51"/>
      <c r="J14" s="55">
        <f>SUM(J13:J13)</f>
        <v>64107.814905750005</v>
      </c>
    </row>
    <row r="15" spans="2:39" x14ac:dyDescent="0.3">
      <c r="B15" s="16"/>
      <c r="C15" s="11" t="s">
        <v>33</v>
      </c>
      <c r="D15" s="52" t="s">
        <v>31</v>
      </c>
      <c r="E15" s="52"/>
      <c r="F15" s="52"/>
      <c r="G15" s="52"/>
      <c r="H15" s="52"/>
      <c r="I15" s="51"/>
      <c r="J15" s="53" t="s">
        <v>31</v>
      </c>
    </row>
    <row r="16" spans="2:39" x14ac:dyDescent="0.3">
      <c r="B16" s="16"/>
      <c r="C16" s="46" t="s">
        <v>39</v>
      </c>
      <c r="D16" s="54"/>
      <c r="E16" s="54"/>
      <c r="F16" s="54"/>
      <c r="G16" s="54"/>
      <c r="H16" s="54"/>
      <c r="I16" s="51"/>
      <c r="J16" s="54"/>
    </row>
    <row r="17" spans="2:10" x14ac:dyDescent="0.3">
      <c r="B17" s="16"/>
      <c r="C17" s="46" t="s">
        <v>62</v>
      </c>
      <c r="D17" s="58">
        <f>SUM(500*8)/8</f>
        <v>500</v>
      </c>
      <c r="E17" s="58">
        <f>SUM(500*8)/8</f>
        <v>500</v>
      </c>
      <c r="F17" s="58">
        <f>SUM(500*8)/8</f>
        <v>500</v>
      </c>
      <c r="G17" s="58">
        <f>SUM(500*8)/8</f>
        <v>500</v>
      </c>
      <c r="H17" s="58">
        <f>SUM(500*8)/8</f>
        <v>500</v>
      </c>
      <c r="I17" s="50"/>
      <c r="J17" s="54">
        <f>SUM(D17:H17)</f>
        <v>2500</v>
      </c>
    </row>
    <row r="18" spans="2:10" x14ac:dyDescent="0.3">
      <c r="B18" s="16"/>
      <c r="C18" s="46" t="s">
        <v>63</v>
      </c>
      <c r="D18" s="58">
        <f>SUM(750*8)/8</f>
        <v>750</v>
      </c>
      <c r="E18" s="58">
        <f>SUM(750*8)/8</f>
        <v>750</v>
      </c>
      <c r="F18" s="58">
        <f>SUM(750*8)/8</f>
        <v>750</v>
      </c>
      <c r="G18" s="58">
        <f>SUM(750*8)/8</f>
        <v>750</v>
      </c>
      <c r="H18" s="58">
        <f>SUM(750*8)/8</f>
        <v>750</v>
      </c>
      <c r="I18" s="50"/>
      <c r="J18" s="54">
        <f t="shared" ref="J18:J20" si="3">SUM(D18:H18)</f>
        <v>3750</v>
      </c>
    </row>
    <row r="19" spans="2:10" x14ac:dyDescent="0.3">
      <c r="B19" s="16"/>
      <c r="C19" s="46" t="s">
        <v>64</v>
      </c>
      <c r="D19" s="58">
        <f>SUM(75*3.5)*1</f>
        <v>262.5</v>
      </c>
      <c r="E19" s="58">
        <f>SUM(75*3.5)*1</f>
        <v>262.5</v>
      </c>
      <c r="F19" s="58">
        <f>SUM(75*3.5)*1</f>
        <v>262.5</v>
      </c>
      <c r="G19" s="58">
        <f>SUM(75*3.5)*1</f>
        <v>262.5</v>
      </c>
      <c r="H19" s="58">
        <f>SUM(75*3.5)*1</f>
        <v>262.5</v>
      </c>
      <c r="I19" s="50"/>
      <c r="J19" s="54">
        <f t="shared" si="3"/>
        <v>1312.5</v>
      </c>
    </row>
    <row r="20" spans="2:10" x14ac:dyDescent="0.3">
      <c r="B20" s="16"/>
      <c r="C20" s="46" t="s">
        <v>57</v>
      </c>
      <c r="D20" s="66">
        <v>100</v>
      </c>
      <c r="E20" s="66">
        <v>100</v>
      </c>
      <c r="F20" s="66">
        <v>100</v>
      </c>
      <c r="G20" s="66">
        <v>100</v>
      </c>
      <c r="H20" s="66">
        <v>100</v>
      </c>
      <c r="I20" s="50"/>
      <c r="J20" s="54">
        <f t="shared" si="3"/>
        <v>500</v>
      </c>
    </row>
    <row r="21" spans="2:10" x14ac:dyDescent="0.3">
      <c r="B21" s="16"/>
      <c r="C21" s="9" t="s">
        <v>14</v>
      </c>
      <c r="D21" s="55">
        <f>SUM(D17:D20)</f>
        <v>1612.5</v>
      </c>
      <c r="E21" s="55">
        <f>SUM(E17:E20)</f>
        <v>1612.5</v>
      </c>
      <c r="F21" s="55">
        <f>SUM(F17:F20)</f>
        <v>1612.5</v>
      </c>
      <c r="G21" s="55">
        <f>SUM(G17:G20)</f>
        <v>1612.5</v>
      </c>
      <c r="H21" s="55">
        <f>SUM(H17:H20)</f>
        <v>1612.5</v>
      </c>
      <c r="I21" s="51"/>
      <c r="J21" s="55">
        <f>SUM(J16:J20)</f>
        <v>8062.5</v>
      </c>
    </row>
    <row r="22" spans="2:10" x14ac:dyDescent="0.3">
      <c r="B22" s="16"/>
      <c r="C22" s="11" t="s">
        <v>34</v>
      </c>
      <c r="D22" s="54"/>
      <c r="E22" s="52"/>
      <c r="F22" s="52"/>
      <c r="G22" s="52"/>
      <c r="H22" s="52"/>
      <c r="I22" s="51"/>
      <c r="J22" s="54" t="s">
        <v>20</v>
      </c>
    </row>
    <row r="23" spans="2:10" x14ac:dyDescent="0.3">
      <c r="B23" s="16"/>
      <c r="C23" s="47" t="s">
        <v>65</v>
      </c>
      <c r="D23" s="58">
        <f>SUM(6500*4)/8</f>
        <v>3250</v>
      </c>
      <c r="E23" s="58">
        <v>0</v>
      </c>
      <c r="F23" s="58">
        <v>0</v>
      </c>
      <c r="G23" s="58">
        <v>0</v>
      </c>
      <c r="H23" s="58">
        <v>0</v>
      </c>
      <c r="I23" s="51"/>
      <c r="J23" s="54">
        <f>SUM(D23:H23)</f>
        <v>3250</v>
      </c>
    </row>
    <row r="24" spans="2:10" x14ac:dyDescent="0.3">
      <c r="B24" s="16"/>
      <c r="C24" s="9" t="s">
        <v>15</v>
      </c>
      <c r="D24" s="56">
        <f>SUM(D23:D23)</f>
        <v>3250</v>
      </c>
      <c r="E24" s="56">
        <f>SUM(E23:E23)</f>
        <v>0</v>
      </c>
      <c r="F24" s="56">
        <f>SUM(F23:F23)</f>
        <v>0</v>
      </c>
      <c r="G24" s="56">
        <f>SUM(G23:G23)</f>
        <v>0</v>
      </c>
      <c r="H24" s="56">
        <f>SUM(H23:H23)</f>
        <v>0</v>
      </c>
      <c r="I24" s="51"/>
      <c r="J24" s="55">
        <f>SUM(J23:J23)</f>
        <v>3250</v>
      </c>
    </row>
    <row r="25" spans="2:10" x14ac:dyDescent="0.3">
      <c r="B25" s="16"/>
      <c r="C25" s="11" t="s">
        <v>35</v>
      </c>
      <c r="D25" s="52" t="s">
        <v>31</v>
      </c>
      <c r="E25" s="52"/>
      <c r="F25" s="52"/>
      <c r="G25" s="52"/>
      <c r="H25" s="52"/>
      <c r="I25" s="51"/>
      <c r="J25" s="54"/>
    </row>
    <row r="26" spans="2:10" x14ac:dyDescent="0.3">
      <c r="B26" s="16"/>
      <c r="C26" s="47" t="s">
        <v>66</v>
      </c>
      <c r="D26" s="58">
        <f>SUM(2500*3)/8</f>
        <v>937.5</v>
      </c>
      <c r="E26" s="58">
        <v>0</v>
      </c>
      <c r="F26" s="58">
        <v>0</v>
      </c>
      <c r="G26" s="58">
        <v>0</v>
      </c>
      <c r="H26" s="58">
        <v>0</v>
      </c>
      <c r="I26" s="50"/>
      <c r="J26" s="54">
        <f t="shared" ref="J26:J53" si="4">SUM(D26:H26)</f>
        <v>937.5</v>
      </c>
    </row>
    <row r="27" spans="2:10" x14ac:dyDescent="0.3">
      <c r="B27" s="16"/>
      <c r="C27" s="47" t="s">
        <v>67</v>
      </c>
      <c r="D27" s="58">
        <f>SUM(1000*3)/8</f>
        <v>375</v>
      </c>
      <c r="E27" s="58">
        <v>0</v>
      </c>
      <c r="F27" s="58">
        <v>0</v>
      </c>
      <c r="G27" s="58">
        <v>0</v>
      </c>
      <c r="H27" s="58">
        <v>0</v>
      </c>
      <c r="I27" s="50"/>
      <c r="J27" s="54">
        <f t="shared" si="4"/>
        <v>375</v>
      </c>
    </row>
    <row r="28" spans="2:10" x14ac:dyDescent="0.3">
      <c r="B28" s="16"/>
      <c r="C28" s="47" t="s">
        <v>68</v>
      </c>
      <c r="D28" s="58">
        <f>SUM(1000*3)/8</f>
        <v>375</v>
      </c>
      <c r="E28" s="58">
        <v>0</v>
      </c>
      <c r="F28" s="58">
        <v>0</v>
      </c>
      <c r="G28" s="58">
        <v>0</v>
      </c>
      <c r="H28" s="58">
        <v>0</v>
      </c>
      <c r="I28" s="50"/>
      <c r="J28" s="54">
        <f t="shared" si="4"/>
        <v>375</v>
      </c>
    </row>
    <row r="29" spans="2:10" x14ac:dyDescent="0.3">
      <c r="B29" s="16"/>
      <c r="C29" s="47" t="s">
        <v>69</v>
      </c>
      <c r="D29" s="58">
        <f>SUM(800*3)/8</f>
        <v>300</v>
      </c>
      <c r="E29" s="58">
        <v>0</v>
      </c>
      <c r="F29" s="58">
        <v>0</v>
      </c>
      <c r="G29" s="58">
        <v>0</v>
      </c>
      <c r="H29" s="58">
        <v>0</v>
      </c>
      <c r="I29" s="50"/>
      <c r="J29" s="54">
        <f t="shared" si="4"/>
        <v>300</v>
      </c>
    </row>
    <row r="30" spans="2:10" x14ac:dyDescent="0.3">
      <c r="B30" s="16"/>
      <c r="C30" s="47" t="s">
        <v>70</v>
      </c>
      <c r="D30" s="58">
        <f>SUM(500*3)/8</f>
        <v>187.5</v>
      </c>
      <c r="E30" s="58">
        <v>0</v>
      </c>
      <c r="F30" s="58">
        <v>0</v>
      </c>
      <c r="G30" s="58">
        <v>0</v>
      </c>
      <c r="H30" s="58">
        <v>0</v>
      </c>
      <c r="I30" s="50"/>
      <c r="J30" s="54">
        <f t="shared" si="4"/>
        <v>187.5</v>
      </c>
    </row>
    <row r="31" spans="2:10" x14ac:dyDescent="0.3">
      <c r="B31" s="16"/>
      <c r="C31" s="9" t="s">
        <v>16</v>
      </c>
      <c r="D31" s="55">
        <f>SUM(D26:D30)</f>
        <v>2175</v>
      </c>
      <c r="E31" s="55">
        <f>SUM(E26:E30)</f>
        <v>0</v>
      </c>
      <c r="F31" s="55">
        <f>SUM(F26:F30)</f>
        <v>0</v>
      </c>
      <c r="G31" s="55">
        <f>SUM(G26:G30)</f>
        <v>0</v>
      </c>
      <c r="H31" s="55">
        <f>SUM(H26:H30)</f>
        <v>0</v>
      </c>
      <c r="I31" s="51"/>
      <c r="J31" s="55">
        <f>SUM(J26:J30)</f>
        <v>2175</v>
      </c>
    </row>
    <row r="32" spans="2:10" x14ac:dyDescent="0.3">
      <c r="B32" s="16"/>
      <c r="C32" s="11" t="s">
        <v>36</v>
      </c>
      <c r="D32" s="52" t="s">
        <v>31</v>
      </c>
      <c r="E32" s="52"/>
      <c r="F32" s="52"/>
      <c r="G32" s="52"/>
      <c r="H32" s="52"/>
      <c r="I32" s="51"/>
      <c r="J32" s="54"/>
    </row>
    <row r="33" spans="2:10" x14ac:dyDescent="0.3">
      <c r="B33" s="16"/>
      <c r="C33" s="71"/>
      <c r="D33" s="68"/>
      <c r="E33" s="68"/>
      <c r="F33" s="68"/>
      <c r="G33" s="68"/>
      <c r="H33" s="68"/>
      <c r="I33" s="69"/>
      <c r="J33" s="70">
        <f t="shared" si="4"/>
        <v>0</v>
      </c>
    </row>
    <row r="34" spans="2:10" x14ac:dyDescent="0.3">
      <c r="B34" s="16"/>
      <c r="C34" s="67"/>
      <c r="D34" s="68"/>
      <c r="E34" s="68"/>
      <c r="F34" s="68"/>
      <c r="G34" s="68"/>
      <c r="H34" s="68"/>
      <c r="I34" s="69"/>
      <c r="J34" s="70">
        <f t="shared" si="4"/>
        <v>0</v>
      </c>
    </row>
    <row r="35" spans="2:10" x14ac:dyDescent="0.3">
      <c r="B35" s="16"/>
      <c r="C35" s="67"/>
      <c r="D35" s="68"/>
      <c r="E35" s="68"/>
      <c r="F35" s="68"/>
      <c r="G35" s="68"/>
      <c r="H35" s="68"/>
      <c r="I35" s="69"/>
      <c r="J35" s="70">
        <f t="shared" si="4"/>
        <v>0</v>
      </c>
    </row>
    <row r="36" spans="2:10" x14ac:dyDescent="0.3">
      <c r="B36" s="16"/>
      <c r="C36" s="67"/>
      <c r="D36" s="68"/>
      <c r="E36" s="68"/>
      <c r="F36" s="68"/>
      <c r="G36" s="68"/>
      <c r="H36" s="68"/>
      <c r="I36" s="69"/>
      <c r="J36" s="70">
        <f t="shared" si="4"/>
        <v>0</v>
      </c>
    </row>
    <row r="37" spans="2:10" x14ac:dyDescent="0.3">
      <c r="B37" s="16"/>
      <c r="C37" s="67"/>
      <c r="D37" s="68"/>
      <c r="E37" s="68"/>
      <c r="F37" s="68"/>
      <c r="G37" s="68"/>
      <c r="H37" s="68"/>
      <c r="I37" s="69"/>
      <c r="J37" s="70">
        <f t="shared" si="4"/>
        <v>0</v>
      </c>
    </row>
    <row r="38" spans="2:10" x14ac:dyDescent="0.3">
      <c r="B38" s="16"/>
      <c r="C38" s="71"/>
      <c r="D38" s="68"/>
      <c r="E38" s="68"/>
      <c r="F38" s="68"/>
      <c r="G38" s="68"/>
      <c r="H38" s="68"/>
      <c r="I38" s="69"/>
      <c r="J38" s="70">
        <f t="shared" si="4"/>
        <v>0</v>
      </c>
    </row>
    <row r="39" spans="2:10" x14ac:dyDescent="0.3">
      <c r="B39" s="16"/>
      <c r="C39" s="67"/>
      <c r="D39" s="68"/>
      <c r="E39" s="68"/>
      <c r="F39" s="68"/>
      <c r="G39" s="68"/>
      <c r="H39" s="68"/>
      <c r="I39" s="69"/>
      <c r="J39" s="70">
        <f t="shared" si="4"/>
        <v>0</v>
      </c>
    </row>
    <row r="40" spans="2:10" x14ac:dyDescent="0.3">
      <c r="B40" s="16"/>
      <c r="C40" s="67"/>
      <c r="D40" s="68"/>
      <c r="E40" s="68"/>
      <c r="F40" s="68"/>
      <c r="G40" s="68"/>
      <c r="H40" s="68"/>
      <c r="I40" s="69"/>
      <c r="J40" s="70">
        <f t="shared" si="4"/>
        <v>0</v>
      </c>
    </row>
    <row r="41" spans="2:10" x14ac:dyDescent="0.3">
      <c r="B41" s="16"/>
      <c r="C41" s="67"/>
      <c r="D41" s="68"/>
      <c r="E41" s="68"/>
      <c r="F41" s="68"/>
      <c r="G41" s="68"/>
      <c r="H41" s="68"/>
      <c r="I41" s="69"/>
      <c r="J41" s="70">
        <f t="shared" si="4"/>
        <v>0</v>
      </c>
    </row>
    <row r="42" spans="2:10" x14ac:dyDescent="0.3">
      <c r="B42" s="16"/>
      <c r="C42" s="46" t="s">
        <v>88</v>
      </c>
      <c r="D42" s="58"/>
      <c r="E42" s="58">
        <v>1000000</v>
      </c>
      <c r="F42" s="58">
        <v>1000000</v>
      </c>
      <c r="G42" s="58">
        <v>1000000</v>
      </c>
      <c r="H42" s="58">
        <v>1000000</v>
      </c>
      <c r="I42" s="50"/>
      <c r="J42" s="54">
        <f t="shared" si="4"/>
        <v>4000000</v>
      </c>
    </row>
    <row r="43" spans="2:10" x14ac:dyDescent="0.3">
      <c r="B43" s="16"/>
      <c r="C43" s="67"/>
      <c r="D43" s="68"/>
      <c r="E43" s="68"/>
      <c r="F43" s="68"/>
      <c r="G43" s="68"/>
      <c r="H43" s="68"/>
      <c r="I43" s="50"/>
      <c r="J43" s="70">
        <f t="shared" si="4"/>
        <v>0</v>
      </c>
    </row>
    <row r="44" spans="2:10" x14ac:dyDescent="0.3">
      <c r="B44" s="16"/>
      <c r="C44" s="67"/>
      <c r="D44" s="68"/>
      <c r="E44" s="68"/>
      <c r="F44" s="68"/>
      <c r="G44" s="68"/>
      <c r="H44" s="68"/>
      <c r="I44" s="50"/>
      <c r="J44" s="70">
        <f t="shared" si="4"/>
        <v>0</v>
      </c>
    </row>
    <row r="45" spans="2:10" x14ac:dyDescent="0.3">
      <c r="B45" s="16"/>
      <c r="C45" s="67"/>
      <c r="D45" s="68"/>
      <c r="E45" s="68"/>
      <c r="F45" s="68"/>
      <c r="G45" s="68"/>
      <c r="H45" s="68"/>
      <c r="I45" s="50"/>
      <c r="J45" s="70">
        <f t="shared" si="4"/>
        <v>0</v>
      </c>
    </row>
    <row r="46" spans="2:10" x14ac:dyDescent="0.3">
      <c r="B46" s="16"/>
      <c r="C46" s="46" t="s">
        <v>51</v>
      </c>
      <c r="D46" s="58">
        <f>1500000/8</f>
        <v>187500</v>
      </c>
      <c r="E46" s="58">
        <f>3000000/8</f>
        <v>375000</v>
      </c>
      <c r="F46" s="58">
        <f>3000000/8</f>
        <v>375000</v>
      </c>
      <c r="G46" s="58">
        <f>3000000/8</f>
        <v>375000</v>
      </c>
      <c r="H46" s="58">
        <f>3000000/8</f>
        <v>375000</v>
      </c>
      <c r="I46" s="50"/>
      <c r="J46" s="54">
        <f t="shared" si="4"/>
        <v>1687500</v>
      </c>
    </row>
    <row r="47" spans="2:10" x14ac:dyDescent="0.3">
      <c r="B47" s="16"/>
      <c r="C47" s="46" t="s">
        <v>52</v>
      </c>
      <c r="D47" s="58">
        <f>SUM(68*2*3000)/8</f>
        <v>51000</v>
      </c>
      <c r="E47" s="58">
        <f>SUM(68*2*3000)/8</f>
        <v>51000</v>
      </c>
      <c r="F47" s="58">
        <f>SUM(68*2*3000)/8</f>
        <v>51000</v>
      </c>
      <c r="G47" s="58">
        <f>SUM(68*2*3000)/8</f>
        <v>51000</v>
      </c>
      <c r="H47" s="58">
        <f>SUM(68*2*3000)/8</f>
        <v>51000</v>
      </c>
      <c r="I47" s="50"/>
      <c r="J47" s="54">
        <f t="shared" si="4"/>
        <v>255000</v>
      </c>
    </row>
    <row r="48" spans="2:10" x14ac:dyDescent="0.3">
      <c r="B48" s="16"/>
      <c r="C48" s="47" t="s">
        <v>53</v>
      </c>
      <c r="D48" s="58">
        <f>1500000/8</f>
        <v>187500</v>
      </c>
      <c r="E48" s="58">
        <f>1500000/8</f>
        <v>187500</v>
      </c>
      <c r="F48" s="58">
        <f>1500000/8</f>
        <v>187500</v>
      </c>
      <c r="G48" s="58">
        <f>1500000/8</f>
        <v>187500</v>
      </c>
      <c r="H48" s="58">
        <f>1500000/8</f>
        <v>187500</v>
      </c>
      <c r="I48" s="51"/>
      <c r="J48" s="54">
        <f t="shared" si="4"/>
        <v>937500</v>
      </c>
    </row>
    <row r="49" spans="2:10" x14ac:dyDescent="0.3">
      <c r="B49" s="16"/>
      <c r="C49" s="9" t="s">
        <v>17</v>
      </c>
      <c r="D49" s="55">
        <f>SUM(D33:D48)</f>
        <v>426000</v>
      </c>
      <c r="E49" s="55">
        <f t="shared" ref="E49:H49" si="5">SUM(E33:E48)</f>
        <v>1613500</v>
      </c>
      <c r="F49" s="55">
        <f t="shared" si="5"/>
        <v>1613500</v>
      </c>
      <c r="G49" s="55">
        <f t="shared" si="5"/>
        <v>1613500</v>
      </c>
      <c r="H49" s="55">
        <f t="shared" si="5"/>
        <v>1613500</v>
      </c>
      <c r="I49" s="51"/>
      <c r="J49" s="55">
        <f>SUM(J33:J48)</f>
        <v>6880000</v>
      </c>
    </row>
    <row r="50" spans="2:10" x14ac:dyDescent="0.3">
      <c r="B50" s="16"/>
      <c r="C50" s="11" t="s">
        <v>37</v>
      </c>
      <c r="D50" s="52" t="s">
        <v>31</v>
      </c>
      <c r="E50" s="52"/>
      <c r="F50" s="52"/>
      <c r="G50" s="52"/>
      <c r="H50" s="52"/>
      <c r="I50" s="51"/>
      <c r="J50" s="54"/>
    </row>
    <row r="51" spans="2:10" x14ac:dyDescent="0.3">
      <c r="B51" s="16"/>
      <c r="C51" s="47" t="s">
        <v>54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1"/>
      <c r="J51" s="54">
        <f t="shared" si="4"/>
        <v>0</v>
      </c>
    </row>
    <row r="52" spans="2:10" x14ac:dyDescent="0.3">
      <c r="B52" s="17"/>
      <c r="C52" s="9" t="s">
        <v>18</v>
      </c>
      <c r="D52" s="55">
        <f>SUM(D51:D51)</f>
        <v>0</v>
      </c>
      <c r="E52" s="55">
        <f>SUM(E51:E51)</f>
        <v>0</v>
      </c>
      <c r="F52" s="55">
        <f>SUM(F51:F51)</f>
        <v>0</v>
      </c>
      <c r="G52" s="55">
        <f>SUM(G51:G51)</f>
        <v>0</v>
      </c>
      <c r="H52" s="55">
        <f>SUM(H51:H51)</f>
        <v>0</v>
      </c>
      <c r="I52" s="51"/>
      <c r="J52" s="55">
        <f>SUM(J51:J51)</f>
        <v>0</v>
      </c>
    </row>
    <row r="53" spans="2:10" x14ac:dyDescent="0.3">
      <c r="B53" s="17"/>
      <c r="C53" s="9" t="s">
        <v>19</v>
      </c>
      <c r="D53" s="55">
        <f>SUM(D52,D49,D31,D24,D21,D14,D11)</f>
        <v>475300</v>
      </c>
      <c r="E53" s="55">
        <f>SUM(E52,E49,E31,E24,E21,E14,E11)</f>
        <v>1658642.875</v>
      </c>
      <c r="F53" s="55">
        <f>SUM(F52,F49,F31,F24,F21,F14,F11)</f>
        <v>1659948.7862499999</v>
      </c>
      <c r="G53" s="55">
        <f>SUM(G52,G49,G31,G24,G21,G14,G11)</f>
        <v>1661293.8748375</v>
      </c>
      <c r="H53" s="55">
        <f>SUM(H52,H49,H31,H24,H21,H14,H11)</f>
        <v>1662679.316082625</v>
      </c>
      <c r="I53" s="51"/>
      <c r="J53" s="55">
        <f t="shared" si="4"/>
        <v>7117864.8521701247</v>
      </c>
    </row>
    <row r="54" spans="2:10" x14ac:dyDescent="0.3">
      <c r="B54" s="6"/>
      <c r="D54" s="51"/>
      <c r="E54" s="51"/>
      <c r="F54" s="51"/>
      <c r="G54" s="51"/>
      <c r="H54" s="51"/>
      <c r="I54" s="51"/>
      <c r="J54" s="51" t="s">
        <v>20</v>
      </c>
    </row>
    <row r="55" spans="2:10" ht="28.8" x14ac:dyDescent="0.3">
      <c r="B55" s="45" t="s">
        <v>38</v>
      </c>
      <c r="C55" s="12" t="s">
        <v>38</v>
      </c>
      <c r="D55" s="53"/>
      <c r="E55" s="53"/>
      <c r="F55" s="53"/>
      <c r="G55" s="53"/>
      <c r="H55" s="53"/>
      <c r="I55" s="51"/>
      <c r="J55" s="53" t="s">
        <v>20</v>
      </c>
    </row>
    <row r="56" spans="2:10" x14ac:dyDescent="0.3">
      <c r="B56" s="16"/>
      <c r="C56" s="46" t="s">
        <v>56</v>
      </c>
      <c r="D56" s="58">
        <f>+D53*0.1</f>
        <v>47530</v>
      </c>
      <c r="E56" s="58">
        <f>+E53*0.1</f>
        <v>165864.28750000001</v>
      </c>
      <c r="F56" s="58">
        <f>+F53*0.1</f>
        <v>165994.87862500001</v>
      </c>
      <c r="G56" s="58">
        <f>+G53*0.1</f>
        <v>166129.38748375</v>
      </c>
      <c r="H56" s="58">
        <f>+H53*0.1</f>
        <v>166267.9316082625</v>
      </c>
      <c r="I56" s="51"/>
      <c r="J56" s="54">
        <f>SUM(D56:H56)</f>
        <v>711786.48521701247</v>
      </c>
    </row>
    <row r="57" spans="2:10" x14ac:dyDescent="0.3">
      <c r="B57" s="16"/>
      <c r="C57" s="46" t="s">
        <v>55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1"/>
      <c r="J57" s="54">
        <f t="shared" ref="J57" si="6">SUM(D57:H57)</f>
        <v>0</v>
      </c>
    </row>
    <row r="58" spans="2:10" x14ac:dyDescent="0.3">
      <c r="B58" s="17"/>
      <c r="C58" s="9" t="s">
        <v>21</v>
      </c>
      <c r="D58" s="55">
        <f>SUM(D56:D57)</f>
        <v>47530</v>
      </c>
      <c r="E58" s="55">
        <f t="shared" ref="E58:H58" si="7">SUM(E56:E57)</f>
        <v>165864.28750000001</v>
      </c>
      <c r="F58" s="55">
        <f t="shared" si="7"/>
        <v>165994.87862500001</v>
      </c>
      <c r="G58" s="55">
        <f t="shared" si="7"/>
        <v>166129.38748375</v>
      </c>
      <c r="H58" s="55">
        <f t="shared" si="7"/>
        <v>166267.9316082625</v>
      </c>
      <c r="I58" s="51"/>
      <c r="J58" s="55">
        <f>SUM(J56:J57)</f>
        <v>711786.48521701247</v>
      </c>
    </row>
    <row r="59" spans="2:10" ht="15" thickBot="1" x14ac:dyDescent="0.35">
      <c r="B59" s="6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4" thickBot="1" x14ac:dyDescent="0.35">
      <c r="B60" s="13" t="s">
        <v>22</v>
      </c>
      <c r="C60" s="13"/>
      <c r="D60" s="57">
        <f>SUM(D58,D53)</f>
        <v>522830</v>
      </c>
      <c r="E60" s="57">
        <f t="shared" ref="E60:J60" si="8">SUM(E58,E53)</f>
        <v>1824507.1625000001</v>
      </c>
      <c r="F60" s="57">
        <f t="shared" si="8"/>
        <v>1825943.6648749998</v>
      </c>
      <c r="G60" s="57">
        <f t="shared" si="8"/>
        <v>1827423.26232125</v>
      </c>
      <c r="H60" s="57">
        <f t="shared" si="8"/>
        <v>1828947.2476908874</v>
      </c>
      <c r="I60" s="51"/>
      <c r="J60" s="57">
        <f t="shared" si="8"/>
        <v>7829651.3373871371</v>
      </c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</sheetData>
  <pageMargins left="0.7" right="0.7" top="0.75" bottom="0.75" header="0.3" footer="0.3"/>
  <pageSetup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Consolidated Budget</vt:lpstr>
      <vt:lpstr>Combined Tabs</vt:lpstr>
      <vt:lpstr>M1 Clean Hydrogen</vt:lpstr>
      <vt:lpstr>M2 Industrial Decabonization</vt:lpstr>
      <vt:lpstr>M3 N2O Abatement</vt:lpstr>
      <vt:lpstr>M4 Resilient Clean Ports</vt:lpstr>
      <vt:lpstr>M5 Port Buffer Zone</vt:lpstr>
      <vt:lpstr>M6 Sustainable Agriculture</vt:lpstr>
      <vt:lpstr>M7 Clean Energy</vt:lpstr>
      <vt:lpstr>M8 Nature Based Solutions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2024-04-01T15:29:20Z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