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/>
  <mc:AlternateContent xmlns:mc="http://schemas.openxmlformats.org/markup-compatibility/2006">
    <mc:Choice Requires="x15">
      <x15ac:absPath xmlns:x15ac="http://schemas.microsoft.com/office/spreadsheetml/2010/11/ac" url="C:\Users\kmoses\Downloads\Project Narrative Attachments\Project Narrative Attachments\"/>
    </mc:Choice>
  </mc:AlternateContent>
  <xr:revisionPtr revIDLastSave="0" documentId="13_ncr:1_{59B0A7FA-F9DA-4829-8AEC-97C5C1CDC7C7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Grant Asks and GHG Reductions" sheetId="10" r:id="rId1"/>
    <sheet name="LED Lighting CPRG Ask" sheetId="14" r:id="rId2"/>
    <sheet name="Solar Roofs CPRG Ask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2" i="14" l="1"/>
  <c r="AJ22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D6" i="14" l="1"/>
  <c r="D5" i="14"/>
  <c r="D7" i="14"/>
  <c r="D20" i="14"/>
  <c r="D4" i="14"/>
  <c r="F4" i="14" s="1"/>
  <c r="D9" i="14"/>
  <c r="F9" i="14" s="1"/>
  <c r="D16" i="14"/>
  <c r="F16" i="14" s="1"/>
  <c r="D8" i="14"/>
  <c r="D19" i="14"/>
  <c r="D17" i="14"/>
  <c r="F17" i="14" s="1"/>
  <c r="D13" i="14"/>
  <c r="F13" i="14" s="1"/>
  <c r="D10" i="14"/>
  <c r="F10" i="14" s="1"/>
  <c r="D11" i="14"/>
  <c r="F11" i="14" s="1"/>
  <c r="D3" i="14"/>
  <c r="D14" i="14"/>
  <c r="F14" i="14" s="1"/>
  <c r="D15" i="14"/>
  <c r="F15" i="14" s="1"/>
  <c r="F3" i="14" l="1"/>
  <c r="F19" i="14"/>
  <c r="F7" i="14"/>
  <c r="F8" i="14"/>
  <c r="F5" i="14"/>
  <c r="F6" i="14"/>
  <c r="F20" i="14"/>
  <c r="K6" i="14" l="1"/>
  <c r="L15" i="14"/>
  <c r="K15" i="14"/>
  <c r="M14" i="14"/>
  <c r="L14" i="14"/>
  <c r="M3" i="14"/>
  <c r="L3" i="14"/>
  <c r="L11" i="14"/>
  <c r="M10" i="14"/>
  <c r="L10" i="14"/>
  <c r="L13" i="14"/>
  <c r="M13" i="14" s="1"/>
  <c r="K13" i="14"/>
  <c r="L17" i="14"/>
  <c r="L19" i="14"/>
  <c r="AA58" i="14"/>
  <c r="D21" i="14"/>
  <c r="M21" i="14" s="1"/>
  <c r="D12" i="14"/>
  <c r="D18" i="14"/>
  <c r="D5" i="13"/>
  <c r="D4" i="13"/>
  <c r="D3" i="13"/>
  <c r="D6" i="13" s="1"/>
  <c r="G3" i="13"/>
  <c r="G4" i="13"/>
  <c r="G5" i="13"/>
  <c r="E6" i="13"/>
  <c r="F6" i="13"/>
  <c r="I6" i="13"/>
  <c r="J6" i="13"/>
  <c r="D23" i="14" l="1"/>
  <c r="E2" i="10" s="1"/>
  <c r="K18" i="14"/>
  <c r="D7" i="13"/>
  <c r="F12" i="14"/>
  <c r="L12" i="14"/>
  <c r="K12" i="14"/>
  <c r="F18" i="14"/>
  <c r="L18" i="14"/>
  <c r="F21" i="14"/>
  <c r="L21" i="14"/>
  <c r="L5" i="13"/>
  <c r="M5" i="13" s="1"/>
  <c r="N5" i="13" s="1"/>
  <c r="P5" i="13" s="1"/>
  <c r="K5" i="13"/>
  <c r="O5" i="13" s="1"/>
  <c r="L4" i="13"/>
  <c r="M4" i="13" s="1"/>
  <c r="N4" i="13" s="1"/>
  <c r="P4" i="13" s="1"/>
  <c r="K4" i="13"/>
  <c r="L3" i="13"/>
  <c r="K3" i="13"/>
  <c r="L6" i="14"/>
  <c r="M5" i="14"/>
  <c r="L5" i="14"/>
  <c r="M7" i="14"/>
  <c r="L7" i="14"/>
  <c r="L20" i="14"/>
  <c r="M20" i="14" s="1"/>
  <c r="K20" i="14"/>
  <c r="K4" i="14"/>
  <c r="L4" i="14"/>
  <c r="M4" i="14" s="1"/>
  <c r="K9" i="14"/>
  <c r="L9" i="14"/>
  <c r="M16" i="14"/>
  <c r="L16" i="14"/>
  <c r="L8" i="14"/>
  <c r="M8" i="14" s="1"/>
  <c r="K8" i="14"/>
  <c r="M11" i="14"/>
  <c r="M15" i="14"/>
  <c r="E3" i="10" l="1"/>
  <c r="O4" i="13"/>
  <c r="K6" i="13"/>
  <c r="M3" i="13"/>
  <c r="L6" i="13"/>
  <c r="Q4" i="13"/>
  <c r="R4" i="13" s="1"/>
  <c r="S4" i="13" s="1"/>
  <c r="T4" i="13" s="1"/>
  <c r="U4" i="13" s="1"/>
  <c r="V4" i="13" s="1"/>
  <c r="W4" i="13" s="1"/>
  <c r="X4" i="13" s="1"/>
  <c r="Y4" i="13" s="1"/>
  <c r="Z4" i="13" s="1"/>
  <c r="AA4" i="13" s="1"/>
  <c r="AB4" i="13" s="1"/>
  <c r="AC4" i="13" s="1"/>
  <c r="AD4" i="13" s="1"/>
  <c r="AE4" i="13" s="1"/>
  <c r="AF4" i="13" s="1"/>
  <c r="AG4" i="13" s="1"/>
  <c r="AH4" i="13" s="1"/>
  <c r="AI4" i="13" s="1"/>
  <c r="AJ4" i="13"/>
  <c r="Q5" i="13"/>
  <c r="R5" i="13" s="1"/>
  <c r="S5" i="13" s="1"/>
  <c r="T5" i="13" s="1"/>
  <c r="U5" i="13" s="1"/>
  <c r="V5" i="13" s="1"/>
  <c r="W5" i="13" s="1"/>
  <c r="X5" i="13" s="1"/>
  <c r="Y5" i="13" s="1"/>
  <c r="Z5" i="13" s="1"/>
  <c r="AA5" i="13" s="1"/>
  <c r="AB5" i="13" s="1"/>
  <c r="AC5" i="13" s="1"/>
  <c r="AD5" i="13" s="1"/>
  <c r="AE5" i="13" s="1"/>
  <c r="AF5" i="13" s="1"/>
  <c r="AG5" i="13" s="1"/>
  <c r="AH5" i="13" s="1"/>
  <c r="AI5" i="13" s="1"/>
  <c r="N21" i="14"/>
  <c r="O21" i="14" s="1"/>
  <c r="Q21" i="14" s="1"/>
  <c r="R21" i="14" s="1"/>
  <c r="M12" i="14"/>
  <c r="N12" i="14" s="1"/>
  <c r="O12" i="14" s="1"/>
  <c r="Q12" i="14" s="1"/>
  <c r="R12" i="14" s="1"/>
  <c r="S12" i="14" s="1"/>
  <c r="T12" i="14" s="1"/>
  <c r="U12" i="14" s="1"/>
  <c r="V12" i="14" s="1"/>
  <c r="W12" i="14" s="1"/>
  <c r="X12" i="14" s="1"/>
  <c r="Y12" i="14" s="1"/>
  <c r="Z12" i="14" s="1"/>
  <c r="M18" i="14"/>
  <c r="N18" i="14" s="1"/>
  <c r="O18" i="14" s="1"/>
  <c r="Q18" i="14" s="1"/>
  <c r="R18" i="14" s="1"/>
  <c r="S18" i="14" s="1"/>
  <c r="T18" i="14" s="1"/>
  <c r="U18" i="14" s="1"/>
  <c r="V18" i="14" s="1"/>
  <c r="W18" i="14" s="1"/>
  <c r="X18" i="14" s="1"/>
  <c r="Y18" i="14" s="1"/>
  <c r="Z18" i="14" s="1"/>
  <c r="N15" i="14"/>
  <c r="O15" i="14" s="1"/>
  <c r="Q15" i="14" s="1"/>
  <c r="R15" i="14" s="1"/>
  <c r="S15" i="14" s="1"/>
  <c r="T15" i="14" s="1"/>
  <c r="U15" i="14" s="1"/>
  <c r="V15" i="14" s="1"/>
  <c r="W15" i="14" s="1"/>
  <c r="X15" i="14" s="1"/>
  <c r="Y15" i="14" s="1"/>
  <c r="Z15" i="14" s="1"/>
  <c r="N14" i="14"/>
  <c r="O14" i="14" s="1"/>
  <c r="Q14" i="14" s="1"/>
  <c r="R14" i="14" s="1"/>
  <c r="S14" i="14" s="1"/>
  <c r="T14" i="14" s="1"/>
  <c r="U14" i="14" s="1"/>
  <c r="V14" i="14" s="1"/>
  <c r="W14" i="14" s="1"/>
  <c r="X14" i="14" s="1"/>
  <c r="Y14" i="14" s="1"/>
  <c r="Z14" i="14" s="1"/>
  <c r="AA14" i="14" s="1"/>
  <c r="N3" i="14"/>
  <c r="O3" i="14" s="1"/>
  <c r="Q3" i="14" s="1"/>
  <c r="R3" i="14" s="1"/>
  <c r="S3" i="14" s="1"/>
  <c r="T3" i="14" s="1"/>
  <c r="U3" i="14" s="1"/>
  <c r="V3" i="14" s="1"/>
  <c r="W3" i="14" s="1"/>
  <c r="X3" i="14" s="1"/>
  <c r="Y3" i="14" s="1"/>
  <c r="Z3" i="14" s="1"/>
  <c r="AA3" i="14" s="1"/>
  <c r="N11" i="14"/>
  <c r="O11" i="14" s="1"/>
  <c r="Q11" i="14" s="1"/>
  <c r="R11" i="14" s="1"/>
  <c r="S11" i="14" s="1"/>
  <c r="T11" i="14" s="1"/>
  <c r="U11" i="14" s="1"/>
  <c r="V11" i="14" s="1"/>
  <c r="W11" i="14" s="1"/>
  <c r="X11" i="14" s="1"/>
  <c r="Y11" i="14" s="1"/>
  <c r="Z11" i="14" s="1"/>
  <c r="AA11" i="14" s="1"/>
  <c r="N10" i="14"/>
  <c r="O10" i="14" s="1"/>
  <c r="Q10" i="14" s="1"/>
  <c r="R10" i="14" s="1"/>
  <c r="S10" i="14" s="1"/>
  <c r="T10" i="14" s="1"/>
  <c r="U10" i="14" s="1"/>
  <c r="V10" i="14" s="1"/>
  <c r="W10" i="14" s="1"/>
  <c r="X10" i="14" s="1"/>
  <c r="Y10" i="14" s="1"/>
  <c r="Z10" i="14" s="1"/>
  <c r="AA10" i="14" s="1"/>
  <c r="N13" i="14"/>
  <c r="O13" i="14" s="1"/>
  <c r="Q13" i="14" s="1"/>
  <c r="R13" i="14" s="1"/>
  <c r="S13" i="14" s="1"/>
  <c r="T13" i="14" s="1"/>
  <c r="U13" i="14" s="1"/>
  <c r="V13" i="14" s="1"/>
  <c r="W13" i="14" s="1"/>
  <c r="X13" i="14" s="1"/>
  <c r="Y13" i="14" s="1"/>
  <c r="Z13" i="14" s="1"/>
  <c r="M17" i="14"/>
  <c r="N17" i="14" s="1"/>
  <c r="O17" i="14" s="1"/>
  <c r="Q17" i="14" s="1"/>
  <c r="R17" i="14" s="1"/>
  <c r="S17" i="14" s="1"/>
  <c r="T17" i="14" s="1"/>
  <c r="U17" i="14" s="1"/>
  <c r="V17" i="14" s="1"/>
  <c r="W17" i="14" s="1"/>
  <c r="X17" i="14" s="1"/>
  <c r="Y17" i="14" s="1"/>
  <c r="Z17" i="14" s="1"/>
  <c r="AA17" i="14" s="1"/>
  <c r="M19" i="14"/>
  <c r="N19" i="14" s="1"/>
  <c r="O19" i="14" s="1"/>
  <c r="Q19" i="14" s="1"/>
  <c r="R19" i="14" s="1"/>
  <c r="S19" i="14" s="1"/>
  <c r="T19" i="14" s="1"/>
  <c r="U19" i="14" s="1"/>
  <c r="V19" i="14" s="1"/>
  <c r="W19" i="14" s="1"/>
  <c r="X19" i="14" s="1"/>
  <c r="Y19" i="14" s="1"/>
  <c r="Z19" i="14" s="1"/>
  <c r="AA19" i="14" s="1"/>
  <c r="N8" i="14"/>
  <c r="O8" i="14" s="1"/>
  <c r="Q8" i="14" s="1"/>
  <c r="R8" i="14" s="1"/>
  <c r="S8" i="14" s="1"/>
  <c r="T8" i="14" s="1"/>
  <c r="U8" i="14" s="1"/>
  <c r="V8" i="14" s="1"/>
  <c r="W8" i="14" s="1"/>
  <c r="X8" i="14" s="1"/>
  <c r="Y8" i="14" s="1"/>
  <c r="Z8" i="14" s="1"/>
  <c r="N16" i="14"/>
  <c r="O16" i="14" s="1"/>
  <c r="Q16" i="14" s="1"/>
  <c r="R16" i="14" s="1"/>
  <c r="S16" i="14" s="1"/>
  <c r="T16" i="14" s="1"/>
  <c r="U16" i="14" s="1"/>
  <c r="V16" i="14" s="1"/>
  <c r="W16" i="14" s="1"/>
  <c r="X16" i="14" s="1"/>
  <c r="Y16" i="14" s="1"/>
  <c r="Z16" i="14" s="1"/>
  <c r="AA16" i="14" s="1"/>
  <c r="M9" i="14"/>
  <c r="N9" i="14" s="1"/>
  <c r="O9" i="14" s="1"/>
  <c r="Q9" i="14" s="1"/>
  <c r="N4" i="14"/>
  <c r="O4" i="14" s="1"/>
  <c r="Q4" i="14" s="1"/>
  <c r="R4" i="14" s="1"/>
  <c r="S4" i="14" s="1"/>
  <c r="T4" i="14" s="1"/>
  <c r="U4" i="14" s="1"/>
  <c r="V4" i="14" s="1"/>
  <c r="W4" i="14" s="1"/>
  <c r="X4" i="14" s="1"/>
  <c r="Y4" i="14" s="1"/>
  <c r="Z4" i="14" s="1"/>
  <c r="N20" i="14"/>
  <c r="O20" i="14" s="1"/>
  <c r="Q20" i="14" s="1"/>
  <c r="R20" i="14" s="1"/>
  <c r="S20" i="14" s="1"/>
  <c r="T20" i="14" s="1"/>
  <c r="U20" i="14" s="1"/>
  <c r="V20" i="14" s="1"/>
  <c r="W20" i="14" s="1"/>
  <c r="X20" i="14" s="1"/>
  <c r="Y20" i="14" s="1"/>
  <c r="Z20" i="14" s="1"/>
  <c r="N7" i="14"/>
  <c r="O7" i="14" s="1"/>
  <c r="Q7" i="14" s="1"/>
  <c r="R7" i="14" s="1"/>
  <c r="S7" i="14" s="1"/>
  <c r="T7" i="14" s="1"/>
  <c r="U7" i="14" s="1"/>
  <c r="V7" i="14" s="1"/>
  <c r="W7" i="14" s="1"/>
  <c r="X7" i="14" s="1"/>
  <c r="Y7" i="14" s="1"/>
  <c r="Z7" i="14" s="1"/>
  <c r="AA7" i="14" s="1"/>
  <c r="N5" i="14"/>
  <c r="O5" i="14" s="1"/>
  <c r="Q5" i="14" s="1"/>
  <c r="R5" i="14" s="1"/>
  <c r="P16" i="14" l="1"/>
  <c r="AK16" i="14" s="1"/>
  <c r="P3" i="14"/>
  <c r="AK3" i="14" s="1"/>
  <c r="P17" i="14"/>
  <c r="AK17" i="14" s="1"/>
  <c r="P12" i="14"/>
  <c r="AK12" i="14" s="1"/>
  <c r="P10" i="14"/>
  <c r="AK10" i="14" s="1"/>
  <c r="P20" i="14"/>
  <c r="AK20" i="14" s="1"/>
  <c r="P8" i="14"/>
  <c r="AK8" i="14" s="1"/>
  <c r="P21" i="14"/>
  <c r="P19" i="14"/>
  <c r="AK19" i="14" s="1"/>
  <c r="P18" i="14"/>
  <c r="AK18" i="14" s="1"/>
  <c r="AJ5" i="13"/>
  <c r="P5" i="14"/>
  <c r="P7" i="14"/>
  <c r="AK7" i="14" s="1"/>
  <c r="P4" i="14"/>
  <c r="AK4" i="14" s="1"/>
  <c r="P9" i="14"/>
  <c r="P13" i="14"/>
  <c r="AK13" i="14" s="1"/>
  <c r="P11" i="14"/>
  <c r="AK11" i="14" s="1"/>
  <c r="P15" i="14"/>
  <c r="AK15" i="14" s="1"/>
  <c r="P14" i="14"/>
  <c r="AK14" i="14" s="1"/>
  <c r="R9" i="14"/>
  <c r="T9" i="14" s="1"/>
  <c r="V9" i="14" s="1"/>
  <c r="X9" i="14" s="1"/>
  <c r="Z9" i="14" s="1"/>
  <c r="S9" i="14"/>
  <c r="U9" i="14" s="1"/>
  <c r="W9" i="14" s="1"/>
  <c r="Y9" i="14" s="1"/>
  <c r="N3" i="13"/>
  <c r="O3" i="13" s="1"/>
  <c r="O6" i="13" s="1"/>
  <c r="M6" i="13"/>
  <c r="S21" i="14"/>
  <c r="T21" i="14" s="1"/>
  <c r="U21" i="14" s="1"/>
  <c r="V21" i="14" s="1"/>
  <c r="W21" i="14" s="1"/>
  <c r="X21" i="14" s="1"/>
  <c r="Y21" i="14" s="1"/>
  <c r="Z21" i="14" s="1"/>
  <c r="AA21" i="14" s="1"/>
  <c r="S5" i="14"/>
  <c r="D24" i="14"/>
  <c r="M6" i="14"/>
  <c r="E5" i="10"/>
  <c r="AK21" i="14" l="1"/>
  <c r="AK9" i="14"/>
  <c r="C3" i="10"/>
  <c r="P3" i="13"/>
  <c r="N6" i="13"/>
  <c r="T5" i="14"/>
  <c r="N6" i="14"/>
  <c r="Q3" i="13" l="1"/>
  <c r="P6" i="13"/>
  <c r="U5" i="14"/>
  <c r="O6" i="14"/>
  <c r="P6" i="14" s="1"/>
  <c r="R3" i="13" l="1"/>
  <c r="Q6" i="13"/>
  <c r="C2" i="10"/>
  <c r="V5" i="14"/>
  <c r="Q6" i="14"/>
  <c r="R6" i="14" s="1"/>
  <c r="S6" i="14" l="1"/>
  <c r="S3" i="13"/>
  <c r="R6" i="13"/>
  <c r="W5" i="14"/>
  <c r="T6" i="14" l="1"/>
  <c r="T3" i="13"/>
  <c r="S6" i="13"/>
  <c r="X5" i="14"/>
  <c r="U6" i="14" l="1"/>
  <c r="U3" i="13"/>
  <c r="T6" i="13"/>
  <c r="Y5" i="14"/>
  <c r="C5" i="10"/>
  <c r="C6" i="10" s="1"/>
  <c r="V6" i="14" l="1"/>
  <c r="V3" i="13"/>
  <c r="U6" i="13"/>
  <c r="Z5" i="14"/>
  <c r="W6" i="14" l="1"/>
  <c r="W3" i="13"/>
  <c r="V6" i="13"/>
  <c r="AA5" i="14"/>
  <c r="X6" i="14" l="1"/>
  <c r="X3" i="13"/>
  <c r="W6" i="13"/>
  <c r="AK5" i="14"/>
  <c r="Y6" i="14" l="1"/>
  <c r="Y3" i="13"/>
  <c r="X6" i="13"/>
  <c r="Z6" i="14" l="1"/>
  <c r="Z3" i="13"/>
  <c r="Y6" i="13"/>
  <c r="AK6" i="14" l="1"/>
  <c r="D2" i="10" s="1"/>
  <c r="AA3" i="13"/>
  <c r="Z6" i="13"/>
  <c r="AB3" i="13" l="1"/>
  <c r="AA6" i="13"/>
  <c r="AC3" i="13" l="1"/>
  <c r="AB6" i="13"/>
  <c r="AD3" i="13" l="1"/>
  <c r="AC6" i="13"/>
  <c r="AE3" i="13" l="1"/>
  <c r="AD6" i="13"/>
  <c r="AF3" i="13" l="1"/>
  <c r="AE6" i="13"/>
  <c r="AG3" i="13" l="1"/>
  <c r="AF6" i="13"/>
  <c r="AH3" i="13" l="1"/>
  <c r="AG6" i="13"/>
  <c r="AI3" i="13" l="1"/>
  <c r="AI6" i="13" s="1"/>
  <c r="AH6" i="13"/>
  <c r="AJ3" i="13"/>
  <c r="AJ6" i="13" s="1"/>
  <c r="D3" i="10" s="1"/>
  <c r="D5" i="10" s="1"/>
  <c r="D6" i="10" s="1"/>
</calcChain>
</file>

<file path=xl/sharedStrings.xml><?xml version="1.0" encoding="utf-8"?>
<sst xmlns="http://schemas.openxmlformats.org/spreadsheetml/2006/main" count="177" uniqueCount="108">
  <si>
    <t>Measure</t>
  </si>
  <si>
    <t>Number of Facilities</t>
  </si>
  <si>
    <t>CPRG Total Ask</t>
  </si>
  <si>
    <t>LED Lighting</t>
  </si>
  <si>
    <t>Solar Ready Roofs</t>
  </si>
  <si>
    <t>School</t>
  </si>
  <si>
    <t>Address</t>
  </si>
  <si>
    <t>Zip</t>
  </si>
  <si>
    <t>LED</t>
  </si>
  <si>
    <t>Estimated Price ($)</t>
  </si>
  <si>
    <t>Estimated Incentive ($)</t>
  </si>
  <si>
    <t>Estimated Elec Savings (kWh) Year 1</t>
  </si>
  <si>
    <t>Estimated GHG Savings (MTCO2e) Year 1</t>
  </si>
  <si>
    <t>Expected Year of Completion</t>
  </si>
  <si>
    <t>Expected Quarter of Completion</t>
  </si>
  <si>
    <t>Estimated GHG Savings CPRG 2025</t>
  </si>
  <si>
    <t>Estimated GHG Savings CPRG 2026</t>
  </si>
  <si>
    <t>Estimated GHG Savings CPRG 2027</t>
  </si>
  <si>
    <t>Estimated GHG Savings CPRG 2028</t>
  </si>
  <si>
    <t>Estimated GHG Savings CPRG 2029</t>
  </si>
  <si>
    <t>Estimated GHG Savings CPRG pre-2030</t>
  </si>
  <si>
    <t>Estimated GHG Savings CPRG 2030</t>
  </si>
  <si>
    <t>Estimated GHG Savings CPRG 2031</t>
  </si>
  <si>
    <t>Estimated GHG Savings CPRG 2032</t>
  </si>
  <si>
    <t>Estimated GHG Savings CPRG 2033</t>
  </si>
  <si>
    <t>Estimated GHG Savings CPRG 2034</t>
  </si>
  <si>
    <t>Estimated GHG Savings CPRG 2035</t>
  </si>
  <si>
    <t>Estimated GHG Savings CPRG 2036</t>
  </si>
  <si>
    <t>Estimated GHG Savings CPRG 2037</t>
  </si>
  <si>
    <t>Estimated GHG Savings CPRG 2038</t>
  </si>
  <si>
    <t>Estimated GHG Savings CPRG 2039</t>
  </si>
  <si>
    <t>Estimated GHG Savings CPRG 2040</t>
  </si>
  <si>
    <t>Estimated GHG Savings CPRG 2041</t>
  </si>
  <si>
    <t>Estimated GHG Savings CPRG 2042</t>
  </si>
  <si>
    <t>Estimated GHG Savings CPRG 2043</t>
  </si>
  <si>
    <t>Estimated GHG Savings CPRG 2044</t>
  </si>
  <si>
    <t>Estimated GHG Savings CPRG 2045</t>
  </si>
  <si>
    <t>Estimated GHG Savings CPRG 2046</t>
  </si>
  <si>
    <t>Estimated GHG Savings CPRG 2047</t>
  </si>
  <si>
    <t>Estimated GHG Savings CPRG 2048</t>
  </si>
  <si>
    <t>Estimated GHG Savings CPRG 2049</t>
  </si>
  <si>
    <t>Estimated GHG Savings CPRG pre-2050</t>
  </si>
  <si>
    <t>BF Butler Middle School</t>
  </si>
  <si>
    <t>1140 Gorham St</t>
  </si>
  <si>
    <t>01852</t>
  </si>
  <si>
    <t>Q2</t>
  </si>
  <si>
    <t>*</t>
  </si>
  <si>
    <t>Bartlett Community Partnership</t>
  </si>
  <si>
    <t>79 Wannalancit St</t>
  </si>
  <si>
    <t>01854</t>
  </si>
  <si>
    <t>Q1</t>
  </si>
  <si>
    <t>Cardinal O'Connell Early Learning Center</t>
  </si>
  <si>
    <t>21 Carter St</t>
  </si>
  <si>
    <t>365 W. Meadow Rd</t>
  </si>
  <si>
    <t>Q3</t>
  </si>
  <si>
    <t>175 Campbell Dr</t>
  </si>
  <si>
    <t>01851</t>
  </si>
  <si>
    <t>Greenhalge Elementary School</t>
  </si>
  <si>
    <t>149 Ennell St</t>
  </si>
  <si>
    <t>110 June St</t>
  </si>
  <si>
    <t>01850</t>
  </si>
  <si>
    <t>150 Fleming St</t>
  </si>
  <si>
    <t>James Sullivan Middle School</t>
  </si>
  <si>
    <t>150 Draper St</t>
  </si>
  <si>
    <t>Q4</t>
  </si>
  <si>
    <t>1158 Gorham St</t>
  </si>
  <si>
    <t>131 Mammoth Rd</t>
  </si>
  <si>
    <t>Leblanc Therapeutic Day School</t>
  </si>
  <si>
    <t>58 Sycamore St</t>
  </si>
  <si>
    <t>LHS Freshman Academy</t>
  </si>
  <si>
    <t>40 Paige St</t>
  </si>
  <si>
    <t>73 Woburn St</t>
  </si>
  <si>
    <t>Moody Elementary School</t>
  </si>
  <si>
    <t>158 Rogers St</t>
  </si>
  <si>
    <t>Pawtucketville Elementary School</t>
  </si>
  <si>
    <t>425 W. Meadow Rd</t>
  </si>
  <si>
    <t>Rogers STEM Academy</t>
  </si>
  <si>
    <t>43 Highland St</t>
  </si>
  <si>
    <t>570 Beacon St</t>
  </si>
  <si>
    <t>Washington Elementary School</t>
  </si>
  <si>
    <t>795 Wilder St</t>
  </si>
  <si>
    <t>Potential CPRG Ask</t>
  </si>
  <si>
    <t>Match</t>
  </si>
  <si>
    <t>Solar</t>
  </si>
  <si>
    <t>Estimated Cost New Roof Structure</t>
  </si>
  <si>
    <t>Estimated Elec Savings (kWh)</t>
  </si>
  <si>
    <t>Estimated GHG Savings (MTCO2e)</t>
  </si>
  <si>
    <t>Estimated GHG Savings CPRG (MTCO2e)</t>
  </si>
  <si>
    <t>Estimated Date of Installation</t>
  </si>
  <si>
    <t>Kathryn P. Stoklosa Middle School</t>
  </si>
  <si>
    <t>560 Broadway St</t>
  </si>
  <si>
    <t>Pyne Arts School</t>
  </si>
  <si>
    <t>145 Boylston St</t>
  </si>
  <si>
    <t>Total</t>
  </si>
  <si>
    <t>Cost Effectiveness</t>
  </si>
  <si>
    <t>CPRG GHG Savings pre-2030 (MTCO2e)</t>
  </si>
  <si>
    <t>CPRG Cumulative Savings pre-2050 (MTCO2e)</t>
  </si>
  <si>
    <t>Community Outreach and Engagement</t>
  </si>
  <si>
    <t>Net Cost to CPRG ($)</t>
  </si>
  <si>
    <t>BRIDGE Program</t>
  </si>
  <si>
    <t>Bailey Elementary School</t>
  </si>
  <si>
    <t>Wang Middle School</t>
  </si>
  <si>
    <t>Daley Middle School</t>
  </si>
  <si>
    <t>McAvinnue Elementary School</t>
  </si>
  <si>
    <t>McAuliffe Elementary</t>
  </si>
  <si>
    <t>Robinson Middle School</t>
  </si>
  <si>
    <t>Shaughnessy Elementary School</t>
  </si>
  <si>
    <t>STEM Academy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</si>
</sst>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#,##0.0"/>
    <numFmt numFmtId="166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5EB89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42" fontId="0" fillId="2" borderId="5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42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wrapText="1"/>
    </xf>
    <xf numFmtId="42" fontId="0" fillId="0" borderId="0" xfId="0" applyNumberFormat="1" applyAlignment="1">
      <alignment horizontal="center" wrapText="1"/>
    </xf>
    <xf numFmtId="3" fontId="0" fillId="0" borderId="0" xfId="0" applyNumberFormat="1" applyAlignment="1">
      <alignment horizontal="center" wrapText="1"/>
    </xf>
    <xf numFmtId="9" fontId="0" fillId="0" borderId="0" xfId="0" applyNumberFormat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5" fontId="0" fillId="0" borderId="0" xfId="0" applyNumberFormat="1"/>
    <xf numFmtId="42" fontId="0" fillId="0" borderId="0" xfId="0" applyNumberFormat="1"/>
    <xf numFmtId="3" fontId="0" fillId="0" borderId="7" xfId="0" applyNumberFormat="1" applyBorder="1" applyAlignment="1">
      <alignment horizontal="center"/>
    </xf>
    <xf numFmtId="1" fontId="0" fillId="0" borderId="1" xfId="0" applyNumberFormat="1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0" fillId="0" borderId="0" xfId="0" applyNumberFormat="1"/>
    <xf numFmtId="44" fontId="0" fillId="0" borderId="0" xfId="0" applyNumberFormat="1"/>
    <xf numFmtId="6" fontId="0" fillId="0" borderId="1" xfId="0" applyNumberFormat="1" applyBorder="1" applyAlignment="1">
      <alignment horizontal="center" wrapText="1"/>
    </xf>
    <xf numFmtId="6" fontId="0" fillId="0" borderId="0" xfId="0" applyNumberFormat="1" applyAlignment="1">
      <alignment horizontal="center" wrapText="1"/>
    </xf>
    <xf numFmtId="3" fontId="0" fillId="3" borderId="1" xfId="0" applyNumberFormat="1" applyFill="1" applyBorder="1" applyAlignment="1">
      <alignment horizontal="center" wrapText="1"/>
    </xf>
    <xf numFmtId="3" fontId="1" fillId="3" borderId="0" xfId="0" applyNumberFormat="1" applyFont="1" applyFill="1" applyAlignment="1">
      <alignment horizontal="center" wrapText="1"/>
    </xf>
    <xf numFmtId="165" fontId="0" fillId="3" borderId="1" xfId="0" applyNumberFormat="1" applyFill="1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/>
    <xf numFmtId="42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3" fontId="0" fillId="0" borderId="8" xfId="0" applyNumberFormat="1" applyBorder="1"/>
    <xf numFmtId="6" fontId="0" fillId="0" borderId="8" xfId="0" applyNumberFormat="1" applyBorder="1"/>
    <xf numFmtId="0" fontId="1" fillId="4" borderId="8" xfId="0" applyFont="1" applyFill="1" applyBorder="1" applyAlignment="1">
      <alignment horizontal="right"/>
    </xf>
    <xf numFmtId="3" fontId="1" fillId="4" borderId="1" xfId="0" applyNumberFormat="1" applyFont="1" applyFill="1" applyBorder="1"/>
    <xf numFmtId="42" fontId="1" fillId="4" borderId="1" xfId="0" applyNumberFormat="1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0" fontId="1" fillId="4" borderId="0" xfId="0" applyFont="1" applyFill="1"/>
    <xf numFmtId="44" fontId="0" fillId="0" borderId="0" xfId="0" applyNumberFormat="1" applyAlignment="1">
      <alignment horizontal="center" wrapText="1"/>
    </xf>
    <xf numFmtId="8" fontId="0" fillId="0" borderId="0" xfId="0" applyNumberFormat="1" applyAlignment="1">
      <alignment horizontal="center" wrapText="1"/>
    </xf>
    <xf numFmtId="0" fontId="1" fillId="4" borderId="1" xfId="0" applyFont="1" applyFill="1" applyBorder="1"/>
    <xf numFmtId="43" fontId="1" fillId="4" borderId="1" xfId="0" applyNumberFormat="1" applyFont="1" applyFill="1" applyBorder="1"/>
    <xf numFmtId="43" fontId="1" fillId="4" borderId="1" xfId="0" applyNumberFormat="1" applyFont="1" applyFill="1" applyBorder="1" applyAlignment="1">
      <alignment horizontal="right"/>
    </xf>
    <xf numFmtId="166" fontId="0" fillId="0" borderId="0" xfId="0" applyNumberFormat="1" applyAlignment="1">
      <alignment horizontal="center" wrapText="1"/>
    </xf>
    <xf numFmtId="42" fontId="0" fillId="2" borderId="4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 wrapText="1"/>
    </xf>
    <xf numFmtId="49" fontId="0" fillId="2" borderId="5" xfId="0" applyNumberForma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E0F7D5"/>
      <color rgb="FFD9FADF"/>
      <color rgb="FF65EB89"/>
      <color rgb="FF78FF88"/>
      <color rgb="FF72ED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3"/>
  <sheetViews>
    <sheetView tabSelected="1" workbookViewId="0">
      <selection activeCell="R24" sqref="R24"/>
    </sheetView>
  </sheetViews>
  <sheetFormatPr defaultRowHeight="15" x14ac:dyDescent="0.25"/>
  <cols>
    <col min="1" max="1" width="36.85546875" customWidth="1"/>
    <col min="2" max="2" width="19.28515625" customWidth="1"/>
    <col min="3" max="3" width="22.5703125" customWidth="1"/>
    <col min="4" max="4" width="21.28515625" customWidth="1"/>
    <col min="5" max="5" width="26.42578125" customWidth="1"/>
    <col min="6" max="6" width="24.7109375" customWidth="1"/>
    <col min="8" max="8" width="11.28515625" customWidth="1"/>
    <col min="11" max="11" width="12.85546875" customWidth="1"/>
  </cols>
  <sheetData>
    <row r="1" spans="1:11" ht="45" x14ac:dyDescent="0.25">
      <c r="A1" s="45" t="s">
        <v>0</v>
      </c>
      <c r="B1" s="43" t="s">
        <v>1</v>
      </c>
      <c r="C1" s="44" t="s">
        <v>95</v>
      </c>
      <c r="D1" s="44" t="s">
        <v>96</v>
      </c>
      <c r="E1" s="43" t="s">
        <v>2</v>
      </c>
    </row>
    <row r="2" spans="1:11" x14ac:dyDescent="0.25">
      <c r="A2" s="31" t="s">
        <v>3</v>
      </c>
      <c r="B2" s="37">
        <v>19</v>
      </c>
      <c r="C2" s="38">
        <f>'LED Lighting CPRG Ask'!P22</f>
        <v>3255.0150365638092</v>
      </c>
      <c r="D2" s="38">
        <f>'LED Lighting CPRG Ask'!AK22</f>
        <v>11029.422013536217</v>
      </c>
      <c r="E2" s="39">
        <f>ROUNDUP('LED Lighting CPRG Ask'!D23,-3)</f>
        <v>3877000</v>
      </c>
    </row>
    <row r="3" spans="1:11" x14ac:dyDescent="0.25">
      <c r="A3" s="31" t="s">
        <v>4</v>
      </c>
      <c r="B3" s="36">
        <v>3</v>
      </c>
      <c r="C3" s="32">
        <f>'Solar Roofs CPRG Ask'!O6</f>
        <v>2473.0367040000001</v>
      </c>
      <c r="D3" s="32">
        <f>'Solar Roofs CPRG Ask'!AJ6</f>
        <v>14360.984082999108</v>
      </c>
      <c r="E3" s="33">
        <f>ROUNDUP('Solar Roofs CPRG Ask'!D7,-3)</f>
        <v>6053000</v>
      </c>
      <c r="K3" s="18"/>
    </row>
    <row r="4" spans="1:11" x14ac:dyDescent="0.25">
      <c r="A4" s="34" t="s">
        <v>97</v>
      </c>
      <c r="B4" s="31"/>
      <c r="C4" s="35"/>
      <c r="D4" s="31"/>
      <c r="E4" s="33">
        <v>36000</v>
      </c>
    </row>
    <row r="5" spans="1:11" x14ac:dyDescent="0.25">
      <c r="A5" s="48" t="s">
        <v>93</v>
      </c>
      <c r="B5" s="40"/>
      <c r="C5" s="41">
        <f>SUM(C2:C4)</f>
        <v>5728.0517405638093</v>
      </c>
      <c r="D5" s="41">
        <f>SUM(D2:D4)</f>
        <v>25390.406096535327</v>
      </c>
      <c r="E5" s="42">
        <f>SUM(E2:E4)</f>
        <v>9966000</v>
      </c>
    </row>
    <row r="6" spans="1:11" x14ac:dyDescent="0.25">
      <c r="A6" s="49" t="s">
        <v>94</v>
      </c>
      <c r="B6" s="50"/>
      <c r="C6" s="42">
        <f>E5/C5</f>
        <v>1739.8585856731545</v>
      </c>
      <c r="D6" s="42">
        <f>E5/D5</f>
        <v>392.51046092405431</v>
      </c>
      <c r="E6" s="49"/>
    </row>
    <row r="12" spans="1:11" x14ac:dyDescent="0.25">
      <c r="E12" s="25"/>
    </row>
    <row r="17" spans="5:15" x14ac:dyDescent="0.25">
      <c r="O17" s="24"/>
    </row>
    <row r="18" spans="5:15" x14ac:dyDescent="0.25">
      <c r="E18" s="18"/>
      <c r="F18" s="25"/>
      <c r="K18" s="17"/>
    </row>
    <row r="19" spans="5:15" x14ac:dyDescent="0.25">
      <c r="F19" s="25"/>
    </row>
    <row r="20" spans="5:15" x14ac:dyDescent="0.25">
      <c r="F20" s="25"/>
      <c r="K20" s="17"/>
    </row>
    <row r="21" spans="5:15" x14ac:dyDescent="0.25">
      <c r="F21" s="25"/>
      <c r="K21" s="25"/>
    </row>
    <row r="23" spans="5:15" x14ac:dyDescent="0.25">
      <c r="H23" s="18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5EB89"/>
    <pageSetUpPr fitToPage="1"/>
  </sheetPr>
  <dimension ref="A1:AL58"/>
  <sheetViews>
    <sheetView workbookViewId="0">
      <pane xSplit="1" ySplit="2" topLeftCell="E3" activePane="bottomRight" state="frozen"/>
      <selection pane="topRight"/>
      <selection pane="bottomLeft"/>
      <selection pane="bottomRight" activeCell="AA35" sqref="AA35"/>
    </sheetView>
  </sheetViews>
  <sheetFormatPr defaultRowHeight="15" x14ac:dyDescent="0.25"/>
  <cols>
    <col min="1" max="1" width="37" style="1" customWidth="1"/>
    <col min="2" max="2" width="33.42578125" style="1" customWidth="1"/>
    <col min="3" max="3" width="23" style="10" customWidth="1"/>
    <col min="4" max="6" width="15.28515625" style="11" customWidth="1"/>
    <col min="7" max="7" width="13.140625" style="12" customWidth="1"/>
    <col min="8" max="8" width="13.85546875" style="2" customWidth="1"/>
    <col min="9" max="37" width="12.5703125" style="2" customWidth="1"/>
    <col min="38" max="16384" width="9.140625" style="1"/>
  </cols>
  <sheetData>
    <row r="1" spans="1:38" ht="31.5" customHeight="1" x14ac:dyDescent="0.25">
      <c r="A1" s="53" t="s">
        <v>5</v>
      </c>
      <c r="B1" s="53" t="s">
        <v>6</v>
      </c>
      <c r="C1" s="55" t="s">
        <v>7</v>
      </c>
      <c r="D1" s="57" t="s">
        <v>8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</row>
    <row r="2" spans="1:38" s="2" customFormat="1" ht="59.25" customHeight="1" x14ac:dyDescent="0.25">
      <c r="A2" s="54"/>
      <c r="B2" s="54"/>
      <c r="C2" s="56"/>
      <c r="D2" s="4" t="s">
        <v>9</v>
      </c>
      <c r="E2" s="4" t="s">
        <v>10</v>
      </c>
      <c r="F2" s="52" t="s">
        <v>98</v>
      </c>
      <c r="G2" s="5" t="s">
        <v>11</v>
      </c>
      <c r="H2" s="15" t="s">
        <v>12</v>
      </c>
      <c r="I2" s="15" t="s">
        <v>13</v>
      </c>
      <c r="J2" s="15" t="s">
        <v>14</v>
      </c>
      <c r="K2" s="15" t="s">
        <v>15</v>
      </c>
      <c r="L2" s="15" t="s">
        <v>16</v>
      </c>
      <c r="M2" s="15" t="s">
        <v>17</v>
      </c>
      <c r="N2" s="15" t="s">
        <v>18</v>
      </c>
      <c r="O2" s="15" t="s">
        <v>19</v>
      </c>
      <c r="P2" s="15" t="s">
        <v>20</v>
      </c>
      <c r="Q2" s="15" t="s">
        <v>21</v>
      </c>
      <c r="R2" s="15" t="s">
        <v>22</v>
      </c>
      <c r="S2" s="15" t="s">
        <v>23</v>
      </c>
      <c r="T2" s="15" t="s">
        <v>24</v>
      </c>
      <c r="U2" s="15" t="s">
        <v>25</v>
      </c>
      <c r="V2" s="15" t="s">
        <v>26</v>
      </c>
      <c r="W2" s="15" t="s">
        <v>27</v>
      </c>
      <c r="X2" s="15" t="s">
        <v>28</v>
      </c>
      <c r="Y2" s="15" t="s">
        <v>29</v>
      </c>
      <c r="Z2" s="15" t="s">
        <v>30</v>
      </c>
      <c r="AA2" s="15" t="s">
        <v>31</v>
      </c>
      <c r="AB2" s="15" t="s">
        <v>32</v>
      </c>
      <c r="AC2" s="15" t="s">
        <v>33</v>
      </c>
      <c r="AD2" s="15" t="s">
        <v>34</v>
      </c>
      <c r="AE2" s="15" t="s">
        <v>35</v>
      </c>
      <c r="AF2" s="15" t="s">
        <v>36</v>
      </c>
      <c r="AG2" s="15" t="s">
        <v>37</v>
      </c>
      <c r="AH2" s="15" t="s">
        <v>38</v>
      </c>
      <c r="AI2" s="15" t="s">
        <v>39</v>
      </c>
      <c r="AJ2" s="15" t="s">
        <v>40</v>
      </c>
      <c r="AK2" s="15" t="s">
        <v>41</v>
      </c>
    </row>
    <row r="3" spans="1:38" x14ac:dyDescent="0.25">
      <c r="A3" s="6" t="s">
        <v>99</v>
      </c>
      <c r="B3" s="6" t="s">
        <v>71</v>
      </c>
      <c r="C3" s="7" t="s">
        <v>44</v>
      </c>
      <c r="D3" s="26">
        <f>1.18*60059</f>
        <v>70869.62</v>
      </c>
      <c r="E3" s="26">
        <v>17270</v>
      </c>
      <c r="F3" s="26">
        <f>D3-E3</f>
        <v>53599.619999999995</v>
      </c>
      <c r="G3" s="9">
        <v>15315</v>
      </c>
      <c r="H3" s="3">
        <v>10.7</v>
      </c>
      <c r="I3" s="3">
        <v>2026</v>
      </c>
      <c r="J3" s="3" t="s">
        <v>45</v>
      </c>
      <c r="K3" s="14">
        <v>0</v>
      </c>
      <c r="L3" s="14">
        <f>(D3-E3)/D3*H3*0.5</f>
        <v>4.0462749341678421</v>
      </c>
      <c r="M3" s="14">
        <f>(D3-E3)/D3*H3</f>
        <v>8.0925498683356842</v>
      </c>
      <c r="N3" s="14">
        <f t="shared" ref="N3:O6" si="0">M3</f>
        <v>8.0925498683356842</v>
      </c>
      <c r="O3" s="14">
        <f t="shared" si="0"/>
        <v>8.0925498683356842</v>
      </c>
      <c r="P3" s="28">
        <f>SUM(K3:O3)</f>
        <v>28.323924539174893</v>
      </c>
      <c r="Q3" s="14">
        <f>O3</f>
        <v>8.0925498683356842</v>
      </c>
      <c r="R3" s="14">
        <f>Q3</f>
        <v>8.0925498683356842</v>
      </c>
      <c r="S3" s="14">
        <f t="shared" ref="S3:AA3" si="1">R3</f>
        <v>8.0925498683356842</v>
      </c>
      <c r="T3" s="14">
        <f t="shared" si="1"/>
        <v>8.0925498683356842</v>
      </c>
      <c r="U3" s="14">
        <f t="shared" si="1"/>
        <v>8.0925498683356842</v>
      </c>
      <c r="V3" s="14">
        <f t="shared" si="1"/>
        <v>8.0925498683356842</v>
      </c>
      <c r="W3" s="14">
        <f t="shared" si="1"/>
        <v>8.0925498683356842</v>
      </c>
      <c r="X3" s="14">
        <f t="shared" si="1"/>
        <v>8.0925498683356842</v>
      </c>
      <c r="Y3" s="14">
        <f t="shared" si="1"/>
        <v>8.0925498683356842</v>
      </c>
      <c r="Z3" s="14">
        <f t="shared" si="1"/>
        <v>8.0925498683356842</v>
      </c>
      <c r="AA3" s="14">
        <f t="shared" si="1"/>
        <v>8.0925498683356842</v>
      </c>
      <c r="AB3" s="14">
        <v>0</v>
      </c>
      <c r="AC3" s="14">
        <v>0</v>
      </c>
      <c r="AD3" s="14">
        <v>0</v>
      </c>
      <c r="AE3" s="14">
        <v>0</v>
      </c>
      <c r="AF3" s="14">
        <v>0</v>
      </c>
      <c r="AG3" s="14">
        <v>0</v>
      </c>
      <c r="AH3" s="14">
        <v>0</v>
      </c>
      <c r="AI3" s="14">
        <v>0</v>
      </c>
      <c r="AJ3" s="14">
        <v>0</v>
      </c>
      <c r="AK3" s="28">
        <f>SUM(Q3:AJ3,P3)</f>
        <v>117.3419730908674</v>
      </c>
    </row>
    <row r="4" spans="1:38" x14ac:dyDescent="0.25">
      <c r="A4" s="6" t="s">
        <v>100</v>
      </c>
      <c r="B4" s="6" t="s">
        <v>55</v>
      </c>
      <c r="C4" s="7" t="s">
        <v>56</v>
      </c>
      <c r="D4" s="26">
        <f>1.18*211397</f>
        <v>249448.46</v>
      </c>
      <c r="E4" s="26">
        <v>31250</v>
      </c>
      <c r="F4" s="26">
        <f>D4-E4</f>
        <v>218198.46</v>
      </c>
      <c r="G4" s="9">
        <v>79295</v>
      </c>
      <c r="H4" s="3">
        <v>55.4</v>
      </c>
      <c r="I4" s="3">
        <v>2025</v>
      </c>
      <c r="J4" s="3" t="s">
        <v>54</v>
      </c>
      <c r="K4" s="14">
        <f>(D4-E4)/D4*0.25*H4</f>
        <v>12.114922140629771</v>
      </c>
      <c r="L4" s="14">
        <f>(D4-E4)/D4*H4</f>
        <v>48.459688562519084</v>
      </c>
      <c r="M4" s="14">
        <f>L4</f>
        <v>48.459688562519084</v>
      </c>
      <c r="N4" s="14">
        <f t="shared" si="0"/>
        <v>48.459688562519084</v>
      </c>
      <c r="O4" s="14">
        <f t="shared" si="0"/>
        <v>48.459688562519084</v>
      </c>
      <c r="P4" s="28">
        <f>SUM(K4:O4)</f>
        <v>205.95367639070611</v>
      </c>
      <c r="Q4" s="14">
        <f>O4</f>
        <v>48.459688562519084</v>
      </c>
      <c r="R4" s="14">
        <f>Q4</f>
        <v>48.459688562519084</v>
      </c>
      <c r="S4" s="14">
        <f t="shared" ref="S4:Z4" si="2">R4</f>
        <v>48.459688562519084</v>
      </c>
      <c r="T4" s="14">
        <f t="shared" si="2"/>
        <v>48.459688562519084</v>
      </c>
      <c r="U4" s="14">
        <f t="shared" si="2"/>
        <v>48.459688562519084</v>
      </c>
      <c r="V4" s="14">
        <f t="shared" si="2"/>
        <v>48.459688562519084</v>
      </c>
      <c r="W4" s="14">
        <f t="shared" si="2"/>
        <v>48.459688562519084</v>
      </c>
      <c r="X4" s="14">
        <f t="shared" si="2"/>
        <v>48.459688562519084</v>
      </c>
      <c r="Y4" s="14">
        <f t="shared" si="2"/>
        <v>48.459688562519084</v>
      </c>
      <c r="Z4" s="14">
        <f t="shared" si="2"/>
        <v>48.459688562519084</v>
      </c>
      <c r="AA4" s="14">
        <v>0</v>
      </c>
      <c r="AB4" s="14">
        <v>0</v>
      </c>
      <c r="AC4" s="14">
        <v>0</v>
      </c>
      <c r="AD4" s="14">
        <v>0</v>
      </c>
      <c r="AE4" s="14">
        <v>0</v>
      </c>
      <c r="AF4" s="14">
        <v>0</v>
      </c>
      <c r="AG4" s="14">
        <v>0</v>
      </c>
      <c r="AH4" s="14">
        <v>0</v>
      </c>
      <c r="AI4" s="14">
        <v>0</v>
      </c>
      <c r="AJ4" s="14">
        <v>0</v>
      </c>
      <c r="AK4" s="28">
        <f>SUM(Q4:AJ4,P4)</f>
        <v>690.55056201589696</v>
      </c>
    </row>
    <row r="5" spans="1:38" ht="13.5" customHeight="1" x14ac:dyDescent="0.25">
      <c r="A5" s="6" t="s">
        <v>47</v>
      </c>
      <c r="B5" s="6" t="s">
        <v>48</v>
      </c>
      <c r="C5" s="7" t="s">
        <v>49</v>
      </c>
      <c r="D5" s="26">
        <f>1.18*160725</f>
        <v>189655.5</v>
      </c>
      <c r="E5" s="26">
        <v>9690</v>
      </c>
      <c r="F5" s="26">
        <f>D5-E5</f>
        <v>179965.5</v>
      </c>
      <c r="G5" s="9">
        <v>39404</v>
      </c>
      <c r="H5" s="3">
        <v>27.5</v>
      </c>
      <c r="I5" s="3">
        <v>2026</v>
      </c>
      <c r="J5" s="3" t="s">
        <v>50</v>
      </c>
      <c r="K5" s="14">
        <v>0</v>
      </c>
      <c r="L5" s="14">
        <f>(D5-E5)/D5*H5*0.75</f>
        <v>19.571214320175265</v>
      </c>
      <c r="M5" s="14">
        <f>(D5-E5)/D5*H5</f>
        <v>26.094952426900356</v>
      </c>
      <c r="N5" s="14">
        <f t="shared" si="0"/>
        <v>26.094952426900356</v>
      </c>
      <c r="O5" s="14">
        <f t="shared" si="0"/>
        <v>26.094952426900356</v>
      </c>
      <c r="P5" s="28">
        <f>SUM(K5:O5)</f>
        <v>97.856071600876334</v>
      </c>
      <c r="Q5" s="14">
        <f>O5</f>
        <v>26.094952426900356</v>
      </c>
      <c r="R5" s="14">
        <f>Q5</f>
        <v>26.094952426900356</v>
      </c>
      <c r="S5" s="14">
        <f t="shared" ref="S5:AA5" si="3">R5</f>
        <v>26.094952426900356</v>
      </c>
      <c r="T5" s="14">
        <f t="shared" si="3"/>
        <v>26.094952426900356</v>
      </c>
      <c r="U5" s="14">
        <f t="shared" si="3"/>
        <v>26.094952426900356</v>
      </c>
      <c r="V5" s="14">
        <f t="shared" si="3"/>
        <v>26.094952426900356</v>
      </c>
      <c r="W5" s="14">
        <f t="shared" si="3"/>
        <v>26.094952426900356</v>
      </c>
      <c r="X5" s="14">
        <f t="shared" si="3"/>
        <v>26.094952426900356</v>
      </c>
      <c r="Y5" s="14">
        <f t="shared" si="3"/>
        <v>26.094952426900356</v>
      </c>
      <c r="Z5" s="14">
        <f t="shared" si="3"/>
        <v>26.094952426900356</v>
      </c>
      <c r="AA5" s="14">
        <f t="shared" si="3"/>
        <v>26.094952426900356</v>
      </c>
      <c r="AB5" s="14">
        <v>0</v>
      </c>
      <c r="AC5" s="14">
        <v>0</v>
      </c>
      <c r="AD5" s="14">
        <v>0</v>
      </c>
      <c r="AE5" s="14">
        <v>0</v>
      </c>
      <c r="AF5" s="14">
        <v>0</v>
      </c>
      <c r="AG5" s="14">
        <v>0</v>
      </c>
      <c r="AH5" s="14">
        <v>0</v>
      </c>
      <c r="AI5" s="14">
        <v>0</v>
      </c>
      <c r="AJ5" s="14">
        <v>0</v>
      </c>
      <c r="AK5" s="28">
        <f>SUM(Q5:AJ5,P5)</f>
        <v>384.90054829678024</v>
      </c>
    </row>
    <row r="6" spans="1:38" x14ac:dyDescent="0.25">
      <c r="A6" s="6" t="s">
        <v>42</v>
      </c>
      <c r="B6" s="6" t="s">
        <v>43</v>
      </c>
      <c r="C6" s="7" t="s">
        <v>44</v>
      </c>
      <c r="D6" s="26">
        <f>271111*1.18</f>
        <v>319910.98</v>
      </c>
      <c r="E6" s="26">
        <v>44965</v>
      </c>
      <c r="F6" s="26">
        <f>D6-E6</f>
        <v>274945.98</v>
      </c>
      <c r="G6" s="9">
        <v>101093</v>
      </c>
      <c r="H6" s="3">
        <v>70.599999999999994</v>
      </c>
      <c r="I6" s="3">
        <v>2025</v>
      </c>
      <c r="J6" s="3" t="s">
        <v>45</v>
      </c>
      <c r="K6" s="14">
        <f>(D6-E6)/D6*H6*0.5</f>
        <v>30.338418187459521</v>
      </c>
      <c r="L6" s="14">
        <f>(D6-E6)/D6*H6</f>
        <v>60.676836374919041</v>
      </c>
      <c r="M6" s="14">
        <f>L6</f>
        <v>60.676836374919041</v>
      </c>
      <c r="N6" s="14">
        <f t="shared" si="0"/>
        <v>60.676836374919041</v>
      </c>
      <c r="O6" s="14">
        <f t="shared" si="0"/>
        <v>60.676836374919041</v>
      </c>
      <c r="P6" s="28">
        <f t="shared" ref="P6:P21" si="4">SUM(K6:O6)</f>
        <v>273.04576368713566</v>
      </c>
      <c r="Q6" s="14">
        <f t="shared" ref="Q6:Q21" si="5">O6</f>
        <v>60.676836374919041</v>
      </c>
      <c r="R6" s="14">
        <f t="shared" ref="R6:R21" si="6">Q6</f>
        <v>60.676836374919041</v>
      </c>
      <c r="S6" s="14">
        <f t="shared" ref="S6:Z6" si="7">R6</f>
        <v>60.676836374919041</v>
      </c>
      <c r="T6" s="14">
        <f t="shared" si="7"/>
        <v>60.676836374919041</v>
      </c>
      <c r="U6" s="14">
        <f t="shared" si="7"/>
        <v>60.676836374919041</v>
      </c>
      <c r="V6" s="14">
        <f t="shared" si="7"/>
        <v>60.676836374919041</v>
      </c>
      <c r="W6" s="14">
        <f t="shared" si="7"/>
        <v>60.676836374919041</v>
      </c>
      <c r="X6" s="14">
        <f t="shared" si="7"/>
        <v>60.676836374919041</v>
      </c>
      <c r="Y6" s="14">
        <f t="shared" si="7"/>
        <v>60.676836374919041</v>
      </c>
      <c r="Z6" s="14">
        <f t="shared" si="7"/>
        <v>60.676836374919041</v>
      </c>
      <c r="AA6" s="14">
        <v>0</v>
      </c>
      <c r="AB6" s="14">
        <v>0</v>
      </c>
      <c r="AC6" s="14">
        <v>0</v>
      </c>
      <c r="AD6" s="14">
        <v>0</v>
      </c>
      <c r="AE6" s="14">
        <v>0</v>
      </c>
      <c r="AF6" s="14">
        <v>0</v>
      </c>
      <c r="AG6" s="14">
        <v>0</v>
      </c>
      <c r="AH6" s="14">
        <v>0</v>
      </c>
      <c r="AI6" s="14">
        <v>0</v>
      </c>
      <c r="AJ6" s="14">
        <v>0</v>
      </c>
      <c r="AK6" s="28">
        <f t="shared" ref="AK6:AK21" si="8">SUM(Q6:AJ6,P6)</f>
        <v>879.81412743632609</v>
      </c>
      <c r="AL6" s="1" t="s">
        <v>46</v>
      </c>
    </row>
    <row r="7" spans="1:38" ht="18.75" customHeight="1" x14ac:dyDescent="0.25">
      <c r="A7" s="6" t="s">
        <v>51</v>
      </c>
      <c r="B7" s="6" t="s">
        <v>52</v>
      </c>
      <c r="C7" s="7" t="s">
        <v>44</v>
      </c>
      <c r="D7" s="26">
        <f>1.18*62025</f>
        <v>73189.5</v>
      </c>
      <c r="E7" s="26">
        <v>18845</v>
      </c>
      <c r="F7" s="26">
        <f t="shared" ref="F7:F21" si="9">D7-E7</f>
        <v>54344.5</v>
      </c>
      <c r="G7" s="9">
        <v>11271</v>
      </c>
      <c r="H7" s="3">
        <v>7.9</v>
      </c>
      <c r="I7" s="3">
        <v>2026</v>
      </c>
      <c r="J7" s="3" t="s">
        <v>45</v>
      </c>
      <c r="K7" s="14">
        <v>0</v>
      </c>
      <c r="L7" s="14">
        <f>(D7-E7)/D7*H7*0.5</f>
        <v>2.9329449579516189</v>
      </c>
      <c r="M7" s="14">
        <f>(D7-E7)/D7*H7</f>
        <v>5.8658899159032378</v>
      </c>
      <c r="N7" s="14">
        <f t="shared" ref="N7:O7" si="10">M7</f>
        <v>5.8658899159032378</v>
      </c>
      <c r="O7" s="14">
        <f t="shared" si="10"/>
        <v>5.8658899159032378</v>
      </c>
      <c r="P7" s="28">
        <f t="shared" si="4"/>
        <v>20.530614705661332</v>
      </c>
      <c r="Q7" s="14">
        <f t="shared" si="5"/>
        <v>5.8658899159032378</v>
      </c>
      <c r="R7" s="14">
        <f t="shared" si="6"/>
        <v>5.8658899159032378</v>
      </c>
      <c r="S7" s="14">
        <f t="shared" ref="S7:AA7" si="11">R7</f>
        <v>5.8658899159032378</v>
      </c>
      <c r="T7" s="14">
        <f t="shared" si="11"/>
        <v>5.8658899159032378</v>
      </c>
      <c r="U7" s="14">
        <f t="shared" si="11"/>
        <v>5.8658899159032378</v>
      </c>
      <c r="V7" s="14">
        <f t="shared" si="11"/>
        <v>5.8658899159032378</v>
      </c>
      <c r="W7" s="14">
        <f t="shared" si="11"/>
        <v>5.8658899159032378</v>
      </c>
      <c r="X7" s="14">
        <f t="shared" si="11"/>
        <v>5.8658899159032378</v>
      </c>
      <c r="Y7" s="14">
        <f t="shared" si="11"/>
        <v>5.8658899159032378</v>
      </c>
      <c r="Z7" s="14">
        <f t="shared" si="11"/>
        <v>5.8658899159032378</v>
      </c>
      <c r="AA7" s="14">
        <f t="shared" si="11"/>
        <v>5.8658899159032378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0</v>
      </c>
      <c r="AH7" s="14">
        <v>0</v>
      </c>
      <c r="AI7" s="14">
        <v>0</v>
      </c>
      <c r="AJ7" s="14">
        <v>0</v>
      </c>
      <c r="AK7" s="28">
        <f t="shared" si="8"/>
        <v>85.055403780596947</v>
      </c>
    </row>
    <row r="8" spans="1:38" x14ac:dyDescent="0.25">
      <c r="A8" s="6" t="s">
        <v>102</v>
      </c>
      <c r="B8" s="6" t="s">
        <v>61</v>
      </c>
      <c r="C8" s="7" t="s">
        <v>56</v>
      </c>
      <c r="D8" s="26">
        <f>1.18*401102</f>
        <v>473300.36</v>
      </c>
      <c r="E8" s="26">
        <v>57940</v>
      </c>
      <c r="F8" s="26">
        <f>D8-E8</f>
        <v>415360.36</v>
      </c>
      <c r="G8" s="9">
        <v>106814</v>
      </c>
      <c r="H8" s="3">
        <v>74.599999999999994</v>
      </c>
      <c r="I8" s="3">
        <v>2025</v>
      </c>
      <c r="J8" s="3" t="s">
        <v>50</v>
      </c>
      <c r="K8" s="14">
        <f>(D8-E8)/D8*H8*0.75</f>
        <v>49.100770052234907</v>
      </c>
      <c r="L8" s="14">
        <f>(D8-E8)/D8*H8</f>
        <v>65.467693402979876</v>
      </c>
      <c r="M8" s="14">
        <f>L8</f>
        <v>65.467693402979876</v>
      </c>
      <c r="N8" s="14">
        <f>M8</f>
        <v>65.467693402979876</v>
      </c>
      <c r="O8" s="14">
        <f>N8</f>
        <v>65.467693402979876</v>
      </c>
      <c r="P8" s="28">
        <f>SUM(K8:O8)</f>
        <v>310.97154366415441</v>
      </c>
      <c r="Q8" s="14">
        <f>O8</f>
        <v>65.467693402979876</v>
      </c>
      <c r="R8" s="14">
        <f>Q8</f>
        <v>65.467693402979876</v>
      </c>
      <c r="S8" s="14">
        <f t="shared" ref="S8:Z8" si="12">R8</f>
        <v>65.467693402979876</v>
      </c>
      <c r="T8" s="14">
        <f t="shared" si="12"/>
        <v>65.467693402979876</v>
      </c>
      <c r="U8" s="14">
        <f t="shared" si="12"/>
        <v>65.467693402979876</v>
      </c>
      <c r="V8" s="14">
        <f t="shared" si="12"/>
        <v>65.467693402979876</v>
      </c>
      <c r="W8" s="14">
        <f t="shared" si="12"/>
        <v>65.467693402979876</v>
      </c>
      <c r="X8" s="14">
        <f t="shared" si="12"/>
        <v>65.467693402979876</v>
      </c>
      <c r="Y8" s="14">
        <f t="shared" si="12"/>
        <v>65.467693402979876</v>
      </c>
      <c r="Z8" s="14">
        <f t="shared" si="12"/>
        <v>65.467693402979876</v>
      </c>
      <c r="AA8" s="14">
        <v>0</v>
      </c>
      <c r="AB8" s="14">
        <v>0</v>
      </c>
      <c r="AC8" s="14">
        <v>0</v>
      </c>
      <c r="AD8" s="14">
        <v>0</v>
      </c>
      <c r="AE8" s="14">
        <v>0</v>
      </c>
      <c r="AF8" s="14">
        <v>0</v>
      </c>
      <c r="AG8" s="14">
        <v>0</v>
      </c>
      <c r="AH8" s="14">
        <v>0</v>
      </c>
      <c r="AI8" s="14">
        <v>0</v>
      </c>
      <c r="AJ8" s="14">
        <v>0</v>
      </c>
      <c r="AK8" s="28">
        <f>SUM(Q8:AJ8,P8)</f>
        <v>965.64847769395317</v>
      </c>
    </row>
    <row r="9" spans="1:38" x14ac:dyDescent="0.25">
      <c r="A9" s="6" t="s">
        <v>57</v>
      </c>
      <c r="B9" s="6" t="s">
        <v>58</v>
      </c>
      <c r="C9" s="7" t="s">
        <v>56</v>
      </c>
      <c r="D9" s="26">
        <f>1.18*241570</f>
        <v>285052.59999999998</v>
      </c>
      <c r="E9" s="26">
        <v>53710</v>
      </c>
      <c r="F9" s="26">
        <f t="shared" si="9"/>
        <v>231342.59999999998</v>
      </c>
      <c r="G9" s="9">
        <v>93847</v>
      </c>
      <c r="H9" s="3">
        <v>65.599999999999994</v>
      </c>
      <c r="I9" s="3">
        <v>2025</v>
      </c>
      <c r="J9" s="3" t="s">
        <v>45</v>
      </c>
      <c r="K9" s="14">
        <f>(D9-E9)/D9*H9*0.5</f>
        <v>26.619779226711138</v>
      </c>
      <c r="L9" s="14">
        <f>(D9-E9)/D9*H9</f>
        <v>53.239558453422276</v>
      </c>
      <c r="M9" s="14">
        <f t="shared" ref="M9:O9" si="13">L9</f>
        <v>53.239558453422276</v>
      </c>
      <c r="N9" s="14">
        <f t="shared" si="13"/>
        <v>53.239558453422276</v>
      </c>
      <c r="O9" s="14">
        <f t="shared" si="13"/>
        <v>53.239558453422276</v>
      </c>
      <c r="P9" s="28">
        <f t="shared" si="4"/>
        <v>239.57801304040021</v>
      </c>
      <c r="Q9" s="14">
        <f t="shared" si="5"/>
        <v>53.239558453422276</v>
      </c>
      <c r="R9" s="14">
        <f t="shared" si="6"/>
        <v>53.239558453422276</v>
      </c>
      <c r="S9" s="14">
        <f t="shared" ref="S9:Z9" si="14">Q9</f>
        <v>53.239558453422276</v>
      </c>
      <c r="T9" s="14">
        <f t="shared" si="14"/>
        <v>53.239558453422276</v>
      </c>
      <c r="U9" s="14">
        <f t="shared" si="14"/>
        <v>53.239558453422276</v>
      </c>
      <c r="V9" s="14">
        <f t="shared" si="14"/>
        <v>53.239558453422276</v>
      </c>
      <c r="W9" s="14">
        <f t="shared" si="14"/>
        <v>53.239558453422276</v>
      </c>
      <c r="X9" s="14">
        <f t="shared" si="14"/>
        <v>53.239558453422276</v>
      </c>
      <c r="Y9" s="14">
        <f t="shared" si="14"/>
        <v>53.239558453422276</v>
      </c>
      <c r="Z9" s="14">
        <f t="shared" si="14"/>
        <v>53.239558453422276</v>
      </c>
      <c r="AA9" s="14">
        <v>0</v>
      </c>
      <c r="AB9" s="14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28">
        <f t="shared" si="8"/>
        <v>771.973597574623</v>
      </c>
    </row>
    <row r="10" spans="1:38" x14ac:dyDescent="0.25">
      <c r="A10" s="6" t="s">
        <v>67</v>
      </c>
      <c r="B10" s="6" t="s">
        <v>68</v>
      </c>
      <c r="C10" s="7" t="s">
        <v>44</v>
      </c>
      <c r="D10" s="26">
        <f>1.18*79638</f>
        <v>93972.84</v>
      </c>
      <c r="E10" s="26">
        <v>22660</v>
      </c>
      <c r="F10" s="26">
        <f t="shared" ref="F10:F16" si="15">D10-E10</f>
        <v>71312.84</v>
      </c>
      <c r="G10" s="9">
        <v>27950</v>
      </c>
      <c r="H10" s="3">
        <v>19.5</v>
      </c>
      <c r="I10" s="3">
        <v>2026</v>
      </c>
      <c r="J10" s="3" t="s">
        <v>50</v>
      </c>
      <c r="K10" s="14">
        <v>0</v>
      </c>
      <c r="L10" s="14">
        <f>(D10-E10)/D10*0.75*H10</f>
        <v>11.098422533574595</v>
      </c>
      <c r="M10" s="14">
        <f>(D10-E10)/D10*H10</f>
        <v>14.797896711432793</v>
      </c>
      <c r="N10" s="14">
        <f t="shared" ref="N10:O10" si="16">M10</f>
        <v>14.797896711432793</v>
      </c>
      <c r="O10" s="14">
        <f t="shared" si="16"/>
        <v>14.797896711432793</v>
      </c>
      <c r="P10" s="28">
        <f t="shared" ref="P10:P16" si="17">SUM(K10:O10)</f>
        <v>55.492112667872973</v>
      </c>
      <c r="Q10" s="14">
        <f t="shared" ref="Q10:Q16" si="18">O10</f>
        <v>14.797896711432793</v>
      </c>
      <c r="R10" s="14">
        <f t="shared" ref="R10:R16" si="19">Q10</f>
        <v>14.797896711432793</v>
      </c>
      <c r="S10" s="14">
        <f t="shared" ref="S10:AA10" si="20">R10</f>
        <v>14.797896711432793</v>
      </c>
      <c r="T10" s="14">
        <f t="shared" si="20"/>
        <v>14.797896711432793</v>
      </c>
      <c r="U10" s="14">
        <f t="shared" si="20"/>
        <v>14.797896711432793</v>
      </c>
      <c r="V10" s="14">
        <f t="shared" si="20"/>
        <v>14.797896711432793</v>
      </c>
      <c r="W10" s="14">
        <f t="shared" si="20"/>
        <v>14.797896711432793</v>
      </c>
      <c r="X10" s="14">
        <f t="shared" si="20"/>
        <v>14.797896711432793</v>
      </c>
      <c r="Y10" s="14">
        <f t="shared" si="20"/>
        <v>14.797896711432793</v>
      </c>
      <c r="Z10" s="14">
        <f t="shared" si="20"/>
        <v>14.797896711432793</v>
      </c>
      <c r="AA10" s="14">
        <f t="shared" si="20"/>
        <v>14.797896711432793</v>
      </c>
      <c r="AB10" s="14">
        <v>0</v>
      </c>
      <c r="AC10" s="14">
        <v>0</v>
      </c>
      <c r="AD10" s="14">
        <v>0</v>
      </c>
      <c r="AE10" s="14">
        <v>0</v>
      </c>
      <c r="AF10" s="14">
        <v>0</v>
      </c>
      <c r="AG10" s="14">
        <v>0</v>
      </c>
      <c r="AH10" s="14">
        <v>0</v>
      </c>
      <c r="AI10" s="14">
        <v>0</v>
      </c>
      <c r="AJ10" s="14">
        <v>0</v>
      </c>
      <c r="AK10" s="28">
        <f t="shared" ref="AK10:AK16" si="21">SUM(Q10:AJ10,P10)</f>
        <v>218.26897649363372</v>
      </c>
    </row>
    <row r="11" spans="1:38" x14ac:dyDescent="0.25">
      <c r="A11" s="6" t="s">
        <v>69</v>
      </c>
      <c r="B11" s="6" t="s">
        <v>70</v>
      </c>
      <c r="C11" s="7" t="s">
        <v>44</v>
      </c>
      <c r="D11" s="26">
        <f>1.18*249446</f>
        <v>294346.27999999997</v>
      </c>
      <c r="E11" s="26">
        <v>26720</v>
      </c>
      <c r="F11" s="26">
        <f t="shared" si="15"/>
        <v>267626.27999999997</v>
      </c>
      <c r="G11" s="9">
        <v>64754</v>
      </c>
      <c r="H11" s="3">
        <v>45.2</v>
      </c>
      <c r="I11" s="3">
        <v>2025</v>
      </c>
      <c r="J11" s="3" t="s">
        <v>64</v>
      </c>
      <c r="K11" s="14">
        <v>0</v>
      </c>
      <c r="L11" s="14">
        <f>(D11-E11)/D11*H11</f>
        <v>41.096859984097641</v>
      </c>
      <c r="M11" s="14">
        <f t="shared" ref="M11:O11" si="22">L11</f>
        <v>41.096859984097641</v>
      </c>
      <c r="N11" s="14">
        <f t="shared" si="22"/>
        <v>41.096859984097641</v>
      </c>
      <c r="O11" s="14">
        <f t="shared" si="22"/>
        <v>41.096859984097641</v>
      </c>
      <c r="P11" s="28">
        <f t="shared" si="17"/>
        <v>164.38743993639056</v>
      </c>
      <c r="Q11" s="14">
        <f t="shared" si="18"/>
        <v>41.096859984097641</v>
      </c>
      <c r="R11" s="14">
        <f t="shared" si="19"/>
        <v>41.096859984097641</v>
      </c>
      <c r="S11" s="14">
        <f t="shared" ref="S11:AA11" si="23">R11</f>
        <v>41.096859984097641</v>
      </c>
      <c r="T11" s="14">
        <f t="shared" si="23"/>
        <v>41.096859984097641</v>
      </c>
      <c r="U11" s="14">
        <f t="shared" si="23"/>
        <v>41.096859984097641</v>
      </c>
      <c r="V11" s="14">
        <f t="shared" si="23"/>
        <v>41.096859984097641</v>
      </c>
      <c r="W11" s="14">
        <f t="shared" si="23"/>
        <v>41.096859984097641</v>
      </c>
      <c r="X11" s="14">
        <f t="shared" si="23"/>
        <v>41.096859984097641</v>
      </c>
      <c r="Y11" s="14">
        <f t="shared" si="23"/>
        <v>41.096859984097641</v>
      </c>
      <c r="Z11" s="14">
        <f t="shared" si="23"/>
        <v>41.096859984097641</v>
      </c>
      <c r="AA11" s="14">
        <f t="shared" si="23"/>
        <v>41.096859984097641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28">
        <f t="shared" si="21"/>
        <v>616.45289976146466</v>
      </c>
    </row>
    <row r="12" spans="1:38" x14ac:dyDescent="0.25">
      <c r="A12" s="6" t="s">
        <v>104</v>
      </c>
      <c r="B12" s="6" t="s">
        <v>78</v>
      </c>
      <c r="C12" s="7" t="s">
        <v>60</v>
      </c>
      <c r="D12" s="26">
        <f>1.18*177440</f>
        <v>209379.19999999998</v>
      </c>
      <c r="E12" s="26">
        <v>35810</v>
      </c>
      <c r="F12" s="26">
        <f t="shared" si="15"/>
        <v>173569.19999999998</v>
      </c>
      <c r="G12" s="9">
        <v>94298</v>
      </c>
      <c r="H12" s="3">
        <v>65.900000000000006</v>
      </c>
      <c r="I12" s="3">
        <v>2025</v>
      </c>
      <c r="J12" s="3" t="s">
        <v>45</v>
      </c>
      <c r="K12" s="14">
        <f>(D12-E12)/D12*H12*0.5</f>
        <v>27.314581104522325</v>
      </c>
      <c r="L12" s="14">
        <f>(D12-E12)/D12*H12</f>
        <v>54.629162209044651</v>
      </c>
      <c r="M12" s="14">
        <f t="shared" ref="M12:O13" si="24">L12</f>
        <v>54.629162209044651</v>
      </c>
      <c r="N12" s="14">
        <f t="shared" si="24"/>
        <v>54.629162209044651</v>
      </c>
      <c r="O12" s="14">
        <f t="shared" si="24"/>
        <v>54.629162209044651</v>
      </c>
      <c r="P12" s="28">
        <f t="shared" si="17"/>
        <v>245.83122994070089</v>
      </c>
      <c r="Q12" s="14">
        <f t="shared" si="18"/>
        <v>54.629162209044651</v>
      </c>
      <c r="R12" s="14">
        <f t="shared" si="19"/>
        <v>54.629162209044651</v>
      </c>
      <c r="S12" s="14">
        <f t="shared" ref="S12:Z13" si="25">R12</f>
        <v>54.629162209044651</v>
      </c>
      <c r="T12" s="14">
        <f t="shared" si="25"/>
        <v>54.629162209044651</v>
      </c>
      <c r="U12" s="14">
        <f t="shared" si="25"/>
        <v>54.629162209044651</v>
      </c>
      <c r="V12" s="14">
        <f t="shared" si="25"/>
        <v>54.629162209044651</v>
      </c>
      <c r="W12" s="14">
        <f t="shared" si="25"/>
        <v>54.629162209044651</v>
      </c>
      <c r="X12" s="14">
        <f t="shared" si="25"/>
        <v>54.629162209044651</v>
      </c>
      <c r="Y12" s="14">
        <f t="shared" si="25"/>
        <v>54.629162209044651</v>
      </c>
      <c r="Z12" s="14">
        <f t="shared" si="25"/>
        <v>54.629162209044651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28">
        <f t="shared" si="21"/>
        <v>792.12285203114743</v>
      </c>
    </row>
    <row r="13" spans="1:38" x14ac:dyDescent="0.25">
      <c r="A13" s="6" t="s">
        <v>103</v>
      </c>
      <c r="B13" s="6" t="s">
        <v>66</v>
      </c>
      <c r="C13" s="7" t="s">
        <v>49</v>
      </c>
      <c r="D13" s="26">
        <f>1.18*204023</f>
        <v>240747.13999999998</v>
      </c>
      <c r="E13" s="26">
        <v>34940</v>
      </c>
      <c r="F13" s="26">
        <f t="shared" si="15"/>
        <v>205807.13999999998</v>
      </c>
      <c r="G13" s="9">
        <v>93164</v>
      </c>
      <c r="H13" s="3">
        <v>65.099999999999994</v>
      </c>
      <c r="I13" s="3">
        <v>2025</v>
      </c>
      <c r="J13" s="3" t="s">
        <v>54</v>
      </c>
      <c r="K13" s="14">
        <f>(D13-E13)/D13*H13*0.25</f>
        <v>13.912984401393096</v>
      </c>
      <c r="L13" s="14">
        <f>(D13-E13)/D13*H13</f>
        <v>55.651937605572385</v>
      </c>
      <c r="M13" s="14">
        <f t="shared" si="24"/>
        <v>55.651937605572385</v>
      </c>
      <c r="N13" s="14">
        <f t="shared" si="24"/>
        <v>55.651937605572385</v>
      </c>
      <c r="O13" s="14">
        <f t="shared" si="24"/>
        <v>55.651937605572385</v>
      </c>
      <c r="P13" s="28">
        <f t="shared" si="17"/>
        <v>236.52073482368263</v>
      </c>
      <c r="Q13" s="14">
        <f t="shared" si="18"/>
        <v>55.651937605572385</v>
      </c>
      <c r="R13" s="14">
        <f t="shared" si="19"/>
        <v>55.651937605572385</v>
      </c>
      <c r="S13" s="14">
        <f t="shared" si="25"/>
        <v>55.651937605572385</v>
      </c>
      <c r="T13" s="14">
        <f t="shared" si="25"/>
        <v>55.651937605572385</v>
      </c>
      <c r="U13" s="14">
        <f t="shared" si="25"/>
        <v>55.651937605572385</v>
      </c>
      <c r="V13" s="14">
        <f t="shared" si="25"/>
        <v>55.651937605572385</v>
      </c>
      <c r="W13" s="14">
        <f t="shared" si="25"/>
        <v>55.651937605572385</v>
      </c>
      <c r="X13" s="14">
        <f t="shared" si="25"/>
        <v>55.651937605572385</v>
      </c>
      <c r="Y13" s="14">
        <f t="shared" si="25"/>
        <v>55.651937605572385</v>
      </c>
      <c r="Z13" s="14">
        <f t="shared" si="25"/>
        <v>55.651937605572385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0</v>
      </c>
      <c r="AG13" s="14">
        <v>0</v>
      </c>
      <c r="AH13" s="14">
        <v>0</v>
      </c>
      <c r="AI13" s="14">
        <v>0</v>
      </c>
      <c r="AJ13" s="14">
        <v>0</v>
      </c>
      <c r="AK13" s="28">
        <f t="shared" si="21"/>
        <v>793.04011087940626</v>
      </c>
    </row>
    <row r="14" spans="1:38" x14ac:dyDescent="0.25">
      <c r="A14" s="6" t="s">
        <v>72</v>
      </c>
      <c r="B14" s="6" t="s">
        <v>73</v>
      </c>
      <c r="C14" s="7" t="s">
        <v>44</v>
      </c>
      <c r="D14" s="26">
        <f>1.18*107236</f>
        <v>126538.48</v>
      </c>
      <c r="E14" s="26">
        <v>22680</v>
      </c>
      <c r="F14" s="26">
        <f t="shared" si="15"/>
        <v>103858.48</v>
      </c>
      <c r="G14" s="9">
        <v>39553</v>
      </c>
      <c r="H14" s="3">
        <v>27.6</v>
      </c>
      <c r="I14" s="3">
        <v>2026</v>
      </c>
      <c r="J14" s="3" t="s">
        <v>50</v>
      </c>
      <c r="K14" s="14">
        <v>0</v>
      </c>
      <c r="L14" s="14">
        <f>(D14-E14)/D14*H14*0.75</f>
        <v>16.989855860446561</v>
      </c>
      <c r="M14" s="14">
        <f>(D14-E14)/D14*H14</f>
        <v>22.653141147262083</v>
      </c>
      <c r="N14" s="14">
        <f>M14</f>
        <v>22.653141147262083</v>
      </c>
      <c r="O14" s="14">
        <f>N14</f>
        <v>22.653141147262083</v>
      </c>
      <c r="P14" s="28">
        <f t="shared" si="17"/>
        <v>84.94927930223281</v>
      </c>
      <c r="Q14" s="14">
        <f t="shared" si="18"/>
        <v>22.653141147262083</v>
      </c>
      <c r="R14" s="14">
        <f t="shared" si="19"/>
        <v>22.653141147262083</v>
      </c>
      <c r="S14" s="14">
        <f t="shared" ref="S14:AA14" si="26">R14</f>
        <v>22.653141147262083</v>
      </c>
      <c r="T14" s="14">
        <f t="shared" si="26"/>
        <v>22.653141147262083</v>
      </c>
      <c r="U14" s="14">
        <f t="shared" si="26"/>
        <v>22.653141147262083</v>
      </c>
      <c r="V14" s="14">
        <f t="shared" si="26"/>
        <v>22.653141147262083</v>
      </c>
      <c r="W14" s="14">
        <f t="shared" si="26"/>
        <v>22.653141147262083</v>
      </c>
      <c r="X14" s="14">
        <f t="shared" si="26"/>
        <v>22.653141147262083</v>
      </c>
      <c r="Y14" s="14">
        <f t="shared" si="26"/>
        <v>22.653141147262083</v>
      </c>
      <c r="Z14" s="14">
        <f t="shared" si="26"/>
        <v>22.653141147262083</v>
      </c>
      <c r="AA14" s="14">
        <f t="shared" si="26"/>
        <v>22.653141147262083</v>
      </c>
      <c r="AB14" s="14">
        <v>0</v>
      </c>
      <c r="AC14" s="14">
        <v>0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28">
        <f t="shared" si="21"/>
        <v>334.13383192211575</v>
      </c>
    </row>
    <row r="15" spans="1:38" ht="17.25" customHeight="1" x14ac:dyDescent="0.25">
      <c r="A15" s="6" t="s">
        <v>74</v>
      </c>
      <c r="B15" s="6" t="s">
        <v>75</v>
      </c>
      <c r="C15" s="7" t="s">
        <v>49</v>
      </c>
      <c r="D15" s="26">
        <f>1.18*301736</f>
        <v>356048.48</v>
      </c>
      <c r="E15" s="26">
        <v>62435</v>
      </c>
      <c r="F15" s="26">
        <f t="shared" si="15"/>
        <v>293613.48</v>
      </c>
      <c r="G15" s="9">
        <v>126875</v>
      </c>
      <c r="H15" s="3">
        <v>88.6</v>
      </c>
      <c r="I15" s="3">
        <v>2025</v>
      </c>
      <c r="J15" s="3" t="s">
        <v>50</v>
      </c>
      <c r="K15" s="14">
        <f>(D15-E15)/D15*H15*0.75</f>
        <v>54.797638080072687</v>
      </c>
      <c r="L15" s="14">
        <f>(D15-E15)/D15*H15</f>
        <v>73.063517440096916</v>
      </c>
      <c r="M15" s="14">
        <f t="shared" ref="M15:O15" si="27">L15</f>
        <v>73.063517440096916</v>
      </c>
      <c r="N15" s="14">
        <f t="shared" si="27"/>
        <v>73.063517440096916</v>
      </c>
      <c r="O15" s="14">
        <f t="shared" si="27"/>
        <v>73.063517440096916</v>
      </c>
      <c r="P15" s="28">
        <f t="shared" si="17"/>
        <v>347.05170784046038</v>
      </c>
      <c r="Q15" s="14">
        <f t="shared" si="18"/>
        <v>73.063517440096916</v>
      </c>
      <c r="R15" s="14">
        <f t="shared" si="19"/>
        <v>73.063517440096916</v>
      </c>
      <c r="S15" s="14">
        <f t="shared" ref="S15:Z15" si="28">R15</f>
        <v>73.063517440096916</v>
      </c>
      <c r="T15" s="14">
        <f t="shared" si="28"/>
        <v>73.063517440096916</v>
      </c>
      <c r="U15" s="14">
        <f t="shared" si="28"/>
        <v>73.063517440096916</v>
      </c>
      <c r="V15" s="14">
        <f t="shared" si="28"/>
        <v>73.063517440096916</v>
      </c>
      <c r="W15" s="14">
        <f t="shared" si="28"/>
        <v>73.063517440096916</v>
      </c>
      <c r="X15" s="14">
        <f t="shared" si="28"/>
        <v>73.063517440096916</v>
      </c>
      <c r="Y15" s="14">
        <f t="shared" si="28"/>
        <v>73.063517440096916</v>
      </c>
      <c r="Z15" s="14">
        <f t="shared" si="28"/>
        <v>73.063517440096916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28">
        <f t="shared" si="21"/>
        <v>1077.6868822414294</v>
      </c>
    </row>
    <row r="16" spans="1:38" ht="19.5" customHeight="1" x14ac:dyDescent="0.25">
      <c r="A16" s="6" t="s">
        <v>105</v>
      </c>
      <c r="B16" s="6" t="s">
        <v>59</v>
      </c>
      <c r="C16" s="7" t="s">
        <v>60</v>
      </c>
      <c r="D16" s="26">
        <f>1.18*125638</f>
        <v>148252.84</v>
      </c>
      <c r="E16" s="26">
        <v>14325</v>
      </c>
      <c r="F16" s="26">
        <f t="shared" si="15"/>
        <v>133927.84</v>
      </c>
      <c r="G16" s="9">
        <v>24795</v>
      </c>
      <c r="H16" s="3">
        <v>17.3</v>
      </c>
      <c r="I16" s="3">
        <v>2026</v>
      </c>
      <c r="J16" s="3" t="s">
        <v>45</v>
      </c>
      <c r="K16" s="14">
        <v>0</v>
      </c>
      <c r="L16" s="14">
        <f>(D16-E16)/D16*H16*0.5</f>
        <v>7.8141897045614774</v>
      </c>
      <c r="M16" s="14">
        <f>(D16-E16)/D16*H16</f>
        <v>15.628379409122955</v>
      </c>
      <c r="N16" s="14">
        <f>M16</f>
        <v>15.628379409122955</v>
      </c>
      <c r="O16" s="14">
        <f>N16</f>
        <v>15.628379409122955</v>
      </c>
      <c r="P16" s="28">
        <f t="shared" si="17"/>
        <v>54.699327931930341</v>
      </c>
      <c r="Q16" s="14">
        <f t="shared" si="18"/>
        <v>15.628379409122955</v>
      </c>
      <c r="R16" s="14">
        <f t="shared" si="19"/>
        <v>15.628379409122955</v>
      </c>
      <c r="S16" s="14">
        <f t="shared" ref="S16:AA16" si="29">R16</f>
        <v>15.628379409122955</v>
      </c>
      <c r="T16" s="14">
        <f t="shared" si="29"/>
        <v>15.628379409122955</v>
      </c>
      <c r="U16" s="14">
        <f t="shared" si="29"/>
        <v>15.628379409122955</v>
      </c>
      <c r="V16" s="14">
        <f t="shared" si="29"/>
        <v>15.628379409122955</v>
      </c>
      <c r="W16" s="14">
        <f t="shared" si="29"/>
        <v>15.628379409122955</v>
      </c>
      <c r="X16" s="14">
        <f t="shared" si="29"/>
        <v>15.628379409122955</v>
      </c>
      <c r="Y16" s="14">
        <f t="shared" si="29"/>
        <v>15.628379409122955</v>
      </c>
      <c r="Z16" s="14">
        <f t="shared" si="29"/>
        <v>15.628379409122955</v>
      </c>
      <c r="AA16" s="14">
        <f t="shared" si="29"/>
        <v>15.628379409122955</v>
      </c>
      <c r="AB16" s="14">
        <v>0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28">
        <f t="shared" si="21"/>
        <v>226.61150143228281</v>
      </c>
    </row>
    <row r="17" spans="1:37" ht="19.5" customHeight="1" x14ac:dyDescent="0.25">
      <c r="A17" s="6" t="s">
        <v>106</v>
      </c>
      <c r="B17" s="6" t="s">
        <v>65</v>
      </c>
      <c r="C17" s="7" t="s">
        <v>44</v>
      </c>
      <c r="D17" s="26">
        <f>1.18*172263</f>
        <v>203270.34</v>
      </c>
      <c r="E17" s="26">
        <v>42030</v>
      </c>
      <c r="F17" s="26">
        <f t="shared" si="9"/>
        <v>161240.34</v>
      </c>
      <c r="G17" s="9">
        <v>72995</v>
      </c>
      <c r="H17" s="3">
        <v>51</v>
      </c>
      <c r="I17" s="3">
        <v>2025</v>
      </c>
      <c r="J17" s="3" t="s">
        <v>64</v>
      </c>
      <c r="K17" s="14">
        <v>0</v>
      </c>
      <c r="L17" s="14">
        <f>(D17-E17)/D17*H17</f>
        <v>40.454782237290495</v>
      </c>
      <c r="M17" s="14">
        <f t="shared" ref="M17:O17" si="30">L17</f>
        <v>40.454782237290495</v>
      </c>
      <c r="N17" s="14">
        <f t="shared" si="30"/>
        <v>40.454782237290495</v>
      </c>
      <c r="O17" s="14">
        <f t="shared" si="30"/>
        <v>40.454782237290495</v>
      </c>
      <c r="P17" s="28">
        <f t="shared" si="4"/>
        <v>161.81912894916198</v>
      </c>
      <c r="Q17" s="14">
        <f t="shared" si="5"/>
        <v>40.454782237290495</v>
      </c>
      <c r="R17" s="14">
        <f t="shared" si="6"/>
        <v>40.454782237290495</v>
      </c>
      <c r="S17" s="14">
        <f t="shared" ref="S17:Z17" si="31">R17</f>
        <v>40.454782237290495</v>
      </c>
      <c r="T17" s="14">
        <f t="shared" si="31"/>
        <v>40.454782237290495</v>
      </c>
      <c r="U17" s="14">
        <f t="shared" si="31"/>
        <v>40.454782237290495</v>
      </c>
      <c r="V17" s="14">
        <f t="shared" si="31"/>
        <v>40.454782237290495</v>
      </c>
      <c r="W17" s="14">
        <f t="shared" si="31"/>
        <v>40.454782237290495</v>
      </c>
      <c r="X17" s="14">
        <f t="shared" si="31"/>
        <v>40.454782237290495</v>
      </c>
      <c r="Y17" s="14">
        <f t="shared" si="31"/>
        <v>40.454782237290495</v>
      </c>
      <c r="Z17" s="14">
        <f t="shared" si="31"/>
        <v>40.454782237290495</v>
      </c>
      <c r="AA17" s="14">
        <f>Z17</f>
        <v>40.454782237290495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I17" s="14">
        <v>0</v>
      </c>
      <c r="AJ17" s="14">
        <v>0</v>
      </c>
      <c r="AK17" s="28">
        <f t="shared" si="8"/>
        <v>606.82173355935743</v>
      </c>
    </row>
    <row r="18" spans="1:37" x14ac:dyDescent="0.25">
      <c r="A18" s="6" t="s">
        <v>107</v>
      </c>
      <c r="B18" s="6" t="s">
        <v>77</v>
      </c>
      <c r="C18" s="7" t="s">
        <v>44</v>
      </c>
      <c r="D18" s="26">
        <f>1.18*371690</f>
        <v>438594.19999999995</v>
      </c>
      <c r="E18" s="26">
        <v>90720</v>
      </c>
      <c r="F18" s="26">
        <f>D18-E18</f>
        <v>347874.19999999995</v>
      </c>
      <c r="G18" s="9">
        <v>116799</v>
      </c>
      <c r="H18" s="3">
        <v>81.599999999999994</v>
      </c>
      <c r="I18" s="3">
        <v>2025</v>
      </c>
      <c r="J18" s="3" t="s">
        <v>50</v>
      </c>
      <c r="K18" s="14">
        <f>(D18-E18)/D18*H18*0.75</f>
        <v>48.541227950574807</v>
      </c>
      <c r="L18" s="14">
        <f>(D18-E18)/D18*H18</f>
        <v>64.721637267433081</v>
      </c>
      <c r="M18" s="14">
        <f t="shared" ref="M18:O18" si="32">L18</f>
        <v>64.721637267433081</v>
      </c>
      <c r="N18" s="14">
        <f t="shared" si="32"/>
        <v>64.721637267433081</v>
      </c>
      <c r="O18" s="14">
        <f t="shared" si="32"/>
        <v>64.721637267433081</v>
      </c>
      <c r="P18" s="28">
        <f>SUM(K18:O18)</f>
        <v>307.42777702030713</v>
      </c>
      <c r="Q18" s="14">
        <f>O18</f>
        <v>64.721637267433081</v>
      </c>
      <c r="R18" s="14">
        <f>Q18</f>
        <v>64.721637267433081</v>
      </c>
      <c r="S18" s="14">
        <f t="shared" ref="S18:Z18" si="33">R18</f>
        <v>64.721637267433081</v>
      </c>
      <c r="T18" s="14">
        <f t="shared" si="33"/>
        <v>64.721637267433081</v>
      </c>
      <c r="U18" s="14">
        <f t="shared" si="33"/>
        <v>64.721637267433081</v>
      </c>
      <c r="V18" s="14">
        <f t="shared" si="33"/>
        <v>64.721637267433081</v>
      </c>
      <c r="W18" s="14">
        <f t="shared" si="33"/>
        <v>64.721637267433081</v>
      </c>
      <c r="X18" s="14">
        <f t="shared" si="33"/>
        <v>64.721637267433081</v>
      </c>
      <c r="Y18" s="14">
        <f t="shared" si="33"/>
        <v>64.721637267433081</v>
      </c>
      <c r="Z18" s="14">
        <f t="shared" si="33"/>
        <v>64.721637267433081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28">
        <f>SUM(Q18:AJ18,P18)</f>
        <v>954.64414969463792</v>
      </c>
    </row>
    <row r="19" spans="1:37" x14ac:dyDescent="0.25">
      <c r="A19" s="6" t="s">
        <v>62</v>
      </c>
      <c r="B19" s="6" t="s">
        <v>63</v>
      </c>
      <c r="C19" s="7" t="s">
        <v>44</v>
      </c>
      <c r="D19" s="26">
        <f>1.18*287133</f>
        <v>338816.94</v>
      </c>
      <c r="E19" s="26">
        <v>50180</v>
      </c>
      <c r="F19" s="26">
        <f>D19-E19</f>
        <v>288636.94</v>
      </c>
      <c r="G19" s="9">
        <v>68432</v>
      </c>
      <c r="H19" s="3">
        <v>47.8</v>
      </c>
      <c r="I19" s="3">
        <v>2025</v>
      </c>
      <c r="J19" s="3" t="s">
        <v>64</v>
      </c>
      <c r="K19" s="14">
        <v>0</v>
      </c>
      <c r="L19" s="14">
        <f>(D19-E19)/D19*H19</f>
        <v>40.720649126929722</v>
      </c>
      <c r="M19" s="14">
        <f>L19</f>
        <v>40.720649126929722</v>
      </c>
      <c r="N19" s="14">
        <f>M19</f>
        <v>40.720649126929722</v>
      </c>
      <c r="O19" s="14">
        <f>N19</f>
        <v>40.720649126929722</v>
      </c>
      <c r="P19" s="28">
        <f>SUM(K19:O19)</f>
        <v>162.88259650771889</v>
      </c>
      <c r="Q19" s="14">
        <f>O19</f>
        <v>40.720649126929722</v>
      </c>
      <c r="R19" s="14">
        <f>Q19</f>
        <v>40.720649126929722</v>
      </c>
      <c r="S19" s="14">
        <f t="shared" ref="S19:Z19" si="34">R19</f>
        <v>40.720649126929722</v>
      </c>
      <c r="T19" s="14">
        <f t="shared" si="34"/>
        <v>40.720649126929722</v>
      </c>
      <c r="U19" s="14">
        <f t="shared" si="34"/>
        <v>40.720649126929722</v>
      </c>
      <c r="V19" s="14">
        <f t="shared" si="34"/>
        <v>40.720649126929722</v>
      </c>
      <c r="W19" s="14">
        <f t="shared" si="34"/>
        <v>40.720649126929722</v>
      </c>
      <c r="X19" s="14">
        <f t="shared" si="34"/>
        <v>40.720649126929722</v>
      </c>
      <c r="Y19" s="14">
        <f t="shared" si="34"/>
        <v>40.720649126929722</v>
      </c>
      <c r="Z19" s="14">
        <f t="shared" si="34"/>
        <v>40.720649126929722</v>
      </c>
      <c r="AA19" s="14">
        <f>Z19</f>
        <v>40.720649126929722</v>
      </c>
      <c r="AB19" s="14">
        <v>0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0</v>
      </c>
      <c r="AI19" s="14">
        <v>0</v>
      </c>
      <c r="AJ19" s="14">
        <v>0</v>
      </c>
      <c r="AK19" s="28">
        <f>SUM(Q19:AJ19,P19)</f>
        <v>610.80973690394592</v>
      </c>
    </row>
    <row r="20" spans="1:37" x14ac:dyDescent="0.25">
      <c r="A20" s="6" t="s">
        <v>101</v>
      </c>
      <c r="B20" s="6" t="s">
        <v>53</v>
      </c>
      <c r="C20" s="7" t="s">
        <v>49</v>
      </c>
      <c r="D20" s="26">
        <f>1.18*300829</f>
        <v>354978.22</v>
      </c>
      <c r="E20" s="26">
        <v>61145</v>
      </c>
      <c r="F20" s="27">
        <f>D20-E20</f>
        <v>293833.21999999997</v>
      </c>
      <c r="G20" s="19">
        <v>77169</v>
      </c>
      <c r="H20" s="3">
        <v>53.9</v>
      </c>
      <c r="I20" s="20">
        <v>2025</v>
      </c>
      <c r="J20" s="3" t="s">
        <v>54</v>
      </c>
      <c r="K20" s="14">
        <f>(D20-E20)/D20*H20*0.25</f>
        <v>11.153931189074079</v>
      </c>
      <c r="L20" s="14">
        <f>(D20-E20)/D20*H20</f>
        <v>44.615724756296316</v>
      </c>
      <c r="M20" s="14">
        <f>L20</f>
        <v>44.615724756296316</v>
      </c>
      <c r="N20" s="14">
        <f t="shared" ref="N20:O20" si="35">M20</f>
        <v>44.615724756296316</v>
      </c>
      <c r="O20" s="14">
        <f t="shared" si="35"/>
        <v>44.615724756296316</v>
      </c>
      <c r="P20" s="28">
        <f>SUM(K20:O20)</f>
        <v>189.61683021425935</v>
      </c>
      <c r="Q20" s="14">
        <f>O20</f>
        <v>44.615724756296316</v>
      </c>
      <c r="R20" s="14">
        <f>Q20</f>
        <v>44.615724756296316</v>
      </c>
      <c r="S20" s="14">
        <f t="shared" ref="S20:Z20" si="36">R20</f>
        <v>44.615724756296316</v>
      </c>
      <c r="T20" s="14">
        <f t="shared" si="36"/>
        <v>44.615724756296316</v>
      </c>
      <c r="U20" s="14">
        <f t="shared" si="36"/>
        <v>44.615724756296316</v>
      </c>
      <c r="V20" s="14">
        <f t="shared" si="36"/>
        <v>44.615724756296316</v>
      </c>
      <c r="W20" s="14">
        <f t="shared" si="36"/>
        <v>44.615724756296316</v>
      </c>
      <c r="X20" s="14">
        <f t="shared" si="36"/>
        <v>44.615724756296316</v>
      </c>
      <c r="Y20" s="14">
        <f t="shared" si="36"/>
        <v>44.615724756296316</v>
      </c>
      <c r="Z20" s="14">
        <f t="shared" si="36"/>
        <v>44.615724756296316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28">
        <f>SUM(Q20:AJ20,P20)</f>
        <v>635.7740777772226</v>
      </c>
    </row>
    <row r="21" spans="1:37" x14ac:dyDescent="0.25">
      <c r="A21" s="6" t="s">
        <v>79</v>
      </c>
      <c r="B21" s="6" t="s">
        <v>80</v>
      </c>
      <c r="C21" s="7" t="s">
        <v>56</v>
      </c>
      <c r="D21" s="26">
        <f>1.18*120133</f>
        <v>141756.94</v>
      </c>
      <c r="E21" s="26">
        <v>34530</v>
      </c>
      <c r="F21" s="26">
        <f t="shared" si="9"/>
        <v>107226.94</v>
      </c>
      <c r="G21" s="9">
        <v>34370</v>
      </c>
      <c r="H21" s="3">
        <v>24</v>
      </c>
      <c r="I21" s="3">
        <v>2026</v>
      </c>
      <c r="J21" s="3" t="s">
        <v>50</v>
      </c>
      <c r="K21" s="14">
        <v>0</v>
      </c>
      <c r="L21" s="14">
        <f>(D21-E21)/D21*H21*0.75</f>
        <v>13.615452760196433</v>
      </c>
      <c r="M21" s="14">
        <f>(D21-E21)/D21*H21</f>
        <v>18.153937013595243</v>
      </c>
      <c r="N21" s="14">
        <f t="shared" ref="N21:O21" si="37">M21</f>
        <v>18.153937013595243</v>
      </c>
      <c r="O21" s="14">
        <f t="shared" si="37"/>
        <v>18.153937013595243</v>
      </c>
      <c r="P21" s="28">
        <f t="shared" si="4"/>
        <v>68.077263800982166</v>
      </c>
      <c r="Q21" s="14">
        <f t="shared" si="5"/>
        <v>18.153937013595243</v>
      </c>
      <c r="R21" s="14">
        <f t="shared" si="6"/>
        <v>18.153937013595243</v>
      </c>
      <c r="S21" s="14">
        <f t="shared" ref="S21:Z21" si="38">R21</f>
        <v>18.153937013595243</v>
      </c>
      <c r="T21" s="14">
        <f t="shared" si="38"/>
        <v>18.153937013595243</v>
      </c>
      <c r="U21" s="14">
        <f t="shared" si="38"/>
        <v>18.153937013595243</v>
      </c>
      <c r="V21" s="14">
        <f t="shared" si="38"/>
        <v>18.153937013595243</v>
      </c>
      <c r="W21" s="14">
        <f t="shared" si="38"/>
        <v>18.153937013595243</v>
      </c>
      <c r="X21" s="14">
        <f t="shared" si="38"/>
        <v>18.153937013595243</v>
      </c>
      <c r="Y21" s="14">
        <f t="shared" si="38"/>
        <v>18.153937013595243</v>
      </c>
      <c r="Z21" s="14">
        <f t="shared" si="38"/>
        <v>18.153937013595243</v>
      </c>
      <c r="AA21" s="14">
        <f>Z21</f>
        <v>18.153937013595243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28">
        <f t="shared" si="8"/>
        <v>267.77057095052987</v>
      </c>
    </row>
    <row r="22" spans="1:37" x14ac:dyDescent="0.25">
      <c r="D22" s="27">
        <f>SUM(D3:D21)</f>
        <v>4608128.9200000009</v>
      </c>
      <c r="E22" s="27">
        <f t="shared" ref="E22:AK22" si="39">SUM(E3:E21)</f>
        <v>731845</v>
      </c>
      <c r="F22" s="27">
        <f t="shared" si="39"/>
        <v>3876283.9199999995</v>
      </c>
      <c r="G22" s="12">
        <f t="shared" si="39"/>
        <v>1288193</v>
      </c>
      <c r="H22" s="12">
        <f t="shared" si="39"/>
        <v>899.8</v>
      </c>
      <c r="I22" s="12">
        <f t="shared" si="39"/>
        <v>38482</v>
      </c>
      <c r="J22" s="12">
        <f t="shared" si="39"/>
        <v>0</v>
      </c>
      <c r="K22" s="16">
        <f t="shared" si="39"/>
        <v>273.89425233267229</v>
      </c>
      <c r="L22" s="16">
        <f t="shared" si="39"/>
        <v>718.86640249167522</v>
      </c>
      <c r="M22" s="16">
        <f t="shared" si="39"/>
        <v>754.08479391315393</v>
      </c>
      <c r="N22" s="16">
        <f t="shared" si="39"/>
        <v>754.08479391315393</v>
      </c>
      <c r="O22" s="16">
        <f t="shared" si="39"/>
        <v>754.08479391315393</v>
      </c>
      <c r="P22" s="29">
        <f t="shared" si="39"/>
        <v>3255.0150365638092</v>
      </c>
      <c r="Q22" s="16">
        <f t="shared" si="39"/>
        <v>754.08479391315393</v>
      </c>
      <c r="R22" s="16">
        <f t="shared" si="39"/>
        <v>754.08479391315393</v>
      </c>
      <c r="S22" s="16">
        <f t="shared" si="39"/>
        <v>754.08479391315393</v>
      </c>
      <c r="T22" s="16">
        <f t="shared" si="39"/>
        <v>754.08479391315393</v>
      </c>
      <c r="U22" s="16">
        <f t="shared" si="39"/>
        <v>754.08479391315393</v>
      </c>
      <c r="V22" s="16">
        <f t="shared" si="39"/>
        <v>754.08479391315393</v>
      </c>
      <c r="W22" s="16">
        <f t="shared" si="39"/>
        <v>754.08479391315393</v>
      </c>
      <c r="X22" s="16">
        <f t="shared" si="39"/>
        <v>754.08479391315393</v>
      </c>
      <c r="Y22" s="16">
        <f t="shared" si="39"/>
        <v>754.08479391315393</v>
      </c>
      <c r="Z22" s="16">
        <f t="shared" si="39"/>
        <v>754.08479391315393</v>
      </c>
      <c r="AA22" s="16">
        <f t="shared" si="39"/>
        <v>233.55903784087019</v>
      </c>
      <c r="AB22" s="16">
        <f t="shared" si="39"/>
        <v>0</v>
      </c>
      <c r="AC22" s="16">
        <f t="shared" si="39"/>
        <v>0</v>
      </c>
      <c r="AD22" s="16">
        <f t="shared" si="39"/>
        <v>0</v>
      </c>
      <c r="AE22" s="16">
        <f t="shared" si="39"/>
        <v>0</v>
      </c>
      <c r="AF22" s="16">
        <f t="shared" si="39"/>
        <v>0</v>
      </c>
      <c r="AG22" s="16">
        <f t="shared" si="39"/>
        <v>0</v>
      </c>
      <c r="AH22" s="16">
        <f t="shared" si="39"/>
        <v>0</v>
      </c>
      <c r="AI22" s="16">
        <f t="shared" si="39"/>
        <v>0</v>
      </c>
      <c r="AJ22" s="16">
        <f t="shared" si="39"/>
        <v>0</v>
      </c>
      <c r="AK22" s="29">
        <f t="shared" si="39"/>
        <v>11029.422013536217</v>
      </c>
    </row>
    <row r="23" spans="1:37" ht="18" customHeight="1" x14ac:dyDescent="0.25">
      <c r="C23" s="10" t="s">
        <v>81</v>
      </c>
      <c r="D23" s="27">
        <f>D22-E22</f>
        <v>3876283.9200000009</v>
      </c>
    </row>
    <row r="24" spans="1:37" x14ac:dyDescent="0.25">
      <c r="C24" s="10" t="s">
        <v>82</v>
      </c>
      <c r="D24" s="11">
        <f>D22-D23</f>
        <v>731845</v>
      </c>
      <c r="E24" s="13"/>
      <c r="F24" s="13"/>
    </row>
    <row r="25" spans="1:37" ht="18.75" customHeight="1" x14ac:dyDescent="0.25">
      <c r="E25" s="27"/>
      <c r="F25" s="27"/>
    </row>
    <row r="26" spans="1:37" x14ac:dyDescent="0.25">
      <c r="D26" s="12"/>
    </row>
    <row r="27" spans="1:37" x14ac:dyDescent="0.25">
      <c r="AA27" s="13"/>
    </row>
    <row r="28" spans="1:37" x14ac:dyDescent="0.25">
      <c r="K28" s="27"/>
      <c r="L28" s="47"/>
      <c r="M28" s="27"/>
      <c r="P28" s="13"/>
      <c r="Q28" s="13"/>
      <c r="R28" s="13"/>
      <c r="S28" s="12"/>
      <c r="T28" s="12"/>
      <c r="Y28" s="12"/>
      <c r="Z28" s="12"/>
      <c r="AA28" s="13"/>
    </row>
    <row r="29" spans="1:37" x14ac:dyDescent="0.25">
      <c r="K29" s="11"/>
      <c r="L29" s="11"/>
      <c r="M29" s="11"/>
      <c r="P29" s="13"/>
      <c r="Q29" s="13"/>
      <c r="R29" s="13"/>
    </row>
    <row r="30" spans="1:37" x14ac:dyDescent="0.25">
      <c r="K30" s="11"/>
      <c r="L30" s="11"/>
      <c r="M30" s="11"/>
      <c r="P30" s="13"/>
      <c r="Q30" s="13"/>
      <c r="R30" s="13"/>
    </row>
    <row r="31" spans="1:37" x14ac:dyDescent="0.25">
      <c r="K31" s="12"/>
      <c r="L31" s="13"/>
      <c r="M31" s="27"/>
      <c r="P31" s="13"/>
      <c r="Q31" s="13"/>
      <c r="R31" s="13"/>
    </row>
    <row r="32" spans="1:37" x14ac:dyDescent="0.25">
      <c r="L32" s="13"/>
      <c r="M32" s="13"/>
      <c r="P32" s="13"/>
      <c r="Q32" s="13"/>
      <c r="R32" s="13"/>
      <c r="U32" s="12"/>
      <c r="V32" s="12"/>
    </row>
    <row r="33" spans="5:26" x14ac:dyDescent="0.25">
      <c r="K33" s="12"/>
      <c r="L33" s="13"/>
      <c r="M33" s="13"/>
      <c r="P33" s="13"/>
      <c r="Q33" s="13"/>
      <c r="R33" s="13"/>
      <c r="Z33" s="12"/>
    </row>
    <row r="34" spans="5:26" x14ac:dyDescent="0.25">
      <c r="E34" s="27"/>
      <c r="F34" s="27"/>
      <c r="K34" s="51"/>
      <c r="L34" s="51"/>
      <c r="M34" s="13"/>
      <c r="Z34" s="12"/>
    </row>
    <row r="35" spans="5:26" x14ac:dyDescent="0.25">
      <c r="E35" s="27"/>
      <c r="F35" s="27"/>
      <c r="K35" s="51"/>
      <c r="L35" s="51"/>
      <c r="M35" s="13"/>
    </row>
    <row r="36" spans="5:26" x14ac:dyDescent="0.25">
      <c r="E36" s="27"/>
      <c r="F36" s="27"/>
      <c r="H36" s="27"/>
      <c r="I36" s="11"/>
      <c r="J36" s="11"/>
      <c r="K36" s="51"/>
      <c r="L36" s="51"/>
    </row>
    <row r="37" spans="5:26" x14ac:dyDescent="0.25">
      <c r="E37" s="27"/>
      <c r="F37" s="27"/>
      <c r="H37" s="11"/>
      <c r="I37" s="11"/>
      <c r="J37" s="11"/>
      <c r="K37" s="51"/>
      <c r="L37" s="51"/>
      <c r="Z37" s="12"/>
    </row>
    <row r="38" spans="5:26" x14ac:dyDescent="0.25">
      <c r="E38" s="27"/>
      <c r="F38" s="27"/>
      <c r="H38" s="27"/>
      <c r="I38" s="11"/>
      <c r="J38" s="11"/>
      <c r="K38" s="51"/>
      <c r="L38" s="51"/>
      <c r="M38" s="51"/>
      <c r="P38" s="27"/>
    </row>
    <row r="39" spans="5:26" x14ac:dyDescent="0.25">
      <c r="H39" s="27"/>
      <c r="I39" s="11"/>
      <c r="J39" s="11"/>
      <c r="P39" s="11"/>
    </row>
    <row r="40" spans="5:26" x14ac:dyDescent="0.25">
      <c r="K40" s="27"/>
    </row>
    <row r="42" spans="5:26" x14ac:dyDescent="0.25">
      <c r="N42" s="11"/>
    </row>
    <row r="43" spans="5:26" x14ac:dyDescent="0.25">
      <c r="H43" s="27"/>
      <c r="N43" s="11"/>
    </row>
    <row r="44" spans="5:26" x14ac:dyDescent="0.25">
      <c r="N44" s="11"/>
    </row>
    <row r="45" spans="5:26" x14ac:dyDescent="0.25">
      <c r="N45" s="11"/>
      <c r="P45" s="11"/>
      <c r="T45" s="16"/>
    </row>
    <row r="58" spans="27:27" x14ac:dyDescent="0.25">
      <c r="AA58" s="11" t="e">
        <f>E22+#REF!</f>
        <v>#REF!</v>
      </c>
    </row>
  </sheetData>
  <mergeCells count="4">
    <mergeCell ref="A1:A2"/>
    <mergeCell ref="B1:B2"/>
    <mergeCell ref="C1:C2"/>
    <mergeCell ref="D1:AK1"/>
  </mergeCells>
  <conditionalFormatting sqref="I1:I3 I5 I22:I1048576">
    <cfRule type="cellIs" dxfId="0" priority="1" operator="equal">
      <formula>2025</formula>
    </cfRule>
  </conditionalFormatting>
  <pageMargins left="0.7" right="0.7" top="0.75" bottom="0.75" header="0.3" footer="0.3"/>
  <pageSetup paperSize="3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5EB89"/>
    <pageSetUpPr fitToPage="1"/>
  </sheetPr>
  <dimension ref="A1:AJ13"/>
  <sheetViews>
    <sheetView workbookViewId="0">
      <pane xSplit="1" ySplit="2" topLeftCell="B3" activePane="bottomRight" state="frozen"/>
      <selection pane="topRight"/>
      <selection pane="bottomLeft"/>
      <selection pane="bottomRight" activeCell="A9" sqref="A8:XFD9"/>
    </sheetView>
  </sheetViews>
  <sheetFormatPr defaultRowHeight="15" x14ac:dyDescent="0.25"/>
  <cols>
    <col min="1" max="1" width="37" style="1" customWidth="1"/>
    <col min="2" max="2" width="33.42578125" style="1" customWidth="1"/>
    <col min="3" max="3" width="23" style="10" customWidth="1"/>
    <col min="4" max="5" width="15.28515625" style="11" customWidth="1"/>
    <col min="6" max="36" width="18.140625" style="11" customWidth="1"/>
    <col min="37" max="16384" width="9.140625" style="1"/>
  </cols>
  <sheetData>
    <row r="1" spans="1:36" ht="31.5" customHeight="1" x14ac:dyDescent="0.25">
      <c r="A1" s="53" t="s">
        <v>5</v>
      </c>
      <c r="B1" s="53" t="s">
        <v>6</v>
      </c>
      <c r="C1" s="55" t="s">
        <v>7</v>
      </c>
      <c r="D1" s="57" t="s">
        <v>83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</row>
    <row r="2" spans="1:36" s="2" customFormat="1" ht="59.25" customHeight="1" x14ac:dyDescent="0.25">
      <c r="A2" s="54"/>
      <c r="B2" s="54"/>
      <c r="C2" s="56"/>
      <c r="D2" s="4" t="s">
        <v>84</v>
      </c>
      <c r="E2" s="5" t="s">
        <v>85</v>
      </c>
      <c r="F2" s="15" t="s">
        <v>86</v>
      </c>
      <c r="G2" s="15" t="s">
        <v>87</v>
      </c>
      <c r="H2" s="15" t="s">
        <v>14</v>
      </c>
      <c r="I2" s="15" t="s">
        <v>88</v>
      </c>
      <c r="J2" s="15" t="s">
        <v>15</v>
      </c>
      <c r="K2" s="15" t="s">
        <v>16</v>
      </c>
      <c r="L2" s="15" t="s">
        <v>17</v>
      </c>
      <c r="M2" s="15" t="s">
        <v>18</v>
      </c>
      <c r="N2" s="15" t="s">
        <v>19</v>
      </c>
      <c r="O2" s="15" t="s">
        <v>20</v>
      </c>
      <c r="P2" s="15" t="s">
        <v>21</v>
      </c>
      <c r="Q2" s="15" t="s">
        <v>22</v>
      </c>
      <c r="R2" s="15" t="s">
        <v>23</v>
      </c>
      <c r="S2" s="15" t="s">
        <v>24</v>
      </c>
      <c r="T2" s="15" t="s">
        <v>25</v>
      </c>
      <c r="U2" s="15" t="s">
        <v>26</v>
      </c>
      <c r="V2" s="15" t="s">
        <v>27</v>
      </c>
      <c r="W2" s="15" t="s">
        <v>28</v>
      </c>
      <c r="X2" s="15" t="s">
        <v>29</v>
      </c>
      <c r="Y2" s="15" t="s">
        <v>30</v>
      </c>
      <c r="Z2" s="15" t="s">
        <v>31</v>
      </c>
      <c r="AA2" s="15" t="s">
        <v>32</v>
      </c>
      <c r="AB2" s="15" t="s">
        <v>33</v>
      </c>
      <c r="AC2" s="15" t="s">
        <v>34</v>
      </c>
      <c r="AD2" s="15" t="s">
        <v>35</v>
      </c>
      <c r="AE2" s="15" t="s">
        <v>36</v>
      </c>
      <c r="AF2" s="15" t="s">
        <v>37</v>
      </c>
      <c r="AG2" s="15" t="s">
        <v>38</v>
      </c>
      <c r="AH2" s="15" t="s">
        <v>39</v>
      </c>
      <c r="AI2" s="15" t="s">
        <v>40</v>
      </c>
      <c r="AJ2" s="15" t="s">
        <v>41</v>
      </c>
    </row>
    <row r="3" spans="1:36" ht="30" customHeight="1" x14ac:dyDescent="0.25">
      <c r="A3" s="6" t="s">
        <v>89</v>
      </c>
      <c r="B3" s="6" t="s">
        <v>90</v>
      </c>
      <c r="C3" s="7" t="s">
        <v>49</v>
      </c>
      <c r="D3" s="8">
        <f>34664*42*1.18</f>
        <v>1717947.8399999999</v>
      </c>
      <c r="E3" s="9">
        <v>365000</v>
      </c>
      <c r="F3" s="3">
        <v>255</v>
      </c>
      <c r="G3" s="3">
        <f>F3</f>
        <v>255</v>
      </c>
      <c r="H3" s="3" t="s">
        <v>54</v>
      </c>
      <c r="I3" s="22">
        <v>2026</v>
      </c>
      <c r="J3" s="3">
        <v>0</v>
      </c>
      <c r="K3" s="20">
        <f>G3*0.25</f>
        <v>63.75</v>
      </c>
      <c r="L3" s="20">
        <f>G3*0.995</f>
        <v>253.72499999999999</v>
      </c>
      <c r="M3" s="20">
        <f t="shared" ref="M3:N5" si="0">L3*0.995</f>
        <v>252.45637499999998</v>
      </c>
      <c r="N3" s="20">
        <f t="shared" si="0"/>
        <v>251.19409312499997</v>
      </c>
      <c r="O3" s="30">
        <f>SUM(J3:N3)</f>
        <v>821.125468125</v>
      </c>
      <c r="P3" s="21">
        <f>N3*0.995</f>
        <v>249.93812265937495</v>
      </c>
      <c r="Q3" s="21">
        <f t="shared" ref="Q3:AI3" si="1">P3*0.995</f>
        <v>248.68843204607808</v>
      </c>
      <c r="R3" s="21">
        <f t="shared" si="1"/>
        <v>247.44498988584769</v>
      </c>
      <c r="S3" s="21">
        <f t="shared" si="1"/>
        <v>246.20776493641844</v>
      </c>
      <c r="T3" s="21">
        <f t="shared" si="1"/>
        <v>244.97672611173635</v>
      </c>
      <c r="U3" s="21">
        <f t="shared" si="1"/>
        <v>243.75184248117768</v>
      </c>
      <c r="V3" s="21">
        <f t="shared" si="1"/>
        <v>242.53308326877178</v>
      </c>
      <c r="W3" s="21">
        <f t="shared" si="1"/>
        <v>241.32041785242791</v>
      </c>
      <c r="X3" s="21">
        <f t="shared" si="1"/>
        <v>240.11381576316577</v>
      </c>
      <c r="Y3" s="21">
        <f t="shared" si="1"/>
        <v>238.91324668434996</v>
      </c>
      <c r="Z3" s="21">
        <f t="shared" si="1"/>
        <v>237.71868045092822</v>
      </c>
      <c r="AA3" s="21">
        <f t="shared" si="1"/>
        <v>236.53008704867358</v>
      </c>
      <c r="AB3" s="21">
        <f t="shared" si="1"/>
        <v>235.3474366134302</v>
      </c>
      <c r="AC3" s="21">
        <f t="shared" si="1"/>
        <v>234.17069943036304</v>
      </c>
      <c r="AD3" s="21">
        <f t="shared" si="1"/>
        <v>232.99984593321122</v>
      </c>
      <c r="AE3" s="21">
        <f t="shared" si="1"/>
        <v>231.83484670354517</v>
      </c>
      <c r="AF3" s="21">
        <f t="shared" si="1"/>
        <v>230.67567247002745</v>
      </c>
      <c r="AG3" s="21">
        <f t="shared" si="1"/>
        <v>229.52229410767731</v>
      </c>
      <c r="AH3" s="21">
        <f t="shared" si="1"/>
        <v>228.37468263713893</v>
      </c>
      <c r="AI3" s="21">
        <f t="shared" si="1"/>
        <v>227.23280922395324</v>
      </c>
      <c r="AJ3" s="30">
        <f>SUM(P3:AI3)</f>
        <v>4768.2954963082975</v>
      </c>
    </row>
    <row r="4" spans="1:36" x14ac:dyDescent="0.25">
      <c r="A4" s="6" t="s">
        <v>91</v>
      </c>
      <c r="B4" s="6" t="s">
        <v>92</v>
      </c>
      <c r="C4" s="7" t="s">
        <v>44</v>
      </c>
      <c r="D4" s="8">
        <f>39097*42*1.18</f>
        <v>1937647.3199999998</v>
      </c>
      <c r="E4" s="9">
        <v>327000</v>
      </c>
      <c r="F4" s="3">
        <v>228</v>
      </c>
      <c r="G4" s="3">
        <f>F4</f>
        <v>228</v>
      </c>
      <c r="H4" s="3" t="s">
        <v>54</v>
      </c>
      <c r="I4" s="23">
        <v>2026</v>
      </c>
      <c r="J4" s="3">
        <v>0</v>
      </c>
      <c r="K4" s="20">
        <f>G4*0.25</f>
        <v>57</v>
      </c>
      <c r="L4" s="20">
        <f>G4*0.995</f>
        <v>226.85999999999999</v>
      </c>
      <c r="M4" s="20">
        <f t="shared" si="0"/>
        <v>225.72569999999999</v>
      </c>
      <c r="N4" s="20">
        <f t="shared" si="0"/>
        <v>224.5970715</v>
      </c>
      <c r="O4" s="30">
        <f>SUM(J4:N4)</f>
        <v>734.18277149999994</v>
      </c>
      <c r="P4" s="21">
        <f>N4*0.995</f>
        <v>223.4740861425</v>
      </c>
      <c r="Q4" s="21">
        <f t="shared" ref="Q4:AI4" si="2">P4*0.995</f>
        <v>222.3567157117875</v>
      </c>
      <c r="R4" s="21">
        <f t="shared" si="2"/>
        <v>221.24493213322856</v>
      </c>
      <c r="S4" s="21">
        <f t="shared" si="2"/>
        <v>220.1387074725624</v>
      </c>
      <c r="T4" s="21">
        <f t="shared" si="2"/>
        <v>219.03801393519959</v>
      </c>
      <c r="U4" s="21">
        <f t="shared" si="2"/>
        <v>217.94282386552359</v>
      </c>
      <c r="V4" s="21">
        <f t="shared" si="2"/>
        <v>216.85310974619597</v>
      </c>
      <c r="W4" s="21">
        <f t="shared" si="2"/>
        <v>215.768844197465</v>
      </c>
      <c r="X4" s="21">
        <f t="shared" si="2"/>
        <v>214.68999997647768</v>
      </c>
      <c r="Y4" s="21">
        <f t="shared" si="2"/>
        <v>213.61654997659528</v>
      </c>
      <c r="Z4" s="21">
        <f t="shared" si="2"/>
        <v>212.54846722671229</v>
      </c>
      <c r="AA4" s="21">
        <f t="shared" si="2"/>
        <v>211.48572489057872</v>
      </c>
      <c r="AB4" s="21">
        <f t="shared" si="2"/>
        <v>210.42829626612584</v>
      </c>
      <c r="AC4" s="21">
        <f t="shared" si="2"/>
        <v>209.3761547847952</v>
      </c>
      <c r="AD4" s="21">
        <f t="shared" si="2"/>
        <v>208.32927401087122</v>
      </c>
      <c r="AE4" s="21">
        <f t="shared" si="2"/>
        <v>207.28762764081685</v>
      </c>
      <c r="AF4" s="21">
        <f t="shared" si="2"/>
        <v>206.25118950261276</v>
      </c>
      <c r="AG4" s="21">
        <f t="shared" si="2"/>
        <v>205.21993355509969</v>
      </c>
      <c r="AH4" s="21">
        <f t="shared" si="2"/>
        <v>204.19383388732419</v>
      </c>
      <c r="AI4" s="21">
        <f t="shared" si="2"/>
        <v>203.17286471788756</v>
      </c>
      <c r="AJ4" s="30">
        <f>SUM(P4:AI4)</f>
        <v>4263.4171496403605</v>
      </c>
    </row>
    <row r="5" spans="1:36" ht="28.5" customHeight="1" x14ac:dyDescent="0.25">
      <c r="A5" s="6" t="s">
        <v>76</v>
      </c>
      <c r="B5" s="6" t="s">
        <v>77</v>
      </c>
      <c r="C5" s="7" t="s">
        <v>44</v>
      </c>
      <c r="D5" s="8">
        <f>48368*42*1.18</f>
        <v>2397118.08</v>
      </c>
      <c r="E5" s="9">
        <v>408000</v>
      </c>
      <c r="F5" s="3">
        <v>285</v>
      </c>
      <c r="G5" s="3">
        <f>F5</f>
        <v>285</v>
      </c>
      <c r="H5" s="3" t="s">
        <v>54</v>
      </c>
      <c r="I5" s="23">
        <v>2026</v>
      </c>
      <c r="J5" s="3">
        <v>0</v>
      </c>
      <c r="K5" s="20">
        <f>G5*0.25</f>
        <v>71.25</v>
      </c>
      <c r="L5" s="20">
        <f>G5*0.995</f>
        <v>283.57499999999999</v>
      </c>
      <c r="M5" s="20">
        <f t="shared" si="0"/>
        <v>282.15712500000001</v>
      </c>
      <c r="N5" s="20">
        <f t="shared" si="0"/>
        <v>280.74633937499999</v>
      </c>
      <c r="O5" s="30">
        <f>SUM(J5:N5)</f>
        <v>917.72846437499993</v>
      </c>
      <c r="P5" s="21">
        <f>N5*0.995</f>
        <v>279.34260767812498</v>
      </c>
      <c r="Q5" s="21">
        <f t="shared" ref="Q5:AI5" si="3">P5*0.995</f>
        <v>277.94589463973438</v>
      </c>
      <c r="R5" s="21">
        <f t="shared" si="3"/>
        <v>276.55616516653572</v>
      </c>
      <c r="S5" s="21">
        <f t="shared" si="3"/>
        <v>275.17338434070302</v>
      </c>
      <c r="T5" s="21">
        <f t="shared" si="3"/>
        <v>273.79751741899952</v>
      </c>
      <c r="U5" s="21">
        <f t="shared" si="3"/>
        <v>272.42852983190454</v>
      </c>
      <c r="V5" s="21">
        <f t="shared" si="3"/>
        <v>271.06638718274502</v>
      </c>
      <c r="W5" s="21">
        <f t="shared" si="3"/>
        <v>269.71105524683128</v>
      </c>
      <c r="X5" s="21">
        <f t="shared" si="3"/>
        <v>268.36249997059713</v>
      </c>
      <c r="Y5" s="21">
        <f t="shared" si="3"/>
        <v>267.02068747074412</v>
      </c>
      <c r="Z5" s="21">
        <f t="shared" si="3"/>
        <v>265.6855840333904</v>
      </c>
      <c r="AA5" s="21">
        <f t="shared" si="3"/>
        <v>264.35715611322343</v>
      </c>
      <c r="AB5" s="21">
        <f t="shared" si="3"/>
        <v>263.03537033265729</v>
      </c>
      <c r="AC5" s="21">
        <f t="shared" si="3"/>
        <v>261.720193480994</v>
      </c>
      <c r="AD5" s="21">
        <f t="shared" si="3"/>
        <v>260.41159251358903</v>
      </c>
      <c r="AE5" s="21">
        <f t="shared" si="3"/>
        <v>259.10953455102106</v>
      </c>
      <c r="AF5" s="21">
        <f t="shared" si="3"/>
        <v>257.81398687826595</v>
      </c>
      <c r="AG5" s="21">
        <f t="shared" si="3"/>
        <v>256.52491694387464</v>
      </c>
      <c r="AH5" s="21">
        <f t="shared" si="3"/>
        <v>255.24229235915527</v>
      </c>
      <c r="AI5" s="21">
        <f t="shared" si="3"/>
        <v>253.96608089735949</v>
      </c>
      <c r="AJ5" s="30">
        <f>SUM(P5:AI5)</f>
        <v>5329.2714370504518</v>
      </c>
    </row>
    <row r="6" spans="1:36" x14ac:dyDescent="0.25">
      <c r="D6" s="11">
        <f>SUM(D3:D5)</f>
        <v>6052713.2400000002</v>
      </c>
      <c r="E6" s="12">
        <f>SUM(E3:E5)</f>
        <v>1100000</v>
      </c>
      <c r="F6" s="12">
        <f>SUM(F3:F5)</f>
        <v>768</v>
      </c>
      <c r="G6" s="12"/>
      <c r="H6" s="12"/>
      <c r="I6" s="12">
        <f t="shared" ref="I6:AJ6" si="4">SUM(I3:I5)</f>
        <v>6078</v>
      </c>
      <c r="J6" s="12">
        <f t="shared" si="4"/>
        <v>0</v>
      </c>
      <c r="K6" s="12">
        <f t="shared" si="4"/>
        <v>192</v>
      </c>
      <c r="L6" s="12">
        <f t="shared" si="4"/>
        <v>764.16</v>
      </c>
      <c r="M6" s="12">
        <f t="shared" si="4"/>
        <v>760.33919999999989</v>
      </c>
      <c r="N6" s="12">
        <f t="shared" si="4"/>
        <v>756.5375039999999</v>
      </c>
      <c r="O6" s="29">
        <f t="shared" si="4"/>
        <v>2473.0367040000001</v>
      </c>
      <c r="P6" s="12">
        <f t="shared" si="4"/>
        <v>752.75481647999993</v>
      </c>
      <c r="Q6" s="12">
        <f t="shared" si="4"/>
        <v>748.99104239760004</v>
      </c>
      <c r="R6" s="12">
        <f t="shared" si="4"/>
        <v>745.24608718561194</v>
      </c>
      <c r="S6" s="12">
        <f t="shared" si="4"/>
        <v>741.51985674968387</v>
      </c>
      <c r="T6" s="12">
        <f t="shared" si="4"/>
        <v>737.81225746593543</v>
      </c>
      <c r="U6" s="12">
        <f t="shared" si="4"/>
        <v>734.12319617860589</v>
      </c>
      <c r="V6" s="12">
        <f t="shared" si="4"/>
        <v>730.45258019771268</v>
      </c>
      <c r="W6" s="12">
        <f t="shared" si="4"/>
        <v>726.80031729672419</v>
      </c>
      <c r="X6" s="12">
        <f t="shared" si="4"/>
        <v>723.16631571024061</v>
      </c>
      <c r="Y6" s="12">
        <f t="shared" si="4"/>
        <v>719.55048413168936</v>
      </c>
      <c r="Z6" s="12">
        <f t="shared" si="4"/>
        <v>715.95273171103099</v>
      </c>
      <c r="AA6" s="12">
        <f t="shared" si="4"/>
        <v>712.3729680524757</v>
      </c>
      <c r="AB6" s="12">
        <f t="shared" si="4"/>
        <v>708.81110321221331</v>
      </c>
      <c r="AC6" s="12">
        <f t="shared" si="4"/>
        <v>705.2670476961523</v>
      </c>
      <c r="AD6" s="12">
        <f t="shared" si="4"/>
        <v>701.74071245767141</v>
      </c>
      <c r="AE6" s="12">
        <f t="shared" si="4"/>
        <v>698.23200889538305</v>
      </c>
      <c r="AF6" s="12">
        <f t="shared" si="4"/>
        <v>694.7408488509061</v>
      </c>
      <c r="AG6" s="12">
        <f t="shared" si="4"/>
        <v>691.26714460665164</v>
      </c>
      <c r="AH6" s="12">
        <f t="shared" si="4"/>
        <v>687.81080888361839</v>
      </c>
      <c r="AI6" s="12">
        <f t="shared" si="4"/>
        <v>684.37175483920032</v>
      </c>
      <c r="AJ6" s="29">
        <f t="shared" si="4"/>
        <v>14360.984082999108</v>
      </c>
    </row>
    <row r="7" spans="1:36" ht="18" customHeight="1" x14ac:dyDescent="0.25">
      <c r="C7" s="10" t="s">
        <v>81</v>
      </c>
      <c r="D7" s="11">
        <f>D6</f>
        <v>6052713.2400000002</v>
      </c>
    </row>
    <row r="8" spans="1:36" ht="18.75" customHeight="1" x14ac:dyDescent="0.25">
      <c r="D8" s="46"/>
    </row>
    <row r="9" spans="1:36" x14ac:dyDescent="0.25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3" spans="1:36" ht="33.75" customHeight="1" x14ac:dyDescent="0.25"/>
  </sheetData>
  <mergeCells count="4">
    <mergeCell ref="A1:A2"/>
    <mergeCell ref="B1:B2"/>
    <mergeCell ref="C1:C2"/>
    <mergeCell ref="D1:AJ1"/>
  </mergeCells>
  <pageMargins left="0.7" right="0.7" top="0.75" bottom="0.75" header="0.3" footer="0.3"/>
  <pageSetup paperSize="3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Grant Asks and GHG Reductions</vt:lpstr>
      <vt:lpstr>LED Lighting CPRG Ask</vt:lpstr>
      <vt:lpstr>Solar Roofs CPRG Ask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Moses, Katherine</cp:lastModifiedBy>
  <cp:revision/>
  <dcterms:created xsi:type="dcterms:W3CDTF">2023-07-06T18:29:36Z</dcterms:created>
  <dcterms:modified xsi:type="dcterms:W3CDTF">2024-04-01T20:23:04Z</dcterms:modified>
  <cp:category/>
  <cp:contentStatus/>
</cp:coreProperties>
</file>