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walking files thp\NOVI\ACP\032524 draft package\"/>
    </mc:Choice>
  </mc:AlternateContent>
  <xr:revisionPtr revIDLastSave="0" documentId="8_{0F1D969E-A1A9-4F79-896C-DEB82ECE0062}" xr6:coauthVersionLast="47" xr6:coauthVersionMax="47" xr10:uidLastSave="{00000000-0000-0000-0000-000000000000}"/>
  <bookViews>
    <workbookView xWindow="-108" yWindow="-108" windowWidth="23256" windowHeight="13896" firstSheet="8" activeTab="11" xr2:uid="{125B3E01-AD39-49E2-BF6A-9F1B5659D8F5}"/>
  </bookViews>
  <sheets>
    <sheet name="1_Sears+EPA_Fixed" sheetId="15" r:id="rId1"/>
    <sheet name="2_Sears+EPA_Floating" sheetId="9" r:id="rId2"/>
    <sheet name="3_Salem+EPA_Floating" sheetId="11" r:id="rId3"/>
    <sheet name="4_Sears-EPA_Floating" sheetId="10" r:id="rId4"/>
    <sheet name="5_Salem-EPA_Floating" sheetId="12" r:id="rId5"/>
    <sheet name="6_Sears_Salem_Fx_Flt" sheetId="13" r:id="rId6"/>
    <sheet name="6_Chart_Floating_OSW_Growth" sheetId="22" r:id="rId7"/>
    <sheet name="7_+EPA-EPA_Emissions" sheetId="14" r:id="rId8"/>
    <sheet name="8_Emissions_Coefficients" sheetId="20" r:id="rId9"/>
    <sheet name="9_SalemPortElectrification" sheetId="17" r:id="rId10"/>
    <sheet name="10_CanadianMaritimeTraffic" sheetId="18" r:id="rId11"/>
    <sheet name="11_EmissionsSummary" sheetId="23" r:id="rId12"/>
  </sheets>
  <definedNames>
    <definedName name="_xlnm._FilterDatabase" localSheetId="8" hidden="1">'8_Emissions_Coefficients'!#REF!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23" l="1"/>
  <c r="G12" i="23"/>
  <c r="D12" i="23"/>
  <c r="C12" i="23"/>
  <c r="D7" i="23"/>
  <c r="C7" i="23"/>
  <c r="B12" i="23"/>
  <c r="B7" i="23"/>
  <c r="E28" i="17"/>
  <c r="D28" i="17"/>
  <c r="C28" i="17"/>
  <c r="B28" i="17"/>
  <c r="E4" i="17"/>
  <c r="E5" i="17" s="1"/>
  <c r="E6" i="17" s="1"/>
  <c r="D4" i="17"/>
  <c r="D5" i="17" s="1"/>
  <c r="D6" i="17" s="1"/>
  <c r="C4" i="17"/>
  <c r="C5" i="17" s="1"/>
  <c r="C6" i="17" s="1"/>
  <c r="B5" i="17"/>
  <c r="B6" i="17" s="1"/>
  <c r="B7" i="17" s="1"/>
  <c r="B8" i="17" s="1"/>
  <c r="B9" i="17" s="1"/>
  <c r="B10" i="17" s="1"/>
  <c r="B11" i="17" s="1"/>
  <c r="B12" i="17" s="1"/>
  <c r="B13" i="17" s="1"/>
  <c r="B14" i="17" s="1"/>
  <c r="B15" i="17" s="1"/>
  <c r="B16" i="17" s="1"/>
  <c r="B17" i="17" s="1"/>
  <c r="B4" i="17"/>
  <c r="G16" i="12"/>
  <c r="G11" i="12"/>
  <c r="G11" i="10"/>
  <c r="G11" i="11"/>
  <c r="F5" i="23"/>
  <c r="F8" i="23"/>
  <c r="B8" i="23"/>
  <c r="O22" i="20"/>
  <c r="O20" i="20"/>
  <c r="O21" i="20"/>
  <c r="O7" i="20"/>
  <c r="Q31" i="20"/>
  <c r="Q30" i="20"/>
  <c r="Q29" i="20"/>
  <c r="Q28" i="20"/>
  <c r="Q27" i="20"/>
  <c r="Q26" i="20" s="1"/>
  <c r="R26" i="20" s="1"/>
  <c r="O26" i="20"/>
  <c r="C3" i="20"/>
  <c r="J3" i="20" s="1"/>
  <c r="D3" i="20"/>
  <c r="K3" i="20" s="1"/>
  <c r="E3" i="20"/>
  <c r="L3" i="20" s="1"/>
  <c r="F6" i="20"/>
  <c r="E7" i="17" l="1"/>
  <c r="E8" i="17" s="1"/>
  <c r="G5" i="23"/>
  <c r="D7" i="17"/>
  <c r="D8" i="17" s="1"/>
  <c r="C7" i="17"/>
  <c r="C8" i="17" s="1"/>
  <c r="R27" i="20"/>
  <c r="R30" i="20"/>
  <c r="R31" i="20"/>
  <c r="R28" i="20"/>
  <c r="P26" i="20"/>
  <c r="R29" i="20"/>
  <c r="B3" i="20"/>
  <c r="E9" i="17" l="1"/>
  <c r="E10" i="17" s="1"/>
  <c r="E11" i="17" s="1"/>
  <c r="E12" i="17" s="1"/>
  <c r="E13" i="17" s="1"/>
  <c r="E14" i="17" s="1"/>
  <c r="E15" i="17" s="1"/>
  <c r="E16" i="17" s="1"/>
  <c r="E17" i="17" s="1"/>
  <c r="D9" i="17"/>
  <c r="D10" i="17" s="1"/>
  <c r="D11" i="17" s="1"/>
  <c r="D12" i="17" s="1"/>
  <c r="D13" i="17" s="1"/>
  <c r="D14" i="17" s="1"/>
  <c r="D15" i="17" s="1"/>
  <c r="D16" i="17" s="1"/>
  <c r="D17" i="17" s="1"/>
  <c r="C9" i="17"/>
  <c r="C10" i="17" s="1"/>
  <c r="C11" i="17" s="1"/>
  <c r="C12" i="17" s="1"/>
  <c r="C13" i="17" s="1"/>
  <c r="C14" i="17" s="1"/>
  <c r="C15" i="17" s="1"/>
  <c r="C16" i="17" s="1"/>
  <c r="C17" i="17" s="1"/>
  <c r="P22" i="20"/>
  <c r="P20" i="20"/>
  <c r="P21" i="20"/>
  <c r="I3" i="20"/>
  <c r="G10" i="23" l="1"/>
  <c r="G3" i="23" s="1"/>
  <c r="Q8" i="20"/>
  <c r="Q9" i="20" s="1"/>
  <c r="P8" i="20"/>
  <c r="P9" i="20" s="1"/>
  <c r="R15" i="20"/>
  <c r="R16" i="20" s="1"/>
  <c r="R8" i="20"/>
  <c r="R9" i="20" s="1"/>
  <c r="Q15" i="20"/>
  <c r="Q16" i="20" s="1"/>
  <c r="O8" i="20"/>
  <c r="O9" i="20" s="1"/>
  <c r="P15" i="20"/>
  <c r="P16" i="20" s="1"/>
  <c r="O15" i="20"/>
  <c r="O16" i="20" s="1"/>
  <c r="B18" i="18"/>
  <c r="B8" i="18"/>
  <c r="B7" i="18"/>
  <c r="B6" i="18"/>
  <c r="H6" i="18"/>
  <c r="H10" i="18" s="1"/>
  <c r="G6" i="18"/>
  <c r="G10" i="18" s="1"/>
  <c r="D7" i="18" s="1"/>
  <c r="A9" i="18"/>
  <c r="A10" i="18" s="1"/>
  <c r="A11" i="18" s="1"/>
  <c r="A12" i="18" s="1"/>
  <c r="A13" i="18" s="1"/>
  <c r="A14" i="18" s="1"/>
  <c r="A15" i="18" s="1"/>
  <c r="A16" i="18" s="1"/>
  <c r="A17" i="18" s="1"/>
  <c r="A18" i="18" s="1"/>
  <c r="A19" i="18" s="1"/>
  <c r="A20" i="18" s="1"/>
  <c r="A21" i="18" s="1"/>
  <c r="A22" i="18" s="1"/>
  <c r="A23" i="18" s="1"/>
  <c r="A24" i="18" s="1"/>
  <c r="A25" i="18" s="1"/>
  <c r="A26" i="18" s="1"/>
  <c r="A27" i="18" s="1"/>
  <c r="A9" i="17"/>
  <c r="A10" i="17" s="1"/>
  <c r="A11" i="17" s="1"/>
  <c r="A12" i="17" s="1"/>
  <c r="A13" i="17" s="1"/>
  <c r="A14" i="17" s="1"/>
  <c r="A15" i="17" s="1"/>
  <c r="A16" i="17" s="1"/>
  <c r="A17" i="17" s="1"/>
  <c r="A18" i="17" s="1"/>
  <c r="A19" i="17" s="1"/>
  <c r="A20" i="17" s="1"/>
  <c r="A21" i="17" s="1"/>
  <c r="A22" i="17" s="1"/>
  <c r="A23" i="17" s="1"/>
  <c r="A24" i="17" s="1"/>
  <c r="A25" i="17" s="1"/>
  <c r="A26" i="17" s="1"/>
  <c r="A27" i="17" s="1"/>
  <c r="D8" i="18" l="1"/>
  <c r="D18" i="18"/>
  <c r="D6" i="18"/>
  <c r="B31" i="20"/>
  <c r="B4" i="20"/>
  <c r="B5" i="20" s="1"/>
  <c r="B6" i="20" s="1"/>
  <c r="D31" i="20"/>
  <c r="D4" i="20"/>
  <c r="D5" i="20" s="1"/>
  <c r="D6" i="20" s="1"/>
  <c r="C4" i="20"/>
  <c r="C5" i="20" s="1"/>
  <c r="C6" i="20" s="1"/>
  <c r="C31" i="20"/>
  <c r="E31" i="20"/>
  <c r="E4" i="20"/>
  <c r="E5" i="20" s="1"/>
  <c r="E6" i="20" s="1"/>
  <c r="G8" i="18"/>
  <c r="H8" i="18"/>
  <c r="C6" i="18" l="1"/>
  <c r="C8" i="18"/>
  <c r="C7" i="18"/>
  <c r="C18" i="18"/>
  <c r="L31" i="20"/>
  <c r="I31" i="20"/>
  <c r="K31" i="20"/>
  <c r="J31" i="20"/>
  <c r="B6" i="13"/>
  <c r="B5" i="13"/>
  <c r="D5" i="13" s="1"/>
  <c r="E6" i="15"/>
  <c r="E5" i="15"/>
  <c r="D6" i="15"/>
  <c r="D5" i="15"/>
  <c r="A8" i="15"/>
  <c r="A9" i="15" s="1"/>
  <c r="A10" i="15" s="1"/>
  <c r="A11" i="15" s="1"/>
  <c r="A12" i="15" s="1"/>
  <c r="A13" i="15" s="1"/>
  <c r="A14" i="15" s="1"/>
  <c r="A15" i="15" s="1"/>
  <c r="A16" i="15" s="1"/>
  <c r="A17" i="15" s="1"/>
  <c r="A18" i="15" s="1"/>
  <c r="A19" i="15" s="1"/>
  <c r="A20" i="15" s="1"/>
  <c r="A21" i="15" s="1"/>
  <c r="A22" i="15" s="1"/>
  <c r="A23" i="15" s="1"/>
  <c r="A24" i="15" s="1"/>
  <c r="A25" i="15" s="1"/>
  <c r="A26" i="15" s="1"/>
  <c r="A9" i="14"/>
  <c r="A10" i="14" s="1"/>
  <c r="A11" i="14" s="1"/>
  <c r="A12" i="14" s="1"/>
  <c r="A13" i="14" s="1"/>
  <c r="A14" i="14" s="1"/>
  <c r="A15" i="14" s="1"/>
  <c r="A16" i="14" s="1"/>
  <c r="A17" i="14" s="1"/>
  <c r="A18" i="14" s="1"/>
  <c r="A19" i="14" s="1"/>
  <c r="A20" i="14" s="1"/>
  <c r="A21" i="14" s="1"/>
  <c r="A22" i="14" s="1"/>
  <c r="A23" i="14" s="1"/>
  <c r="A24" i="14" s="1"/>
  <c r="A25" i="14" s="1"/>
  <c r="A26" i="14" s="1"/>
  <c r="A27" i="14" s="1"/>
  <c r="D6" i="13"/>
  <c r="D3" i="13"/>
  <c r="F16" i="13"/>
  <c r="F15" i="13"/>
  <c r="F14" i="13"/>
  <c r="F13" i="13"/>
  <c r="F12" i="13"/>
  <c r="F11" i="13"/>
  <c r="F10" i="13"/>
  <c r="F9" i="13"/>
  <c r="F8" i="13"/>
  <c r="F7" i="13"/>
  <c r="F6" i="13"/>
  <c r="F5" i="13"/>
  <c r="F4" i="13"/>
  <c r="F3" i="13"/>
  <c r="F2" i="13"/>
  <c r="E11" i="13"/>
  <c r="G11" i="13" s="1"/>
  <c r="E10" i="13"/>
  <c r="G10" i="13" s="1"/>
  <c r="E9" i="13"/>
  <c r="G9" i="13" s="1"/>
  <c r="E8" i="13"/>
  <c r="G8" i="13" s="1"/>
  <c r="E7" i="13"/>
  <c r="G7" i="13" s="1"/>
  <c r="E6" i="13"/>
  <c r="E5" i="13"/>
  <c r="E4" i="13"/>
  <c r="E3" i="13"/>
  <c r="E2" i="13"/>
  <c r="C11" i="13"/>
  <c r="C10" i="13"/>
  <c r="C9" i="13"/>
  <c r="C8" i="13"/>
  <c r="C7" i="13"/>
  <c r="C6" i="13"/>
  <c r="C5" i="13"/>
  <c r="C4" i="13"/>
  <c r="C3" i="13"/>
  <c r="C2" i="13"/>
  <c r="D2" i="13" s="1"/>
  <c r="B4" i="13"/>
  <c r="B3" i="13"/>
  <c r="B2" i="13"/>
  <c r="A8" i="13"/>
  <c r="A9" i="13" s="1"/>
  <c r="A10" i="13" s="1"/>
  <c r="A11" i="13" s="1"/>
  <c r="A12" i="13" s="1"/>
  <c r="A13" i="13" s="1"/>
  <c r="A14" i="13" s="1"/>
  <c r="A15" i="13" s="1"/>
  <c r="A16" i="13" s="1"/>
  <c r="A17" i="13" s="1"/>
  <c r="A18" i="13" s="1"/>
  <c r="A19" i="13" s="1"/>
  <c r="A20" i="13" s="1"/>
  <c r="A21" i="13" s="1"/>
  <c r="A22" i="13" s="1"/>
  <c r="A23" i="13" s="1"/>
  <c r="A24" i="13" s="1"/>
  <c r="A25" i="13" s="1"/>
  <c r="A26" i="13" s="1"/>
  <c r="B18" i="12"/>
  <c r="D17" i="12"/>
  <c r="A8" i="12"/>
  <c r="A9" i="12" s="1"/>
  <c r="A10" i="12" s="1"/>
  <c r="A11" i="12" s="1"/>
  <c r="A12" i="12" s="1"/>
  <c r="A13" i="12" s="1"/>
  <c r="A14" i="12" s="1"/>
  <c r="A15" i="12" s="1"/>
  <c r="A16" i="12" s="1"/>
  <c r="A17" i="12" s="1"/>
  <c r="A18" i="12" s="1"/>
  <c r="A19" i="12" s="1"/>
  <c r="A20" i="12" s="1"/>
  <c r="A21" i="12" s="1"/>
  <c r="A22" i="12" s="1"/>
  <c r="A23" i="12" s="1"/>
  <c r="A24" i="12" s="1"/>
  <c r="A25" i="12" s="1"/>
  <c r="A26" i="12" s="1"/>
  <c r="D12" i="11"/>
  <c r="E12" i="11" s="1"/>
  <c r="C12" i="13" s="1"/>
  <c r="B18" i="9"/>
  <c r="B18" i="11"/>
  <c r="B19" i="11" s="1"/>
  <c r="D19" i="11" s="1"/>
  <c r="D17" i="11"/>
  <c r="A9" i="11"/>
  <c r="A10" i="11" s="1"/>
  <c r="A11" i="11" s="1"/>
  <c r="A12" i="11" s="1"/>
  <c r="A13" i="11" s="1"/>
  <c r="A14" i="11" s="1"/>
  <c r="A15" i="11" s="1"/>
  <c r="A16" i="11" s="1"/>
  <c r="A17" i="11" s="1"/>
  <c r="A18" i="11" s="1"/>
  <c r="A19" i="11" s="1"/>
  <c r="A20" i="11" s="1"/>
  <c r="A21" i="11" s="1"/>
  <c r="A22" i="11" s="1"/>
  <c r="A23" i="11" s="1"/>
  <c r="A24" i="11" s="1"/>
  <c r="A25" i="11" s="1"/>
  <c r="A26" i="11" s="1"/>
  <c r="A8" i="11"/>
  <c r="B18" i="10"/>
  <c r="B19" i="10" s="1"/>
  <c r="D17" i="10"/>
  <c r="B13" i="10"/>
  <c r="D12" i="10"/>
  <c r="E12" i="10" s="1"/>
  <c r="E12" i="13" s="1"/>
  <c r="G12" i="13" s="1"/>
  <c r="A8" i="10"/>
  <c r="A9" i="10" s="1"/>
  <c r="A10" i="10" s="1"/>
  <c r="A11" i="10" s="1"/>
  <c r="A12" i="10" s="1"/>
  <c r="A13" i="10" s="1"/>
  <c r="A14" i="10" s="1"/>
  <c r="A15" i="10" s="1"/>
  <c r="A16" i="10" s="1"/>
  <c r="A17" i="10" s="1"/>
  <c r="A18" i="10" s="1"/>
  <c r="A19" i="10" s="1"/>
  <c r="A20" i="10" s="1"/>
  <c r="A21" i="10" s="1"/>
  <c r="A22" i="10" s="1"/>
  <c r="A23" i="10" s="1"/>
  <c r="A24" i="10" s="1"/>
  <c r="A25" i="10" s="1"/>
  <c r="A26" i="10" s="1"/>
  <c r="D26" i="9"/>
  <c r="D25" i="9"/>
  <c r="D24" i="9"/>
  <c r="D17" i="9"/>
  <c r="B8" i="9"/>
  <c r="A8" i="9"/>
  <c r="A9" i="9" s="1"/>
  <c r="A10" i="9" s="1"/>
  <c r="A11" i="9" s="1"/>
  <c r="A12" i="9" s="1"/>
  <c r="A13" i="9" s="1"/>
  <c r="A14" i="9" s="1"/>
  <c r="A15" i="9" s="1"/>
  <c r="A16" i="9" s="1"/>
  <c r="A17" i="9" s="1"/>
  <c r="A18" i="9" s="1"/>
  <c r="A19" i="9" s="1"/>
  <c r="A20" i="9" s="1"/>
  <c r="A21" i="9" s="1"/>
  <c r="A22" i="9" s="1"/>
  <c r="A23" i="9" s="1"/>
  <c r="A24" i="9" s="1"/>
  <c r="A25" i="9" s="1"/>
  <c r="A26" i="9" s="1"/>
  <c r="D7" i="9"/>
  <c r="E7" i="9" s="1"/>
  <c r="B7" i="13" s="1"/>
  <c r="G2" i="13" l="1"/>
  <c r="G3" i="13"/>
  <c r="D18" i="12"/>
  <c r="G4" i="13"/>
  <c r="G5" i="13"/>
  <c r="G6" i="13"/>
  <c r="B3" i="14"/>
  <c r="C3" i="14" s="1"/>
  <c r="B14" i="10"/>
  <c r="B4" i="14"/>
  <c r="C4" i="14" s="1"/>
  <c r="B6" i="14"/>
  <c r="C6" i="14" s="1"/>
  <c r="D4" i="13"/>
  <c r="B5" i="14" s="1"/>
  <c r="C5" i="14" s="1"/>
  <c r="D7" i="13"/>
  <c r="B8" i="14" s="1"/>
  <c r="C8" i="14" s="1"/>
  <c r="B7" i="14"/>
  <c r="C7" i="14" s="1"/>
  <c r="D18" i="9"/>
  <c r="B19" i="18"/>
  <c r="B9" i="9"/>
  <c r="B10" i="18" s="1"/>
  <c r="B9" i="18"/>
  <c r="B19" i="9"/>
  <c r="J4" i="20"/>
  <c r="K4" i="20"/>
  <c r="I4" i="20"/>
  <c r="L4" i="20"/>
  <c r="B19" i="12"/>
  <c r="D19" i="12" s="1"/>
  <c r="D18" i="11"/>
  <c r="B20" i="11"/>
  <c r="D18" i="10"/>
  <c r="D14" i="10"/>
  <c r="B15" i="10"/>
  <c r="D19" i="10"/>
  <c r="B20" i="10"/>
  <c r="D13" i="10"/>
  <c r="E13" i="10" s="1"/>
  <c r="D8" i="9"/>
  <c r="E8" i="9"/>
  <c r="B20" i="12" l="1"/>
  <c r="E14" i="10"/>
  <c r="E14" i="13" s="1"/>
  <c r="G14" i="13" s="1"/>
  <c r="E13" i="13"/>
  <c r="G13" i="13" s="1"/>
  <c r="D9" i="18"/>
  <c r="C9" i="18"/>
  <c r="B8" i="13"/>
  <c r="D8" i="13" s="1"/>
  <c r="B9" i="14" s="1"/>
  <c r="C9" i="14" s="1"/>
  <c r="D10" i="18"/>
  <c r="C10" i="18"/>
  <c r="B10" i="9"/>
  <c r="B20" i="9"/>
  <c r="B20" i="18"/>
  <c r="D19" i="9"/>
  <c r="D19" i="18"/>
  <c r="C19" i="18"/>
  <c r="D9" i="9"/>
  <c r="E9" i="9" s="1"/>
  <c r="I5" i="20"/>
  <c r="K5" i="20"/>
  <c r="J5" i="20"/>
  <c r="L5" i="20"/>
  <c r="B21" i="12"/>
  <c r="D20" i="12"/>
  <c r="E17" i="12"/>
  <c r="D20" i="11"/>
  <c r="B21" i="11"/>
  <c r="B16" i="10"/>
  <c r="D16" i="10" s="1"/>
  <c r="D15" i="10"/>
  <c r="E15" i="10" s="1"/>
  <c r="B21" i="10"/>
  <c r="D20" i="10"/>
  <c r="E18" i="12" l="1"/>
  <c r="F17" i="13"/>
  <c r="E16" i="10"/>
  <c r="E15" i="13"/>
  <c r="G15" i="13" s="1"/>
  <c r="G16" i="10"/>
  <c r="B9" i="13"/>
  <c r="D9" i="13" s="1"/>
  <c r="B10" i="14" s="1"/>
  <c r="C10" i="14" s="1"/>
  <c r="B11" i="9"/>
  <c r="B11" i="18"/>
  <c r="G11" i="9"/>
  <c r="D10" i="9"/>
  <c r="E10" i="9" s="1"/>
  <c r="D20" i="18"/>
  <c r="C20" i="18"/>
  <c r="B21" i="18"/>
  <c r="D20" i="9"/>
  <c r="B21" i="9"/>
  <c r="L6" i="20"/>
  <c r="H3" i="14" s="1"/>
  <c r="J6" i="20"/>
  <c r="F3" i="14" s="1"/>
  <c r="K6" i="20"/>
  <c r="G3" i="14" s="1"/>
  <c r="I6" i="20"/>
  <c r="E3" i="14" s="1"/>
  <c r="B22" i="12"/>
  <c r="D21" i="12"/>
  <c r="B22" i="11"/>
  <c r="D21" i="11"/>
  <c r="D21" i="10"/>
  <c r="B22" i="10"/>
  <c r="E19" i="12" l="1"/>
  <c r="F18" i="13"/>
  <c r="E17" i="10"/>
  <c r="E16" i="13"/>
  <c r="G16" i="13" s="1"/>
  <c r="B10" i="13"/>
  <c r="D10" i="13" s="1"/>
  <c r="B11" i="14" s="1"/>
  <c r="C11" i="14" s="1"/>
  <c r="D11" i="18"/>
  <c r="C11" i="18"/>
  <c r="B22" i="18"/>
  <c r="B22" i="9"/>
  <c r="D21" i="9"/>
  <c r="B12" i="9"/>
  <c r="B12" i="18"/>
  <c r="D11" i="9"/>
  <c r="E11" i="9" s="1"/>
  <c r="B11" i="13" s="1"/>
  <c r="D11" i="13" s="1"/>
  <c r="B12" i="14" s="1"/>
  <c r="C12" i="14" s="1"/>
  <c r="D21" i="18"/>
  <c r="C21" i="18"/>
  <c r="D22" i="12"/>
  <c r="B23" i="12"/>
  <c r="D22" i="11"/>
  <c r="B23" i="11"/>
  <c r="B13" i="11"/>
  <c r="D22" i="10"/>
  <c r="B23" i="10"/>
  <c r="E20" i="12" l="1"/>
  <c r="F19" i="13"/>
  <c r="E18" i="10"/>
  <c r="E17" i="13"/>
  <c r="G17" i="13" s="1"/>
  <c r="D12" i="18"/>
  <c r="C12" i="18"/>
  <c r="B13" i="18"/>
  <c r="D12" i="9"/>
  <c r="E12" i="9" s="1"/>
  <c r="B12" i="13" s="1"/>
  <c r="D12" i="13" s="1"/>
  <c r="B13" i="14" s="1"/>
  <c r="C13" i="14" s="1"/>
  <c r="B13" i="9"/>
  <c r="B23" i="18"/>
  <c r="B23" i="9"/>
  <c r="D22" i="9"/>
  <c r="D22" i="18"/>
  <c r="C22" i="18"/>
  <c r="D23" i="12"/>
  <c r="B24" i="12"/>
  <c r="D23" i="11"/>
  <c r="D13" i="11"/>
  <c r="E13" i="11" s="1"/>
  <c r="C13" i="13" s="1"/>
  <c r="B14" i="11"/>
  <c r="B24" i="10"/>
  <c r="B25" i="18" s="1"/>
  <c r="D23" i="10"/>
  <c r="F20" i="13" l="1"/>
  <c r="E21" i="12"/>
  <c r="D25" i="18"/>
  <c r="C25" i="18"/>
  <c r="E19" i="10"/>
  <c r="E18" i="13"/>
  <c r="G18" i="13" s="1"/>
  <c r="B14" i="18"/>
  <c r="B14" i="9"/>
  <c r="D13" i="9"/>
  <c r="E13" i="9" s="1"/>
  <c r="B13" i="13" s="1"/>
  <c r="D13" i="13" s="1"/>
  <c r="B14" i="14" s="1"/>
  <c r="C14" i="14" s="1"/>
  <c r="D23" i="9"/>
  <c r="B24" i="18"/>
  <c r="D13" i="18"/>
  <c r="C13" i="18"/>
  <c r="D23" i="18"/>
  <c r="C23" i="18"/>
  <c r="B25" i="12"/>
  <c r="D24" i="12"/>
  <c r="D24" i="11"/>
  <c r="B15" i="11"/>
  <c r="D14" i="11"/>
  <c r="E14" i="11" s="1"/>
  <c r="C14" i="13" s="1"/>
  <c r="D24" i="10"/>
  <c r="B25" i="10"/>
  <c r="B26" i="18" s="1"/>
  <c r="F21" i="13" l="1"/>
  <c r="E22" i="12"/>
  <c r="E19" i="13"/>
  <c r="G19" i="13" s="1"/>
  <c r="E20" i="10"/>
  <c r="D26" i="18"/>
  <c r="C26" i="18"/>
  <c r="D24" i="18"/>
  <c r="C24" i="18"/>
  <c r="B15" i="18"/>
  <c r="B15" i="9"/>
  <c r="D14" i="9"/>
  <c r="E14" i="9" s="1"/>
  <c r="B14" i="13" s="1"/>
  <c r="D14" i="13" s="1"/>
  <c r="B15" i="14" s="1"/>
  <c r="C15" i="14" s="1"/>
  <c r="D14" i="18"/>
  <c r="C14" i="18"/>
  <c r="B26" i="12"/>
  <c r="D25" i="12"/>
  <c r="D26" i="11"/>
  <c r="D25" i="11"/>
  <c r="B16" i="11"/>
  <c r="D16" i="11" s="1"/>
  <c r="D15" i="11"/>
  <c r="E15" i="11" s="1"/>
  <c r="B26" i="10"/>
  <c r="D25" i="10"/>
  <c r="D26" i="12" l="1"/>
  <c r="G26" i="12"/>
  <c r="F22" i="13"/>
  <c r="E23" i="12"/>
  <c r="D26" i="10"/>
  <c r="B27" i="18"/>
  <c r="G26" i="10"/>
  <c r="E20" i="13"/>
  <c r="G20" i="13" s="1"/>
  <c r="E21" i="10"/>
  <c r="E16" i="11"/>
  <c r="C15" i="13"/>
  <c r="G16" i="11"/>
  <c r="G26" i="11"/>
  <c r="B16" i="18"/>
  <c r="D15" i="9"/>
  <c r="E15" i="9" s="1"/>
  <c r="B16" i="9"/>
  <c r="G16" i="9" s="1"/>
  <c r="D15" i="18"/>
  <c r="C15" i="18"/>
  <c r="F23" i="13" l="1"/>
  <c r="E24" i="12"/>
  <c r="E21" i="13"/>
  <c r="G21" i="13" s="1"/>
  <c r="E22" i="10"/>
  <c r="D27" i="18"/>
  <c r="C27" i="18"/>
  <c r="E17" i="11"/>
  <c r="C16" i="13"/>
  <c r="B15" i="13"/>
  <c r="D15" i="13" s="1"/>
  <c r="B16" i="14" s="1"/>
  <c r="C16" i="14" s="1"/>
  <c r="D16" i="9"/>
  <c r="E16" i="9" s="1"/>
  <c r="B17" i="18"/>
  <c r="G26" i="9"/>
  <c r="D16" i="18"/>
  <c r="C16" i="18"/>
  <c r="F24" i="13" l="1"/>
  <c r="E25" i="12"/>
  <c r="E22" i="13"/>
  <c r="G22" i="13" s="1"/>
  <c r="E23" i="10"/>
  <c r="E18" i="11"/>
  <c r="C17" i="13"/>
  <c r="E17" i="9"/>
  <c r="B16" i="13"/>
  <c r="D16" i="13" s="1"/>
  <c r="B17" i="14" s="1"/>
  <c r="C17" i="14" s="1"/>
  <c r="D17" i="18"/>
  <c r="D28" i="18" s="1"/>
  <c r="C17" i="18"/>
  <c r="B13" i="23" s="1"/>
  <c r="F13" i="23"/>
  <c r="F10" i="23" s="1"/>
  <c r="F3" i="23" s="1"/>
  <c r="E26" i="12" l="1"/>
  <c r="F26" i="13" s="1"/>
  <c r="F25" i="13"/>
  <c r="E23" i="13"/>
  <c r="G23" i="13" s="1"/>
  <c r="E24" i="10"/>
  <c r="E19" i="11"/>
  <c r="C18" i="13"/>
  <c r="E18" i="9"/>
  <c r="B17" i="13"/>
  <c r="D17" i="13" s="1"/>
  <c r="B18" i="14" s="1"/>
  <c r="C18" i="14" s="1"/>
  <c r="C28" i="18"/>
  <c r="E24" i="13" l="1"/>
  <c r="G24" i="13" s="1"/>
  <c r="E25" i="10"/>
  <c r="E20" i="11"/>
  <c r="C19" i="13"/>
  <c r="E19" i="9"/>
  <c r="B18" i="13"/>
  <c r="D18" i="13" s="1"/>
  <c r="B19" i="14" s="1"/>
  <c r="C19" i="14" s="1"/>
  <c r="E26" i="10" l="1"/>
  <c r="E26" i="13" s="1"/>
  <c r="G26" i="13" s="1"/>
  <c r="E25" i="13"/>
  <c r="G25" i="13" s="1"/>
  <c r="E21" i="11"/>
  <c r="C20" i="13"/>
  <c r="E20" i="9"/>
  <c r="B19" i="13"/>
  <c r="D19" i="13" s="1"/>
  <c r="B20" i="14" s="1"/>
  <c r="C20" i="14" s="1"/>
  <c r="E22" i="11" l="1"/>
  <c r="C21" i="13"/>
  <c r="E21" i="9"/>
  <c r="B20" i="13"/>
  <c r="D20" i="13" s="1"/>
  <c r="B21" i="14" s="1"/>
  <c r="C21" i="14" s="1"/>
  <c r="E23" i="11" l="1"/>
  <c r="C22" i="13"/>
  <c r="E22" i="9"/>
  <c r="B21" i="13"/>
  <c r="D21" i="13" s="1"/>
  <c r="B22" i="14" s="1"/>
  <c r="C22" i="14" s="1"/>
  <c r="E24" i="11" l="1"/>
  <c r="C23" i="13"/>
  <c r="E23" i="9"/>
  <c r="B22" i="13"/>
  <c r="D22" i="13" s="1"/>
  <c r="B23" i="14" s="1"/>
  <c r="C23" i="14" s="1"/>
  <c r="C24" i="13" l="1"/>
  <c r="E25" i="11"/>
  <c r="E24" i="9"/>
  <c r="B23" i="13"/>
  <c r="D23" i="13" s="1"/>
  <c r="B24" i="14" s="1"/>
  <c r="C24" i="14" s="1"/>
  <c r="E26" i="11" l="1"/>
  <c r="C26" i="13" s="1"/>
  <c r="C25" i="13"/>
  <c r="E25" i="9"/>
  <c r="B24" i="13"/>
  <c r="D24" i="13" s="1"/>
  <c r="B25" i="14" s="1"/>
  <c r="C25" i="14" s="1"/>
  <c r="E26" i="9" l="1"/>
  <c r="B26" i="13" s="1"/>
  <c r="D26" i="13" s="1"/>
  <c r="B27" i="14" s="1"/>
  <c r="C27" i="14" s="1"/>
  <c r="B25" i="13"/>
  <c r="D25" i="13" s="1"/>
  <c r="B26" i="14" s="1"/>
  <c r="C26" i="14" s="1"/>
  <c r="D27" i="14" l="1"/>
  <c r="F30" i="20" s="1"/>
  <c r="D6" i="14"/>
  <c r="F9" i="20" s="1"/>
  <c r="D7" i="14"/>
  <c r="F10" i="20" s="1"/>
  <c r="D8" i="14"/>
  <c r="F11" i="20" s="1"/>
  <c r="D9" i="14"/>
  <c r="F12" i="20" s="1"/>
  <c r="D10" i="14"/>
  <c r="F13" i="20" s="1"/>
  <c r="D12" i="14"/>
  <c r="F15" i="20" s="1"/>
  <c r="D11" i="14"/>
  <c r="F14" i="20" s="1"/>
  <c r="D13" i="14"/>
  <c r="F16" i="20" s="1"/>
  <c r="C28" i="14"/>
  <c r="D14" i="14"/>
  <c r="F17" i="20" s="1"/>
  <c r="D15" i="14"/>
  <c r="F18" i="20" s="1"/>
  <c r="D16" i="14"/>
  <c r="F19" i="20" s="1"/>
  <c r="D17" i="14"/>
  <c r="F20" i="20" s="1"/>
  <c r="D18" i="14"/>
  <c r="F21" i="20" s="1"/>
  <c r="D19" i="14"/>
  <c r="F22" i="20" s="1"/>
  <c r="D20" i="14"/>
  <c r="F23" i="20" s="1"/>
  <c r="D21" i="14"/>
  <c r="F24" i="20" s="1"/>
  <c r="D22" i="14"/>
  <c r="F25" i="20" s="1"/>
  <c r="D23" i="14"/>
  <c r="F26" i="20" s="1"/>
  <c r="D24" i="14"/>
  <c r="F27" i="20" s="1"/>
  <c r="D26" i="14"/>
  <c r="F29" i="20" s="1"/>
  <c r="D25" i="14"/>
  <c r="F28" i="20" s="1"/>
  <c r="D5" i="14" l="1"/>
  <c r="F8" i="20" s="1"/>
  <c r="D4" i="14"/>
  <c r="F7" i="20" l="1"/>
  <c r="D28" i="14"/>
  <c r="C7" i="20" l="1"/>
  <c r="B7" i="20"/>
  <c r="E7" i="20"/>
  <c r="D7" i="20"/>
  <c r="F31" i="20"/>
  <c r="B8" i="20" l="1"/>
  <c r="I7" i="20"/>
  <c r="E4" i="14" s="1"/>
  <c r="D8" i="20"/>
  <c r="K7" i="20"/>
  <c r="G4" i="14" s="1"/>
  <c r="E8" i="20"/>
  <c r="L7" i="20"/>
  <c r="H4" i="14" s="1"/>
  <c r="C8" i="20"/>
  <c r="J7" i="20"/>
  <c r="F4" i="14" s="1"/>
  <c r="C9" i="20" l="1"/>
  <c r="J8" i="20"/>
  <c r="F5" i="14" s="1"/>
  <c r="E9" i="20"/>
  <c r="L8" i="20"/>
  <c r="H5" i="14" s="1"/>
  <c r="D9" i="20"/>
  <c r="K8" i="20"/>
  <c r="G5" i="14" s="1"/>
  <c r="B9" i="20"/>
  <c r="I8" i="20"/>
  <c r="E5" i="14" s="1"/>
  <c r="D10" i="20" l="1"/>
  <c r="K9" i="20"/>
  <c r="G6" i="14" s="1"/>
  <c r="B10" i="20"/>
  <c r="I9" i="20"/>
  <c r="E6" i="14" s="1"/>
  <c r="E10" i="20"/>
  <c r="L9" i="20"/>
  <c r="H6" i="14" s="1"/>
  <c r="C10" i="20"/>
  <c r="J9" i="20"/>
  <c r="F6" i="14" s="1"/>
  <c r="C11" i="20" l="1"/>
  <c r="J10" i="20"/>
  <c r="F7" i="14" s="1"/>
  <c r="E11" i="20"/>
  <c r="L10" i="20"/>
  <c r="H7" i="14" s="1"/>
  <c r="B11" i="20"/>
  <c r="I10" i="20"/>
  <c r="E7" i="14" s="1"/>
  <c r="E6" i="23"/>
  <c r="E5" i="23" s="1"/>
  <c r="D11" i="20"/>
  <c r="K10" i="20"/>
  <c r="G7" i="14" s="1"/>
  <c r="D12" i="20" l="1"/>
  <c r="K11" i="20"/>
  <c r="G8" i="14" s="1"/>
  <c r="B6" i="23"/>
  <c r="B5" i="23" s="1"/>
  <c r="B12" i="20"/>
  <c r="I11" i="20"/>
  <c r="E8" i="14" s="1"/>
  <c r="E12" i="20"/>
  <c r="L11" i="20"/>
  <c r="H8" i="14" s="1"/>
  <c r="D6" i="23"/>
  <c r="D5" i="23" s="1"/>
  <c r="C6" i="23"/>
  <c r="C5" i="23" s="1"/>
  <c r="C12" i="20"/>
  <c r="J11" i="20"/>
  <c r="F8" i="14" s="1"/>
  <c r="E13" i="20" l="1"/>
  <c r="L12" i="20"/>
  <c r="H9" i="14" s="1"/>
  <c r="C13" i="20"/>
  <c r="J12" i="20"/>
  <c r="F9" i="14" s="1"/>
  <c r="B13" i="20"/>
  <c r="I12" i="20"/>
  <c r="E9" i="14" s="1"/>
  <c r="D13" i="20"/>
  <c r="K12" i="20"/>
  <c r="G9" i="14" s="1"/>
  <c r="E14" i="20" l="1"/>
  <c r="L13" i="20"/>
  <c r="H10" i="14" s="1"/>
  <c r="D14" i="20"/>
  <c r="K13" i="20"/>
  <c r="G10" i="14" s="1"/>
  <c r="B14" i="20"/>
  <c r="I13" i="20"/>
  <c r="E10" i="14" s="1"/>
  <c r="C14" i="20"/>
  <c r="J13" i="20"/>
  <c r="F10" i="14" s="1"/>
  <c r="C15" i="20" l="1"/>
  <c r="J14" i="20"/>
  <c r="F11" i="14" s="1"/>
  <c r="D15" i="20"/>
  <c r="K14" i="20"/>
  <c r="G11" i="14" s="1"/>
  <c r="B15" i="20"/>
  <c r="I14" i="20"/>
  <c r="E11" i="14" s="1"/>
  <c r="E15" i="20"/>
  <c r="L14" i="20"/>
  <c r="H11" i="14" s="1"/>
  <c r="E16" i="20" l="1"/>
  <c r="L15" i="20"/>
  <c r="H12" i="14" s="1"/>
  <c r="D16" i="20"/>
  <c r="K15" i="20"/>
  <c r="G12" i="14" s="1"/>
  <c r="B16" i="20"/>
  <c r="I15" i="20"/>
  <c r="E12" i="14" s="1"/>
  <c r="C16" i="20"/>
  <c r="J15" i="20"/>
  <c r="F12" i="14" s="1"/>
  <c r="C17" i="20" l="1"/>
  <c r="J16" i="20"/>
  <c r="F13" i="14" s="1"/>
  <c r="B17" i="20"/>
  <c r="I16" i="20"/>
  <c r="E13" i="14" s="1"/>
  <c r="D17" i="20"/>
  <c r="K16" i="20"/>
  <c r="G13" i="14" s="1"/>
  <c r="E17" i="20"/>
  <c r="L16" i="20"/>
  <c r="H13" i="14" s="1"/>
  <c r="E18" i="20" l="1"/>
  <c r="L17" i="20"/>
  <c r="H14" i="14" s="1"/>
  <c r="D18" i="20"/>
  <c r="K17" i="20"/>
  <c r="G14" i="14" s="1"/>
  <c r="B18" i="20"/>
  <c r="I17" i="20"/>
  <c r="E14" i="14" s="1"/>
  <c r="C18" i="20"/>
  <c r="J17" i="20"/>
  <c r="F14" i="14" s="1"/>
  <c r="C19" i="20" l="1"/>
  <c r="J18" i="20"/>
  <c r="F15" i="14" s="1"/>
  <c r="B19" i="20"/>
  <c r="I18" i="20"/>
  <c r="E15" i="14" s="1"/>
  <c r="D19" i="20"/>
  <c r="K18" i="20"/>
  <c r="G15" i="14" s="1"/>
  <c r="E19" i="20"/>
  <c r="L18" i="20"/>
  <c r="H15" i="14" s="1"/>
  <c r="E20" i="20" l="1"/>
  <c r="L19" i="20"/>
  <c r="H16" i="14" s="1"/>
  <c r="D20" i="20"/>
  <c r="K19" i="20"/>
  <c r="G16" i="14" s="1"/>
  <c r="B20" i="20"/>
  <c r="I19" i="20"/>
  <c r="E16" i="14" s="1"/>
  <c r="C20" i="20"/>
  <c r="J19" i="20"/>
  <c r="F16" i="14" s="1"/>
  <c r="C21" i="20" l="1"/>
  <c r="J20" i="20"/>
  <c r="F17" i="14" s="1"/>
  <c r="I20" i="20"/>
  <c r="E17" i="14" s="1"/>
  <c r="B21" i="20"/>
  <c r="D21" i="20"/>
  <c r="K20" i="20"/>
  <c r="G17" i="14" s="1"/>
  <c r="E21" i="20"/>
  <c r="L20" i="20"/>
  <c r="H17" i="14" s="1"/>
  <c r="B22" i="20" l="1"/>
  <c r="I21" i="20"/>
  <c r="E18" i="14" s="1"/>
  <c r="E22" i="20"/>
  <c r="L21" i="20"/>
  <c r="H18" i="14" s="1"/>
  <c r="D22" i="20"/>
  <c r="K21" i="20"/>
  <c r="G18" i="14" s="1"/>
  <c r="C22" i="20"/>
  <c r="J21" i="20"/>
  <c r="F18" i="14" s="1"/>
  <c r="C23" i="20" l="1"/>
  <c r="J22" i="20"/>
  <c r="F19" i="14" s="1"/>
  <c r="D23" i="20"/>
  <c r="K22" i="20"/>
  <c r="G19" i="14" s="1"/>
  <c r="E23" i="20"/>
  <c r="L22" i="20"/>
  <c r="H19" i="14" s="1"/>
  <c r="B23" i="20"/>
  <c r="I22" i="20"/>
  <c r="E19" i="14" s="1"/>
  <c r="B24" i="20" l="1"/>
  <c r="I23" i="20"/>
  <c r="E20" i="14" s="1"/>
  <c r="E24" i="20"/>
  <c r="L23" i="20"/>
  <c r="H20" i="14" s="1"/>
  <c r="D24" i="20"/>
  <c r="K23" i="20"/>
  <c r="G20" i="14" s="1"/>
  <c r="C24" i="20"/>
  <c r="J23" i="20"/>
  <c r="F20" i="14" s="1"/>
  <c r="C25" i="20" l="1"/>
  <c r="J24" i="20"/>
  <c r="F21" i="14" s="1"/>
  <c r="D25" i="20"/>
  <c r="K24" i="20"/>
  <c r="G21" i="14" s="1"/>
  <c r="E25" i="20"/>
  <c r="L24" i="20"/>
  <c r="H21" i="14" s="1"/>
  <c r="B25" i="20"/>
  <c r="I24" i="20"/>
  <c r="E21" i="14" s="1"/>
  <c r="B26" i="20" l="1"/>
  <c r="I25" i="20"/>
  <c r="E22" i="14" s="1"/>
  <c r="E26" i="20"/>
  <c r="L25" i="20"/>
  <c r="H22" i="14" s="1"/>
  <c r="D26" i="20"/>
  <c r="K25" i="20"/>
  <c r="G22" i="14" s="1"/>
  <c r="C26" i="20"/>
  <c r="J25" i="20"/>
  <c r="F22" i="14" s="1"/>
  <c r="C27" i="20" l="1"/>
  <c r="J26" i="20"/>
  <c r="F23" i="14" s="1"/>
  <c r="D27" i="20"/>
  <c r="K26" i="20"/>
  <c r="G23" i="14" s="1"/>
  <c r="E27" i="20"/>
  <c r="L26" i="20"/>
  <c r="H23" i="14" s="1"/>
  <c r="B27" i="20"/>
  <c r="I26" i="20"/>
  <c r="E23" i="14" s="1"/>
  <c r="B28" i="20" l="1"/>
  <c r="I27" i="20"/>
  <c r="E24" i="14" s="1"/>
  <c r="E28" i="20"/>
  <c r="L27" i="20"/>
  <c r="H24" i="14" s="1"/>
  <c r="D28" i="20"/>
  <c r="K27" i="20"/>
  <c r="G24" i="14" s="1"/>
  <c r="C28" i="20"/>
  <c r="J27" i="20"/>
  <c r="F24" i="14" s="1"/>
  <c r="C29" i="20" l="1"/>
  <c r="J28" i="20"/>
  <c r="F25" i="14" s="1"/>
  <c r="D29" i="20"/>
  <c r="K28" i="20"/>
  <c r="G25" i="14" s="1"/>
  <c r="E29" i="20"/>
  <c r="L28" i="20"/>
  <c r="H25" i="14" s="1"/>
  <c r="B29" i="20"/>
  <c r="I28" i="20"/>
  <c r="E25" i="14" s="1"/>
  <c r="B30" i="20" l="1"/>
  <c r="I30" i="20" s="1"/>
  <c r="E27" i="14" s="1"/>
  <c r="I29" i="20"/>
  <c r="E26" i="14" s="1"/>
  <c r="E30" i="20"/>
  <c r="L30" i="20" s="1"/>
  <c r="H27" i="14" s="1"/>
  <c r="L29" i="20"/>
  <c r="H26" i="14" s="1"/>
  <c r="D30" i="20"/>
  <c r="K30" i="20" s="1"/>
  <c r="G27" i="14" s="1"/>
  <c r="K29" i="20"/>
  <c r="G26" i="14" s="1"/>
  <c r="C30" i="20"/>
  <c r="J30" i="20" s="1"/>
  <c r="F27" i="14" s="1"/>
  <c r="J29" i="20"/>
  <c r="F26" i="14" s="1"/>
  <c r="F28" i="14" l="1"/>
  <c r="C11" i="23"/>
  <c r="C10" i="23" s="1"/>
  <c r="C3" i="23" s="1"/>
  <c r="H28" i="14"/>
  <c r="E11" i="23"/>
  <c r="E10" i="23" s="1"/>
  <c r="E3" i="23" s="1"/>
  <c r="G28" i="14"/>
  <c r="D11" i="23"/>
  <c r="D10" i="23" s="1"/>
  <c r="D3" i="23" s="1"/>
  <c r="E28" i="14"/>
  <c r="B11" i="23"/>
  <c r="B10" i="23" s="1"/>
  <c r="B3" i="23" s="1"/>
</calcChain>
</file>

<file path=xl/sharedStrings.xml><?xml version="1.0" encoding="utf-8"?>
<sst xmlns="http://schemas.openxmlformats.org/spreadsheetml/2006/main" count="206" uniqueCount="79">
  <si>
    <t>Year</t>
  </si>
  <si>
    <t>MW</t>
  </si>
  <si>
    <t>MW/y</t>
  </si>
  <si>
    <t>MW/OWT</t>
  </si>
  <si>
    <t>Total-MW</t>
  </si>
  <si>
    <t xml:space="preserve">FOWTs </t>
  </si>
  <si>
    <t>MW/FOWT</t>
  </si>
  <si>
    <t>OWTs</t>
  </si>
  <si>
    <t>Total MW</t>
  </si>
  <si>
    <t>Sears+EPA</t>
  </si>
  <si>
    <t>Salem+EPA</t>
  </si>
  <si>
    <t>Sears-EPA</t>
  </si>
  <si>
    <t>Salem-EPA</t>
  </si>
  <si>
    <t>Total+EPA</t>
  </si>
  <si>
    <t>Total-EPA</t>
  </si>
  <si>
    <t>Difference: +EPA-EPA</t>
  </si>
  <si>
    <t>GWh</t>
  </si>
  <si>
    <t>SO2</t>
  </si>
  <si>
    <t>NOx</t>
  </si>
  <si>
    <t>Total</t>
  </si>
  <si>
    <t>metric tons</t>
  </si>
  <si>
    <t>OS-NOx</t>
  </si>
  <si>
    <t>t/GWh</t>
  </si>
  <si>
    <t>lbs/MWh</t>
  </si>
  <si>
    <t>t = metric tons</t>
  </si>
  <si>
    <t>1 metric ton = 2204.62 lbs</t>
  </si>
  <si>
    <t>CO2</t>
  </si>
  <si>
    <t>PM2.5</t>
  </si>
  <si>
    <t>N2O</t>
  </si>
  <si>
    <t>CTV</t>
  </si>
  <si>
    <t>SOV</t>
  </si>
  <si>
    <t>speed</t>
  </si>
  <si>
    <t>knots</t>
  </si>
  <si>
    <t>nm</t>
  </si>
  <si>
    <t>duration</t>
  </si>
  <si>
    <t>CO2/hr</t>
  </si>
  <si>
    <t>CO2/trip</t>
  </si>
  <si>
    <t>N2O/trip</t>
  </si>
  <si>
    <t>kg/hr</t>
  </si>
  <si>
    <t>mt</t>
  </si>
  <si>
    <t>OWT/FOWT</t>
  </si>
  <si>
    <t>distance</t>
  </si>
  <si>
    <t>hrs</t>
  </si>
  <si>
    <t>GW</t>
  </si>
  <si>
    <t>ISO-NE</t>
  </si>
  <si>
    <t>FOSW</t>
  </si>
  <si>
    <t>CO2e</t>
  </si>
  <si>
    <t>Scope</t>
  </si>
  <si>
    <t>%total</t>
  </si>
  <si>
    <t>Diff</t>
  </si>
  <si>
    <t>C02e</t>
  </si>
  <si>
    <t>Solar</t>
  </si>
  <si>
    <t>OSW</t>
  </si>
  <si>
    <t>Storage</t>
  </si>
  <si>
    <t>CF</t>
  </si>
  <si>
    <t>TWh</t>
  </si>
  <si>
    <t>W</t>
  </si>
  <si>
    <t>% total</t>
  </si>
  <si>
    <t>Delta</t>
  </si>
  <si>
    <t>EPA-2022-eGRID: Total output emission rates</t>
  </si>
  <si>
    <t>EPA-2022-eGRID: Non-baseload output emission rates</t>
  </si>
  <si>
    <t>Contribution of FOSW to NEWE Grid in 2050</t>
  </si>
  <si>
    <t>NEWE Grid Generation Mix in 2050 per ISO-NE</t>
  </si>
  <si>
    <t>Vessel type and shore power specifications for Salem, considering the NEWE eGRID Subregion.</t>
  </si>
  <si>
    <t>Estimated Annual Vessel Power and Shore Power Emissions in metric tons.</t>
  </si>
  <si>
    <t xml:space="preserve">Additional distance, duration, and emissions estimated per trip for service from Halifax instead of Searsport. </t>
  </si>
  <si>
    <t>From:  "Setting a Benchmark for Decarbonizing O&amp;M Vessels of Offshore Wind Farms"</t>
  </si>
  <si>
    <t>Case</t>
  </si>
  <si>
    <t>Salem Port Elect.</t>
  </si>
  <si>
    <t>Canadian Mar.</t>
  </si>
  <si>
    <t>2025-2050 Total</t>
  </si>
  <si>
    <t>2025-2030 Total</t>
  </si>
  <si>
    <t>2030-2050 Total</t>
  </si>
  <si>
    <t>Dec. 31, 2029 =</t>
  </si>
  <si>
    <t>Dec. 31, 2049 =</t>
  </si>
  <si>
    <t>Jan. 1, 2030</t>
  </si>
  <si>
    <t>Jan. 1, 2050</t>
  </si>
  <si>
    <t>Turbine Total</t>
  </si>
  <si>
    <t>turbine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</si>
</sst>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
    <numFmt numFmtId="165" formatCode="_(* #,##0_);_(* \(#,##0\);_(* &quot;-&quot;??_);_(@_)"/>
    <numFmt numFmtId="166" formatCode="_(* #,##0.0_);_(* \(#,##0.0\);_(* &quot;-&quot;??_);_(@_)"/>
    <numFmt numFmtId="167" formatCode="_(* #,##0.000_);_(* \(#,##0.000\);_(* &quot;-&quot;??_);_(@_)"/>
    <numFmt numFmtId="168" formatCode="0.0"/>
    <numFmt numFmtId="169" formatCode="0.0%"/>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1"/>
      <color theme="1"/>
      <name val="Aptos"/>
      <family val="2"/>
    </font>
  </fonts>
  <fills count="3">
    <fill>
      <patternFill patternType="none"/>
    </fill>
    <fill>
      <patternFill patternType="gray125"/>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8">
    <xf numFmtId="0" fontId="0" fillId="0" borderId="0" xfId="0"/>
    <xf numFmtId="0" fontId="0" fillId="0" borderId="0" xfId="0" applyAlignment="1">
      <alignment horizontal="center"/>
    </xf>
    <xf numFmtId="0" fontId="0" fillId="0" borderId="0" xfId="0"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1" xfId="0" applyBorder="1"/>
    <xf numFmtId="0" fontId="0" fillId="0" borderId="12" xfId="0" applyBorder="1"/>
    <xf numFmtId="0" fontId="0" fillId="0" borderId="0" xfId="0" applyAlignment="1">
      <alignment horizontal="right"/>
    </xf>
    <xf numFmtId="0" fontId="0" fillId="0" borderId="3" xfId="0" applyBorder="1" applyAlignment="1">
      <alignment horizontal="right"/>
    </xf>
    <xf numFmtId="0" fontId="0" fillId="0" borderId="4" xfId="0" applyBorder="1" applyAlignment="1">
      <alignment horizontal="right"/>
    </xf>
    <xf numFmtId="165" fontId="0" fillId="0" borderId="6" xfId="1" applyNumberFormat="1" applyFont="1" applyBorder="1" applyAlignment="1">
      <alignment horizontal="right"/>
    </xf>
    <xf numFmtId="0" fontId="0" fillId="0" borderId="8" xfId="0" applyBorder="1" applyAlignment="1">
      <alignment horizontal="right"/>
    </xf>
    <xf numFmtId="0" fontId="0" fillId="0" borderId="9" xfId="0" applyBorder="1" applyAlignment="1">
      <alignment horizontal="right"/>
    </xf>
    <xf numFmtId="0" fontId="0" fillId="0" borderId="15" xfId="0" quotePrefix="1" applyBorder="1" applyAlignment="1">
      <alignment horizontal="center"/>
    </xf>
    <xf numFmtId="0" fontId="0" fillId="0" borderId="14" xfId="0" quotePrefix="1" applyBorder="1" applyAlignment="1">
      <alignment horizontal="center"/>
    </xf>
    <xf numFmtId="165" fontId="0" fillId="0" borderId="13" xfId="1" applyNumberFormat="1" applyFont="1" applyBorder="1" applyAlignment="1">
      <alignment horizontal="center"/>
    </xf>
    <xf numFmtId="0" fontId="0" fillId="0" borderId="10" xfId="0" applyBorder="1"/>
    <xf numFmtId="165" fontId="2" fillId="0" borderId="1" xfId="1" applyNumberFormat="1" applyFont="1" applyBorder="1" applyAlignment="1">
      <alignment horizontal="center"/>
    </xf>
    <xf numFmtId="0" fontId="0" fillId="0" borderId="2" xfId="0" applyBorder="1" applyAlignment="1">
      <alignment horizontal="right"/>
    </xf>
    <xf numFmtId="0" fontId="0" fillId="0" borderId="7" xfId="0" applyBorder="1" applyAlignment="1">
      <alignment horizontal="right"/>
    </xf>
    <xf numFmtId="165" fontId="0" fillId="0" borderId="5" xfId="1" applyNumberFormat="1" applyFont="1" applyBorder="1" applyAlignment="1">
      <alignment horizontal="right"/>
    </xf>
    <xf numFmtId="0" fontId="0" fillId="0" borderId="15" xfId="0" applyBorder="1" applyAlignment="1">
      <alignment horizontal="right"/>
    </xf>
    <xf numFmtId="0" fontId="0" fillId="0" borderId="14" xfId="0" applyBorder="1" applyAlignment="1">
      <alignment horizontal="right"/>
    </xf>
    <xf numFmtId="165" fontId="0" fillId="0" borderId="13" xfId="1" applyNumberFormat="1" applyFont="1" applyBorder="1" applyAlignment="1">
      <alignment horizontal="right"/>
    </xf>
    <xf numFmtId="0" fontId="2" fillId="0" borderId="11" xfId="0" applyFont="1" applyBorder="1" applyAlignment="1">
      <alignment horizontal="right"/>
    </xf>
    <xf numFmtId="164" fontId="0" fillId="0" borderId="0" xfId="0" applyNumberFormat="1" applyAlignment="1">
      <alignment horizontal="center"/>
    </xf>
    <xf numFmtId="164" fontId="0" fillId="0" borderId="6" xfId="0" applyNumberFormat="1" applyBorder="1" applyAlignment="1">
      <alignment horizontal="center"/>
    </xf>
    <xf numFmtId="164" fontId="0" fillId="0" borderId="9" xfId="0" applyNumberFormat="1" applyBorder="1" applyAlignment="1">
      <alignment horizontal="center"/>
    </xf>
    <xf numFmtId="1" fontId="0" fillId="0" borderId="5" xfId="0" applyNumberFormat="1" applyBorder="1" applyAlignment="1">
      <alignment horizontal="center"/>
    </xf>
    <xf numFmtId="1" fontId="0" fillId="0" borderId="7" xfId="0" applyNumberFormat="1" applyBorder="1" applyAlignment="1">
      <alignment horizontal="center"/>
    </xf>
    <xf numFmtId="164" fontId="0" fillId="0" borderId="13" xfId="0" applyNumberFormat="1" applyBorder="1" applyAlignment="1">
      <alignment horizontal="center"/>
    </xf>
    <xf numFmtId="164" fontId="0" fillId="0" borderId="14" xfId="0" applyNumberFormat="1" applyBorder="1" applyAlignment="1">
      <alignment horizontal="center"/>
    </xf>
    <xf numFmtId="1" fontId="0" fillId="0" borderId="2" xfId="0" applyNumberFormat="1" applyBorder="1" applyAlignment="1">
      <alignment horizontal="center"/>
    </xf>
    <xf numFmtId="164" fontId="0" fillId="0" borderId="15" xfId="0" applyNumberFormat="1" applyBorder="1" applyAlignment="1">
      <alignment horizontal="center"/>
    </xf>
    <xf numFmtId="164" fontId="0" fillId="0" borderId="4" xfId="0" applyNumberFormat="1" applyBorder="1" applyAlignment="1">
      <alignment horizontal="center"/>
    </xf>
    <xf numFmtId="165" fontId="0" fillId="0" borderId="15" xfId="1" applyNumberFormat="1" applyFont="1" applyBorder="1" applyAlignment="1">
      <alignment horizontal="center"/>
    </xf>
    <xf numFmtId="165" fontId="0" fillId="0" borderId="15" xfId="1" applyNumberFormat="1" applyFont="1" applyBorder="1" applyAlignment="1">
      <alignment horizontal="right"/>
    </xf>
    <xf numFmtId="165" fontId="0" fillId="0" borderId="2" xfId="1" applyNumberFormat="1" applyFont="1" applyBorder="1" applyAlignment="1">
      <alignment horizontal="right"/>
    </xf>
    <xf numFmtId="165" fontId="0" fillId="0" borderId="4" xfId="1" applyNumberFormat="1" applyFont="1" applyBorder="1" applyAlignment="1">
      <alignment horizontal="right"/>
    </xf>
    <xf numFmtId="165" fontId="0" fillId="0" borderId="14" xfId="1" applyNumberFormat="1" applyFont="1" applyBorder="1" applyAlignment="1">
      <alignment horizontal="center"/>
    </xf>
    <xf numFmtId="165" fontId="0" fillId="0" borderId="14" xfId="1" applyNumberFormat="1" applyFont="1" applyBorder="1" applyAlignment="1">
      <alignment horizontal="right"/>
    </xf>
    <xf numFmtId="165" fontId="0" fillId="0" borderId="7" xfId="1" applyNumberFormat="1" applyFont="1" applyBorder="1" applyAlignment="1">
      <alignment horizontal="right"/>
    </xf>
    <xf numFmtId="165" fontId="0" fillId="0" borderId="9" xfId="1" applyNumberFormat="1" applyFont="1" applyBorder="1" applyAlignment="1">
      <alignment horizontal="right"/>
    </xf>
    <xf numFmtId="1" fontId="0" fillId="0" borderId="15" xfId="0" applyNumberFormat="1" applyBorder="1" applyAlignment="1">
      <alignment horizontal="center"/>
    </xf>
    <xf numFmtId="1" fontId="0" fillId="0" borderId="13" xfId="0" applyNumberFormat="1" applyBorder="1" applyAlignment="1">
      <alignment horizontal="center"/>
    </xf>
    <xf numFmtId="1" fontId="0" fillId="0" borderId="14" xfId="0" applyNumberFormat="1" applyBorder="1" applyAlignment="1">
      <alignment horizontal="center"/>
    </xf>
    <xf numFmtId="164" fontId="0" fillId="0" borderId="5" xfId="0" applyNumberFormat="1" applyBorder="1" applyAlignment="1">
      <alignment horizontal="center"/>
    </xf>
    <xf numFmtId="164" fontId="0" fillId="0" borderId="7" xfId="0" applyNumberFormat="1" applyBorder="1" applyAlignment="1">
      <alignment horizontal="center"/>
    </xf>
    <xf numFmtId="165" fontId="2" fillId="0" borderId="8" xfId="1" applyNumberFormat="1" applyFont="1" applyBorder="1" applyAlignment="1">
      <alignment horizontal="right"/>
    </xf>
    <xf numFmtId="165" fontId="2" fillId="0" borderId="14" xfId="1" applyNumberFormat="1" applyFont="1" applyBorder="1" applyAlignment="1">
      <alignment horizontal="right"/>
    </xf>
    <xf numFmtId="166" fontId="0" fillId="0" borderId="13" xfId="1" applyNumberFormat="1" applyFont="1" applyBorder="1" applyAlignment="1">
      <alignment horizontal="right"/>
    </xf>
    <xf numFmtId="43" fontId="0" fillId="0" borderId="13" xfId="1" applyFont="1" applyBorder="1" applyAlignment="1">
      <alignment horizontal="right"/>
    </xf>
    <xf numFmtId="165" fontId="0" fillId="0" borderId="0" xfId="1" applyNumberFormat="1" applyFont="1" applyBorder="1" applyAlignment="1">
      <alignment horizontal="right"/>
    </xf>
    <xf numFmtId="165" fontId="0" fillId="0" borderId="8" xfId="1" applyNumberFormat="1" applyFont="1" applyBorder="1" applyAlignment="1">
      <alignment horizontal="right"/>
    </xf>
    <xf numFmtId="166" fontId="0" fillId="0" borderId="14" xfId="1" applyNumberFormat="1" applyFont="1" applyBorder="1" applyAlignment="1">
      <alignment horizontal="right"/>
    </xf>
    <xf numFmtId="166" fontId="0" fillId="0" borderId="15" xfId="1" applyNumberFormat="1" applyFont="1" applyBorder="1" applyAlignment="1">
      <alignment horizontal="right"/>
    </xf>
    <xf numFmtId="43" fontId="0" fillId="0" borderId="14" xfId="1" applyFont="1" applyBorder="1" applyAlignment="1">
      <alignment horizontal="right"/>
    </xf>
    <xf numFmtId="43" fontId="0" fillId="0" borderId="15" xfId="1" applyFont="1" applyBorder="1" applyAlignment="1">
      <alignment horizontal="right"/>
    </xf>
    <xf numFmtId="167" fontId="0" fillId="0" borderId="13" xfId="1" applyNumberFormat="1" applyFont="1" applyBorder="1" applyAlignment="1">
      <alignment horizontal="right"/>
    </xf>
    <xf numFmtId="167" fontId="0" fillId="0" borderId="14" xfId="1" applyNumberFormat="1" applyFont="1" applyBorder="1" applyAlignment="1">
      <alignment horizontal="right"/>
    </xf>
    <xf numFmtId="167" fontId="0" fillId="0" borderId="15" xfId="1" applyNumberFormat="1" applyFont="1" applyBorder="1" applyAlignment="1">
      <alignment horizontal="right"/>
    </xf>
    <xf numFmtId="166" fontId="0" fillId="0" borderId="3" xfId="1" applyNumberFormat="1" applyFont="1" applyBorder="1" applyAlignment="1">
      <alignment horizontal="right"/>
    </xf>
    <xf numFmtId="166" fontId="0" fillId="0" borderId="0" xfId="1" applyNumberFormat="1" applyFont="1" applyBorder="1" applyAlignment="1">
      <alignment horizontal="right"/>
    </xf>
    <xf numFmtId="166" fontId="0" fillId="0" borderId="8" xfId="1" applyNumberFormat="1" applyFont="1" applyBorder="1" applyAlignment="1">
      <alignment horizontal="right"/>
    </xf>
    <xf numFmtId="166" fontId="2" fillId="0" borderId="14" xfId="1" applyNumberFormat="1" applyFont="1" applyBorder="1" applyAlignment="1">
      <alignment horizontal="right"/>
    </xf>
    <xf numFmtId="43" fontId="2" fillId="0" borderId="14" xfId="1" applyFont="1" applyBorder="1" applyAlignment="1">
      <alignment horizontal="right"/>
    </xf>
    <xf numFmtId="0" fontId="0" fillId="0" borderId="7" xfId="0" applyBorder="1"/>
    <xf numFmtId="0" fontId="0" fillId="0" borderId="13" xfId="1" applyNumberFormat="1" applyFont="1" applyBorder="1" applyAlignment="1">
      <alignment horizontal="center"/>
    </xf>
    <xf numFmtId="0" fontId="0" fillId="0" borderId="14" xfId="1" applyNumberFormat="1" applyFont="1" applyBorder="1" applyAlignment="1">
      <alignment horizontal="center"/>
    </xf>
    <xf numFmtId="0" fontId="0" fillId="0" borderId="15" xfId="1" applyNumberFormat="1" applyFont="1" applyBorder="1" applyAlignment="1">
      <alignment horizontal="center"/>
    </xf>
    <xf numFmtId="1" fontId="0" fillId="0" borderId="0" xfId="0" applyNumberFormat="1" applyAlignment="1">
      <alignment horizontal="center"/>
    </xf>
    <xf numFmtId="168" fontId="0" fillId="0" borderId="0" xfId="0" applyNumberFormat="1" applyAlignment="1">
      <alignment horizontal="center"/>
    </xf>
    <xf numFmtId="0" fontId="0" fillId="0" borderId="12" xfId="0" applyBorder="1" applyAlignment="1">
      <alignment horizontal="center"/>
    </xf>
    <xf numFmtId="168" fontId="0" fillId="0" borderId="5" xfId="0" applyNumberFormat="1" applyBorder="1" applyAlignment="1">
      <alignment horizontal="center"/>
    </xf>
    <xf numFmtId="168" fontId="0" fillId="0" borderId="6" xfId="0" applyNumberFormat="1" applyBorder="1" applyAlignment="1">
      <alignment horizontal="center"/>
    </xf>
    <xf numFmtId="164" fontId="0" fillId="0" borderId="1" xfId="0" applyNumberFormat="1" applyBorder="1" applyAlignment="1">
      <alignment horizontal="center"/>
    </xf>
    <xf numFmtId="168" fontId="0" fillId="0" borderId="13" xfId="0" applyNumberFormat="1" applyBorder="1" applyAlignment="1">
      <alignment horizontal="center"/>
    </xf>
    <xf numFmtId="168" fontId="0" fillId="0" borderId="1" xfId="0" applyNumberFormat="1" applyBorder="1" applyAlignment="1">
      <alignment horizontal="center"/>
    </xf>
    <xf numFmtId="168" fontId="0" fillId="0" borderId="15" xfId="0" applyNumberFormat="1" applyBorder="1" applyAlignment="1">
      <alignment horizontal="center"/>
    </xf>
    <xf numFmtId="168" fontId="0" fillId="0" borderId="14" xfId="0" applyNumberFormat="1" applyBorder="1" applyAlignment="1">
      <alignment horizontal="center"/>
    </xf>
    <xf numFmtId="164" fontId="0" fillId="0" borderId="10" xfId="0" applyNumberFormat="1" applyBorder="1" applyAlignment="1">
      <alignment horizontal="center"/>
    </xf>
    <xf numFmtId="164" fontId="0" fillId="0" borderId="12" xfId="0" applyNumberFormat="1" applyBorder="1" applyAlignment="1">
      <alignment horizontal="center"/>
    </xf>
    <xf numFmtId="169" fontId="0" fillId="0" borderId="9" xfId="2" applyNumberFormat="1" applyFont="1" applyBorder="1" applyAlignment="1">
      <alignment horizontal="center"/>
    </xf>
    <xf numFmtId="9" fontId="0" fillId="0" borderId="4" xfId="2" applyFont="1" applyBorder="1" applyAlignment="1">
      <alignment horizontal="center"/>
    </xf>
    <xf numFmtId="165" fontId="2" fillId="0" borderId="10" xfId="1" applyNumberFormat="1" applyFont="1" applyBorder="1" applyAlignment="1">
      <alignment horizontal="right"/>
    </xf>
    <xf numFmtId="165" fontId="2" fillId="0" borderId="12" xfId="1" applyNumberFormat="1" applyFont="1" applyBorder="1" applyAlignment="1">
      <alignment horizontal="right"/>
    </xf>
    <xf numFmtId="165" fontId="2" fillId="0" borderId="1" xfId="1" applyNumberFormat="1" applyFont="1" applyBorder="1" applyAlignment="1">
      <alignment horizontal="right"/>
    </xf>
    <xf numFmtId="164" fontId="0" fillId="0" borderId="15" xfId="1" applyNumberFormat="1" applyFont="1" applyBorder="1" applyAlignment="1">
      <alignment horizontal="center"/>
    </xf>
    <xf numFmtId="164" fontId="0" fillId="0" borderId="14" xfId="1" applyNumberFormat="1" applyFont="1" applyBorder="1" applyAlignment="1">
      <alignment horizontal="center"/>
    </xf>
    <xf numFmtId="164" fontId="0" fillId="0" borderId="13" xfId="1" applyNumberFormat="1" applyFont="1" applyBorder="1" applyAlignment="1">
      <alignment horizontal="center"/>
    </xf>
    <xf numFmtId="164" fontId="0" fillId="0" borderId="0" xfId="1" applyNumberFormat="1" applyFont="1" applyAlignment="1">
      <alignment horizontal="center"/>
    </xf>
    <xf numFmtId="164" fontId="2" fillId="0" borderId="1" xfId="1" applyNumberFormat="1" applyFont="1" applyBorder="1" applyAlignment="1">
      <alignment horizontal="center"/>
    </xf>
    <xf numFmtId="164" fontId="0" fillId="0" borderId="0" xfId="0" applyNumberFormat="1" applyAlignment="1">
      <alignment horizontal="right"/>
    </xf>
    <xf numFmtId="169" fontId="0" fillId="0" borderId="6" xfId="2" applyNumberFormat="1" applyFont="1" applyBorder="1"/>
    <xf numFmtId="164" fontId="0" fillId="0" borderId="8" xfId="0" applyNumberFormat="1" applyBorder="1" applyAlignment="1">
      <alignment horizontal="right"/>
    </xf>
    <xf numFmtId="169" fontId="0" fillId="0" borderId="9" xfId="2" applyNumberFormat="1" applyFont="1" applyBorder="1"/>
    <xf numFmtId="0" fontId="0" fillId="0" borderId="11" xfId="0" applyBorder="1" applyAlignment="1">
      <alignment horizontal="right"/>
    </xf>
    <xf numFmtId="0" fontId="0" fillId="0" borderId="12" xfId="0" applyBorder="1" applyAlignment="1">
      <alignment horizontal="right"/>
    </xf>
    <xf numFmtId="0" fontId="0" fillId="0" borderId="1" xfId="0" applyBorder="1" applyAlignment="1">
      <alignment horizontal="right"/>
    </xf>
    <xf numFmtId="0" fontId="0" fillId="0" borderId="13" xfId="0" applyBorder="1" applyAlignment="1">
      <alignment horizontal="right"/>
    </xf>
    <xf numFmtId="168" fontId="0" fillId="0" borderId="13" xfId="0" applyNumberFormat="1" applyBorder="1" applyAlignment="1">
      <alignment horizontal="right"/>
    </xf>
    <xf numFmtId="168" fontId="0" fillId="0" borderId="14" xfId="0" applyNumberFormat="1" applyBorder="1" applyAlignment="1">
      <alignment horizontal="right"/>
    </xf>
    <xf numFmtId="164" fontId="0" fillId="0" borderId="11" xfId="0" applyNumberFormat="1" applyBorder="1" applyAlignment="1">
      <alignment horizontal="right"/>
    </xf>
    <xf numFmtId="168" fontId="0" fillId="0" borderId="1" xfId="0" applyNumberFormat="1" applyBorder="1" applyAlignment="1">
      <alignment horizontal="right"/>
    </xf>
    <xf numFmtId="9" fontId="0" fillId="0" borderId="12" xfId="2" applyFont="1" applyBorder="1"/>
    <xf numFmtId="0" fontId="0" fillId="2" borderId="1" xfId="0" applyFill="1" applyBorder="1" applyAlignment="1">
      <alignment horizontal="center"/>
    </xf>
    <xf numFmtId="0" fontId="2" fillId="2" borderId="1" xfId="0" applyFont="1" applyFill="1" applyBorder="1" applyAlignment="1">
      <alignment horizontal="center"/>
    </xf>
    <xf numFmtId="165" fontId="2" fillId="2" borderId="14" xfId="1" applyNumberFormat="1" applyFont="1" applyFill="1" applyBorder="1" applyAlignment="1">
      <alignment horizontal="right"/>
    </xf>
    <xf numFmtId="0" fontId="2" fillId="0" borderId="0" xfId="0" applyFont="1" applyAlignment="1">
      <alignment horizontal="left"/>
    </xf>
    <xf numFmtId="0" fontId="2" fillId="0" borderId="0" xfId="0" applyFont="1"/>
    <xf numFmtId="168" fontId="0" fillId="2" borderId="13" xfId="0" applyNumberFormat="1" applyFill="1" applyBorder="1" applyAlignment="1">
      <alignment horizontal="center"/>
    </xf>
    <xf numFmtId="168" fontId="0" fillId="2" borderId="1" xfId="0" applyNumberFormat="1" applyFill="1" applyBorder="1" applyAlignment="1">
      <alignment horizontal="center"/>
    </xf>
    <xf numFmtId="168" fontId="0" fillId="2" borderId="14" xfId="0" applyNumberFormat="1" applyFill="1" applyBorder="1" applyAlignment="1">
      <alignment horizontal="center"/>
    </xf>
    <xf numFmtId="169" fontId="0" fillId="2" borderId="1" xfId="2" applyNumberFormat="1" applyFont="1" applyFill="1" applyBorder="1" applyAlignment="1">
      <alignment horizontal="center"/>
    </xf>
    <xf numFmtId="169" fontId="0" fillId="2" borderId="1" xfId="2" applyNumberFormat="1" applyFont="1" applyFill="1" applyBorder="1"/>
    <xf numFmtId="0" fontId="3" fillId="0" borderId="0" xfId="0" applyFont="1"/>
    <xf numFmtId="0" fontId="0" fillId="0" borderId="15" xfId="0" applyBorder="1"/>
    <xf numFmtId="0" fontId="0" fillId="0" borderId="14" xfId="0" applyBorder="1"/>
    <xf numFmtId="0" fontId="0" fillId="0" borderId="13" xfId="0" applyBorder="1"/>
    <xf numFmtId="165" fontId="0" fillId="0" borderId="0" xfId="1" applyNumberFormat="1" applyFont="1" applyBorder="1" applyAlignment="1">
      <alignment horizontal="center"/>
    </xf>
    <xf numFmtId="165" fontId="0" fillId="0" borderId="8" xfId="1" applyNumberFormat="1" applyFont="1" applyBorder="1" applyAlignment="1">
      <alignment horizontal="center"/>
    </xf>
    <xf numFmtId="0" fontId="2" fillId="0" borderId="13" xfId="0" applyFont="1" applyBorder="1"/>
    <xf numFmtId="0" fontId="2" fillId="0" borderId="1" xfId="0" applyFont="1" applyBorder="1"/>
    <xf numFmtId="165" fontId="2" fillId="0" borderId="0" xfId="1" applyNumberFormat="1" applyFont="1" applyBorder="1" applyAlignment="1">
      <alignment horizontal="center"/>
    </xf>
    <xf numFmtId="165" fontId="2" fillId="0" borderId="13" xfId="1" applyNumberFormat="1" applyFont="1" applyBorder="1" applyAlignment="1">
      <alignment horizontal="center"/>
    </xf>
    <xf numFmtId="165" fontId="2" fillId="0" borderId="11" xfId="1" applyNumberFormat="1" applyFont="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9.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Estimated</a:t>
            </a:r>
            <a:r>
              <a:rPr lang="en-US" baseline="0"/>
              <a:t> </a:t>
            </a:r>
            <a:r>
              <a:rPr lang="en-US"/>
              <a:t>Floating OSW Growth in the</a:t>
            </a:r>
            <a:r>
              <a:rPr lang="en-US" baseline="0"/>
              <a:t> Gulf of Maine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'6_Sears_Salem_Fx_Flt'!$D$1</c:f>
              <c:strCache>
                <c:ptCount val="1"/>
                <c:pt idx="0">
                  <c:v>Total+EPA</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'6_Sears_Salem_Fx_Flt'!$A$2:$A$26</c:f>
              <c:numCache>
                <c:formatCode>General</c:formatCode>
                <c:ptCount val="25"/>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numCache>
            </c:numRef>
          </c:xVal>
          <c:yVal>
            <c:numRef>
              <c:f>'6_Sears_Salem_Fx_Flt'!$D$2:$D$26</c:f>
              <c:numCache>
                <c:formatCode>General</c:formatCode>
                <c:ptCount val="25"/>
                <c:pt idx="0">
                  <c:v>0</c:v>
                </c:pt>
                <c:pt idx="1">
                  <c:v>0</c:v>
                </c:pt>
                <c:pt idx="2">
                  <c:v>0</c:v>
                </c:pt>
                <c:pt idx="3">
                  <c:v>150</c:v>
                </c:pt>
                <c:pt idx="4">
                  <c:v>345</c:v>
                </c:pt>
                <c:pt idx="5">
                  <c:v>570</c:v>
                </c:pt>
                <c:pt idx="6">
                  <c:v>810</c:v>
                </c:pt>
                <c:pt idx="7">
                  <c:v>1065</c:v>
                </c:pt>
                <c:pt idx="8">
                  <c:v>1335</c:v>
                </c:pt>
                <c:pt idx="9">
                  <c:v>1620</c:v>
                </c:pt>
                <c:pt idx="10">
                  <c:v>2070</c:v>
                </c:pt>
                <c:pt idx="11">
                  <c:v>2550</c:v>
                </c:pt>
                <c:pt idx="12">
                  <c:v>3060</c:v>
                </c:pt>
                <c:pt idx="13">
                  <c:v>3600</c:v>
                </c:pt>
                <c:pt idx="14">
                  <c:v>4170</c:v>
                </c:pt>
                <c:pt idx="15">
                  <c:v>4930</c:v>
                </c:pt>
                <c:pt idx="16">
                  <c:v>5730</c:v>
                </c:pt>
                <c:pt idx="17">
                  <c:v>6570</c:v>
                </c:pt>
                <c:pt idx="18">
                  <c:v>7450</c:v>
                </c:pt>
                <c:pt idx="19">
                  <c:v>8370</c:v>
                </c:pt>
                <c:pt idx="20">
                  <c:v>9330</c:v>
                </c:pt>
                <c:pt idx="21">
                  <c:v>10330</c:v>
                </c:pt>
                <c:pt idx="22">
                  <c:v>11330</c:v>
                </c:pt>
                <c:pt idx="23">
                  <c:v>12330</c:v>
                </c:pt>
                <c:pt idx="24">
                  <c:v>13330</c:v>
                </c:pt>
              </c:numCache>
            </c:numRef>
          </c:yVal>
          <c:smooth val="0"/>
          <c:extLst>
            <c:ext xmlns:c16="http://schemas.microsoft.com/office/drawing/2014/chart" uri="{C3380CC4-5D6E-409C-BE32-E72D297353CC}">
              <c16:uniqueId val="{00000000-FD08-4A72-9B2E-3A85D931653A}"/>
            </c:ext>
          </c:extLst>
        </c:ser>
        <c:ser>
          <c:idx val="1"/>
          <c:order val="1"/>
          <c:tx>
            <c:strRef>
              <c:f>'6_Sears_Salem_Fx_Flt'!$G$1</c:f>
              <c:strCache>
                <c:ptCount val="1"/>
                <c:pt idx="0">
                  <c:v>Total-EPA</c:v>
                </c:pt>
              </c:strCache>
            </c:strRef>
          </c:tx>
          <c:spPr>
            <a:ln w="19050" cap="rnd">
              <a:solidFill>
                <a:schemeClr val="tx1"/>
              </a:solidFill>
              <a:round/>
            </a:ln>
            <a:effectLst/>
          </c:spPr>
          <c:marker>
            <c:symbol val="circle"/>
            <c:size val="5"/>
            <c:spPr>
              <a:solidFill>
                <a:schemeClr val="tx1"/>
              </a:solidFill>
              <a:ln w="9525">
                <a:solidFill>
                  <a:schemeClr val="tx1"/>
                </a:solidFill>
              </a:ln>
              <a:effectLst/>
            </c:spPr>
          </c:marker>
          <c:xVal>
            <c:numRef>
              <c:f>'6_Sears_Salem_Fx_Flt'!$A$2:$A$26</c:f>
              <c:numCache>
                <c:formatCode>General</c:formatCode>
                <c:ptCount val="25"/>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numCache>
            </c:numRef>
          </c:xVal>
          <c:yVal>
            <c:numRef>
              <c:f>'6_Sears_Salem_Fx_Flt'!$G$2:$G$26</c:f>
              <c:numCache>
                <c:formatCode>General</c:formatCode>
                <c:ptCount val="25"/>
                <c:pt idx="0">
                  <c:v>0</c:v>
                </c:pt>
                <c:pt idx="1">
                  <c:v>0</c:v>
                </c:pt>
                <c:pt idx="2">
                  <c:v>0</c:v>
                </c:pt>
                <c:pt idx="3">
                  <c:v>0</c:v>
                </c:pt>
                <c:pt idx="4">
                  <c:v>0</c:v>
                </c:pt>
                <c:pt idx="5">
                  <c:v>0</c:v>
                </c:pt>
                <c:pt idx="6">
                  <c:v>0</c:v>
                </c:pt>
                <c:pt idx="7">
                  <c:v>0</c:v>
                </c:pt>
                <c:pt idx="8">
                  <c:v>0</c:v>
                </c:pt>
                <c:pt idx="9">
                  <c:v>0</c:v>
                </c:pt>
                <c:pt idx="10">
                  <c:v>225</c:v>
                </c:pt>
                <c:pt idx="11">
                  <c:v>465</c:v>
                </c:pt>
                <c:pt idx="12">
                  <c:v>720</c:v>
                </c:pt>
                <c:pt idx="13">
                  <c:v>990</c:v>
                </c:pt>
                <c:pt idx="14">
                  <c:v>1275</c:v>
                </c:pt>
                <c:pt idx="15">
                  <c:v>1855</c:v>
                </c:pt>
                <c:pt idx="16">
                  <c:v>2475</c:v>
                </c:pt>
                <c:pt idx="17">
                  <c:v>3135</c:v>
                </c:pt>
                <c:pt idx="18">
                  <c:v>3835</c:v>
                </c:pt>
                <c:pt idx="19">
                  <c:v>4575</c:v>
                </c:pt>
                <c:pt idx="20">
                  <c:v>5355</c:v>
                </c:pt>
                <c:pt idx="21">
                  <c:v>6175</c:v>
                </c:pt>
                <c:pt idx="22">
                  <c:v>7035</c:v>
                </c:pt>
                <c:pt idx="23">
                  <c:v>7935</c:v>
                </c:pt>
                <c:pt idx="24">
                  <c:v>8875</c:v>
                </c:pt>
              </c:numCache>
            </c:numRef>
          </c:yVal>
          <c:smooth val="0"/>
          <c:extLst>
            <c:ext xmlns:c16="http://schemas.microsoft.com/office/drawing/2014/chart" uri="{C3380CC4-5D6E-409C-BE32-E72D297353CC}">
              <c16:uniqueId val="{00000001-FD08-4A72-9B2E-3A85D931653A}"/>
            </c:ext>
          </c:extLst>
        </c:ser>
        <c:dLbls>
          <c:showLegendKey val="0"/>
          <c:showVal val="0"/>
          <c:showCatName val="0"/>
          <c:showSerName val="0"/>
          <c:showPercent val="0"/>
          <c:showBubbleSize val="0"/>
        </c:dLbls>
        <c:axId val="999374432"/>
        <c:axId val="999373952"/>
      </c:scatterChart>
      <c:valAx>
        <c:axId val="999374432"/>
        <c:scaling>
          <c:orientation val="minMax"/>
          <c:max val="2050"/>
          <c:min val="202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800"/>
                  <a:t>Year</a:t>
                </a:r>
              </a:p>
            </c:rich>
          </c:tx>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9373952"/>
        <c:crosses val="autoZero"/>
        <c:crossBetween val="midCat"/>
      </c:valAx>
      <c:valAx>
        <c:axId val="999373952"/>
        <c:scaling>
          <c:orientation val="minMax"/>
          <c:max val="1400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800"/>
                  <a:t>Floating OSW (MW)</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9374432"/>
        <c:crosses val="autoZero"/>
        <c:crossBetween val="midCat"/>
        <c:majorUnit val="100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9CB75F0A-0DC5-40C3-9755-AD87A5DA0FC9}">
  <sheetPr/>
  <sheetViews>
    <sheetView zoomScale="113" workbookViewId="0" zoomToFit="1"/>
  </sheetViews>
  <pageMargins left="0.7" right="0.7" top="0.75" bottom="0.75" header="0.3" footer="0.3"/>
  <drawing r:id="rId1"/>
</chartsheet>
</file>

<file path=xl/drawings/_rels/drawing1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2.xml.rels><?xml version="1.0" encoding="UTF-8" standalone="yes"?>
<Relationships xmlns="http://schemas.openxmlformats.org/package/2006/relationships"><Relationship Id="rId2" Type="http://schemas.openxmlformats.org/officeDocument/2006/relationships/hyperlink" Target="https://ore.catapult.org.uk/wp-content/uploads/2021/02/VesselEmissionsOM_Final.pdf#https://ore.catapult.org.uk/wp-content/uploads/2021/02/VesselEmissionsOM_Final.pdf" TargetMode="External"/><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8658</xdr:colOff>
      <xdr:row>1</xdr:row>
      <xdr:rowOff>0</xdr:rowOff>
    </xdr:from>
    <xdr:to>
      <xdr:col>10</xdr:col>
      <xdr:colOff>1047749</xdr:colOff>
      <xdr:row>18</xdr:row>
      <xdr:rowOff>0</xdr:rowOff>
    </xdr:to>
    <xdr:sp macro="" textlink="">
      <xdr:nvSpPr>
        <xdr:cNvPr id="2" name="TextBox 1">
          <a:extLst>
            <a:ext uri="{FF2B5EF4-FFF2-40B4-BE49-F238E27FC236}">
              <a16:creationId xmlns:a16="http://schemas.microsoft.com/office/drawing/2014/main" id="{BFC12398-3A96-8019-D30C-2F8DD24FF63E}"/>
            </a:ext>
          </a:extLst>
        </xdr:cNvPr>
        <xdr:cNvSpPr txBox="1"/>
      </xdr:nvSpPr>
      <xdr:spPr>
        <a:xfrm>
          <a:off x="4649931" y="190500"/>
          <a:ext cx="5230091" cy="323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Searsport Fixed OWT deployments with EPA Award</a:t>
          </a:r>
        </a:p>
        <a:p>
          <a:r>
            <a:rPr lang="en-US" sz="1100" b="1">
              <a:solidFill>
                <a:schemeClr val="dk1"/>
              </a:solidFill>
              <a:effectLst/>
              <a:latin typeface="+mn-lt"/>
              <a:ea typeface="+mn-ea"/>
              <a:cs typeface="+mn-cs"/>
            </a:rPr>
            <a:t>Calculation Process</a:t>
          </a:r>
        </a:p>
        <a:p>
          <a:pPr lvl="0"/>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1. Searsport assists fixed OWT deployment starting in 2028 with ten 15 MW OWTs.</a:t>
          </a:r>
        </a:p>
        <a:p>
          <a:pPr lvl="0"/>
          <a:r>
            <a:rPr lang="en-US" sz="1100">
              <a:solidFill>
                <a:schemeClr val="dk1"/>
              </a:solidFill>
              <a:effectLst/>
              <a:latin typeface="+mn-lt"/>
              <a:ea typeface="+mn-ea"/>
              <a:cs typeface="+mn-cs"/>
            </a:rPr>
            <a:t>2. Searsport expands to thirteen 15 MW fixed OWTs in 2029.</a:t>
          </a:r>
        </a:p>
        <a:p>
          <a:pPr lvl="0"/>
          <a:r>
            <a:rPr lang="en-US" sz="1100">
              <a:solidFill>
                <a:schemeClr val="dk1"/>
              </a:solidFill>
              <a:effectLst/>
              <a:latin typeface="+mn-lt"/>
              <a:ea typeface="+mn-ea"/>
              <a:cs typeface="+mn-cs"/>
            </a:rPr>
            <a:t>3. Total fixed OWT deployment out of Searsport reaches 345 MW in 2029 </a:t>
          </a:r>
          <a:r>
            <a:rPr lang="en-US" sz="1100" b="1">
              <a:solidFill>
                <a:schemeClr val="dk1"/>
              </a:solidFill>
              <a:effectLst/>
              <a:latin typeface="+mn-lt"/>
              <a:ea typeface="+mn-ea"/>
              <a:cs typeface="+mn-cs"/>
            </a:rPr>
            <a:t>(see Cell E6)</a:t>
          </a:r>
          <a:r>
            <a:rPr lang="en-US" sz="1100">
              <a:solidFill>
                <a:schemeClr val="dk1"/>
              </a:solidFill>
              <a:effectLst/>
              <a:latin typeface="+mn-lt"/>
              <a:ea typeface="+mn-ea"/>
              <a:cs typeface="+mn-cs"/>
            </a:rPr>
            <a:t>.</a:t>
          </a:r>
        </a:p>
        <a:p>
          <a:pPr lvl="0"/>
          <a:r>
            <a:rPr lang="en-US" sz="1100">
              <a:solidFill>
                <a:schemeClr val="dk1"/>
              </a:solidFill>
              <a:effectLst/>
              <a:latin typeface="+mn-lt"/>
              <a:ea typeface="+mn-ea"/>
              <a:cs typeface="+mn-cs"/>
            </a:rPr>
            <a:t>4. Searsport transitions exclusively to FOWT deployment in 2030.</a:t>
          </a:r>
        </a:p>
        <a:p>
          <a:endParaRPr lang="en-US" sz="1100"/>
        </a:p>
        <a:p>
          <a:r>
            <a:rPr lang="en-US" sz="1100" b="1">
              <a:solidFill>
                <a:schemeClr val="dk1"/>
              </a:solidFill>
              <a:effectLst/>
              <a:latin typeface="+mn-lt"/>
              <a:ea typeface="+mn-ea"/>
              <a:cs typeface="+mn-cs"/>
            </a:rPr>
            <a:t>Sheet 1 columns contents:</a:t>
          </a:r>
          <a:endParaRPr lang="en-US" b="1">
            <a:effectLst/>
          </a:endParaRPr>
        </a:p>
        <a:p>
          <a:r>
            <a:rPr lang="en-US" sz="1100" b="1">
              <a:solidFill>
                <a:schemeClr val="dk1"/>
              </a:solidFill>
              <a:effectLst/>
              <a:latin typeface="+mn-lt"/>
              <a:ea typeface="+mn-ea"/>
              <a:cs typeface="+mn-cs"/>
            </a:rPr>
            <a:t>Year</a:t>
          </a:r>
          <a:r>
            <a:rPr lang="en-US" sz="1100">
              <a:solidFill>
                <a:schemeClr val="dk1"/>
              </a:solidFill>
              <a:effectLst/>
              <a:latin typeface="+mn-lt"/>
              <a:ea typeface="+mn-ea"/>
              <a:cs typeface="+mn-cs"/>
            </a:rPr>
            <a:t> = grouped into ranges: 2025-2029; 2030-2039; 2040-2049;</a:t>
          </a:r>
          <a:endParaRPr lang="en-US">
            <a:effectLst/>
          </a:endParaRPr>
        </a:p>
        <a:p>
          <a:r>
            <a:rPr lang="en-US" sz="1100" b="1">
              <a:solidFill>
                <a:schemeClr val="dk1"/>
              </a:solidFill>
              <a:effectLst/>
              <a:latin typeface="+mn-lt"/>
              <a:ea typeface="+mn-ea"/>
              <a:cs typeface="+mn-cs"/>
            </a:rPr>
            <a:t>OWTs</a:t>
          </a:r>
          <a:r>
            <a:rPr lang="en-US" sz="1100">
              <a:solidFill>
                <a:schemeClr val="dk1"/>
              </a:solidFill>
              <a:effectLst/>
              <a:latin typeface="+mn-lt"/>
              <a:ea typeface="+mn-ea"/>
              <a:cs typeface="+mn-cs"/>
            </a:rPr>
            <a:t> = number of fixed offshore wind turbines installed annually;</a:t>
          </a:r>
          <a:endParaRPr lang="en-US">
            <a:effectLst/>
          </a:endParaRPr>
        </a:p>
        <a:p>
          <a:r>
            <a:rPr lang="en-US" sz="1100" b="1">
              <a:solidFill>
                <a:schemeClr val="dk1"/>
              </a:solidFill>
              <a:effectLst/>
              <a:latin typeface="+mn-lt"/>
              <a:ea typeface="+mn-ea"/>
              <a:cs typeface="+mn-cs"/>
            </a:rPr>
            <a:t>MW/OWT</a:t>
          </a:r>
          <a:r>
            <a:rPr lang="en-US" sz="1100">
              <a:solidFill>
                <a:schemeClr val="dk1"/>
              </a:solidFill>
              <a:effectLst/>
              <a:latin typeface="+mn-lt"/>
              <a:ea typeface="+mn-ea"/>
              <a:cs typeface="+mn-cs"/>
            </a:rPr>
            <a:t> = size of fixed offshore wind turbine in MW;</a:t>
          </a:r>
          <a:endParaRPr lang="en-US">
            <a:effectLst/>
          </a:endParaRPr>
        </a:p>
        <a:p>
          <a:r>
            <a:rPr lang="en-US" sz="1100" b="1">
              <a:solidFill>
                <a:schemeClr val="dk1"/>
              </a:solidFill>
              <a:effectLst/>
              <a:latin typeface="+mn-lt"/>
              <a:ea typeface="+mn-ea"/>
              <a:cs typeface="+mn-cs"/>
            </a:rPr>
            <a:t>MW/y</a:t>
          </a:r>
          <a:r>
            <a:rPr lang="en-US" sz="1100">
              <a:solidFill>
                <a:schemeClr val="dk1"/>
              </a:solidFill>
              <a:effectLst/>
              <a:latin typeface="+mn-lt"/>
              <a:ea typeface="+mn-ea"/>
              <a:cs typeface="+mn-cs"/>
            </a:rPr>
            <a:t> = (OWTs)(MW/OWT); and</a:t>
          </a:r>
          <a:endParaRPr lang="en-US">
            <a:effectLst/>
          </a:endParaRPr>
        </a:p>
        <a:p>
          <a:r>
            <a:rPr lang="en-US" sz="1100" b="1">
              <a:solidFill>
                <a:schemeClr val="dk1"/>
              </a:solidFill>
              <a:effectLst/>
              <a:latin typeface="+mn-lt"/>
              <a:ea typeface="+mn-ea"/>
              <a:cs typeface="+mn-cs"/>
            </a:rPr>
            <a:t>Total MW</a:t>
          </a:r>
          <a:r>
            <a:rPr lang="en-US" sz="1100">
              <a:solidFill>
                <a:schemeClr val="dk1"/>
              </a:solidFill>
              <a:effectLst/>
              <a:latin typeface="+mn-lt"/>
              <a:ea typeface="+mn-ea"/>
              <a:cs typeface="+mn-cs"/>
            </a:rPr>
            <a:t> = cumulative number of MW deployed in a given year.</a:t>
          </a:r>
          <a:endParaRPr lang="en-US">
            <a:effectLst/>
          </a:endParaRPr>
        </a:p>
        <a:p>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0</xdr:colOff>
      <xdr:row>1</xdr:row>
      <xdr:rowOff>0</xdr:rowOff>
    </xdr:from>
    <xdr:to>
      <xdr:col>29</xdr:col>
      <xdr:colOff>11206</xdr:colOff>
      <xdr:row>29</xdr:row>
      <xdr:rowOff>9525</xdr:rowOff>
    </xdr:to>
    <xdr:sp macro="" textlink="">
      <xdr:nvSpPr>
        <xdr:cNvPr id="3" name="TextBox 2">
          <a:extLst>
            <a:ext uri="{FF2B5EF4-FFF2-40B4-BE49-F238E27FC236}">
              <a16:creationId xmlns:a16="http://schemas.microsoft.com/office/drawing/2014/main" id="{8728BCC5-F185-4103-B699-050CD97977E5}"/>
            </a:ext>
          </a:extLst>
        </xdr:cNvPr>
        <xdr:cNvSpPr txBox="1"/>
      </xdr:nvSpPr>
      <xdr:spPr>
        <a:xfrm>
          <a:off x="12707471" y="190500"/>
          <a:ext cx="6062382" cy="534352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Emissions Coefficients</a:t>
          </a:r>
        </a:p>
        <a:p>
          <a:endParaRPr lang="en-US" sz="1100" b="1" baseline="0">
            <a:solidFill>
              <a:schemeClr val="dk1"/>
            </a:solidFill>
            <a:effectLst/>
            <a:latin typeface="+mn-lt"/>
            <a:ea typeface="+mn-ea"/>
            <a:cs typeface="+mn-cs"/>
          </a:endParaRPr>
        </a:p>
        <a:p>
          <a:r>
            <a:rPr lang="en-US" sz="1100" b="1">
              <a:solidFill>
                <a:schemeClr val="dk1"/>
              </a:solidFill>
              <a:effectLst/>
              <a:latin typeface="+mn-lt"/>
              <a:ea typeface="+mn-ea"/>
              <a:cs typeface="+mn-cs"/>
            </a:rPr>
            <a:t>Sheet 8 column</a:t>
          </a:r>
          <a:r>
            <a:rPr lang="en-US" sz="1100" b="1" baseline="0">
              <a:solidFill>
                <a:schemeClr val="dk1"/>
              </a:solidFill>
              <a:effectLst/>
              <a:latin typeface="+mn-lt"/>
              <a:ea typeface="+mn-ea"/>
              <a:cs typeface="+mn-cs"/>
            </a:rPr>
            <a:t> contents</a:t>
          </a:r>
          <a:r>
            <a:rPr lang="en-US" sz="1100" b="1">
              <a:solidFill>
                <a:schemeClr val="dk1"/>
              </a:solidFill>
              <a:effectLst/>
              <a:latin typeface="+mn-lt"/>
              <a:ea typeface="+mn-ea"/>
              <a:cs typeface="+mn-cs"/>
            </a:rPr>
            <a:t>:</a:t>
          </a:r>
          <a:endParaRPr lang="en-US" b="1">
            <a:effectLst/>
          </a:endParaRPr>
        </a:p>
        <a:p>
          <a:r>
            <a:rPr lang="en-US" sz="1100" b="1">
              <a:solidFill>
                <a:schemeClr val="dk1"/>
              </a:solidFill>
              <a:effectLst/>
              <a:latin typeface="+mn-lt"/>
              <a:ea typeface="+mn-ea"/>
              <a:cs typeface="+mn-cs"/>
            </a:rPr>
            <a:t>Year</a:t>
          </a:r>
          <a:r>
            <a:rPr lang="en-US" sz="1100">
              <a:solidFill>
                <a:schemeClr val="dk1"/>
              </a:solidFill>
              <a:effectLst/>
              <a:latin typeface="+mn-lt"/>
              <a:ea typeface="+mn-ea"/>
              <a:cs typeface="+mn-cs"/>
            </a:rPr>
            <a:t> = grouped into ranges: 2022-2024; 2025-2029; 2030-2039; 2040-2049;</a:t>
          </a:r>
          <a:endParaRPr lang="en-US">
            <a:effectLst/>
          </a:endParaRPr>
        </a:p>
        <a:p>
          <a:r>
            <a:rPr lang="en-US" sz="1100" b="1">
              <a:solidFill>
                <a:schemeClr val="dk1"/>
              </a:solidFill>
              <a:effectLst/>
              <a:latin typeface="+mn-lt"/>
              <a:ea typeface="+mn-ea"/>
              <a:cs typeface="+mn-cs"/>
            </a:rPr>
            <a:t>CO2e</a:t>
          </a:r>
          <a:r>
            <a:rPr lang="en-US" sz="1100">
              <a:solidFill>
                <a:schemeClr val="dk1"/>
              </a:solidFill>
              <a:effectLst/>
              <a:latin typeface="+mn-lt"/>
              <a:ea typeface="+mn-ea"/>
              <a:cs typeface="+mn-cs"/>
            </a:rPr>
            <a:t> = Carbon Dioxide equivalent in lbs/MWh and t/GWh</a:t>
          </a:r>
          <a:endParaRPr lang="en-US">
            <a:effectLst/>
          </a:endParaRPr>
        </a:p>
        <a:p>
          <a:r>
            <a:rPr lang="en-US" sz="1100" b="1">
              <a:solidFill>
                <a:schemeClr val="dk1"/>
              </a:solidFill>
              <a:effectLst/>
              <a:latin typeface="+mn-lt"/>
              <a:ea typeface="+mn-ea"/>
              <a:cs typeface="+mn-cs"/>
            </a:rPr>
            <a:t>SO2</a:t>
          </a:r>
          <a:r>
            <a:rPr lang="en-US" sz="1100">
              <a:solidFill>
                <a:schemeClr val="dk1"/>
              </a:solidFill>
              <a:effectLst/>
              <a:latin typeface="+mn-lt"/>
              <a:ea typeface="+mn-ea"/>
              <a:cs typeface="+mn-cs"/>
            </a:rPr>
            <a:t> = Sulphur Dioxide in in lbs/MWh and t/GWh</a:t>
          </a:r>
          <a:endParaRPr lang="en-US">
            <a:effectLst/>
          </a:endParaRPr>
        </a:p>
        <a:p>
          <a:r>
            <a:rPr lang="en-US" sz="1100" b="1">
              <a:solidFill>
                <a:schemeClr val="dk1"/>
              </a:solidFill>
              <a:effectLst/>
              <a:latin typeface="+mn-lt"/>
              <a:ea typeface="+mn-ea"/>
              <a:cs typeface="+mn-cs"/>
            </a:rPr>
            <a:t>NOx</a:t>
          </a:r>
          <a:r>
            <a:rPr lang="en-US" sz="1100">
              <a:solidFill>
                <a:schemeClr val="dk1"/>
              </a:solidFill>
              <a:effectLst/>
              <a:latin typeface="+mn-lt"/>
              <a:ea typeface="+mn-ea"/>
              <a:cs typeface="+mn-cs"/>
            </a:rPr>
            <a:t> = Nitrogen Oxide emissions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 lbs/MWh and t/GWh</a:t>
          </a:r>
          <a:endParaRPr lang="en-US">
            <a:effectLst/>
          </a:endParaRPr>
        </a:p>
        <a:p>
          <a:r>
            <a:rPr lang="en-US" sz="1100">
              <a:solidFill>
                <a:schemeClr val="dk1"/>
              </a:solidFill>
              <a:effectLst/>
              <a:latin typeface="+mn-lt"/>
              <a:ea typeface="+mn-ea"/>
              <a:cs typeface="+mn-cs"/>
            </a:rPr>
            <a:t>Ozone Season NOx (</a:t>
          </a:r>
          <a:r>
            <a:rPr lang="en-US" sz="1100" b="1">
              <a:solidFill>
                <a:schemeClr val="dk1"/>
              </a:solidFill>
              <a:effectLst/>
              <a:latin typeface="+mn-lt"/>
              <a:ea typeface="+mn-ea"/>
              <a:cs typeface="+mn-cs"/>
            </a:rPr>
            <a:t>OS-NOx</a:t>
          </a:r>
          <a:r>
            <a:rPr lang="en-US" sz="1100">
              <a:solidFill>
                <a:schemeClr val="dk1"/>
              </a:solidFill>
              <a:effectLst/>
              <a:latin typeface="+mn-lt"/>
              <a:ea typeface="+mn-ea"/>
              <a:cs typeface="+mn-cs"/>
            </a:rPr>
            <a:t>) = lbs/MWh and t/GWh of NOx emitted during Ozone Season</a:t>
          </a:r>
        </a:p>
        <a:p>
          <a:r>
            <a:rPr lang="en-US" sz="1100" b="1" baseline="0">
              <a:solidFill>
                <a:schemeClr val="dk1"/>
              </a:solidFill>
              <a:effectLst/>
              <a:latin typeface="+mn-lt"/>
              <a:ea typeface="+mn-ea"/>
              <a:cs typeface="+mn-cs"/>
            </a:rPr>
            <a:t>Delta</a:t>
          </a:r>
          <a:r>
            <a:rPr lang="en-US" sz="1100" baseline="0">
              <a:solidFill>
                <a:schemeClr val="dk1"/>
              </a:solidFill>
              <a:effectLst/>
              <a:latin typeface="+mn-lt"/>
              <a:ea typeface="+mn-ea"/>
              <a:cs typeface="+mn-cs"/>
            </a:rPr>
            <a:t> = increment of added clean GWh as a fraction of the maximum GWh in 2049 in Column C, Sheet 7. This same increment is used in this sheet to calculate the diminished emissions reductions in lbs/MWh due to the fact that the grid has become cleaner.</a:t>
          </a:r>
          <a:endParaRPr lang="en-US">
            <a:effectLst/>
          </a:endParaRPr>
        </a:p>
        <a:p>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Calculation</a:t>
          </a:r>
          <a:r>
            <a:rPr lang="en-US" sz="1100" b="1" baseline="0">
              <a:solidFill>
                <a:schemeClr val="dk1"/>
              </a:solidFill>
              <a:effectLst/>
              <a:latin typeface="+mn-lt"/>
              <a:ea typeface="+mn-ea"/>
              <a:cs typeface="+mn-cs"/>
            </a:rPr>
            <a:t> Process</a:t>
          </a:r>
          <a:endParaRPr lang="en-US">
            <a:effectLst/>
          </a:endParaRPr>
        </a:p>
        <a:p>
          <a:r>
            <a:rPr lang="en-US">
              <a:effectLst/>
            </a:rPr>
            <a:t>1. t/GWh</a:t>
          </a:r>
          <a:r>
            <a:rPr lang="en-US" baseline="0">
              <a:effectLst/>
            </a:rPr>
            <a:t> in Columns I, J, K, and L are calculated from lbs/MWh as: t/GWh = (lbs/MWh)(1000/2204.62)</a:t>
          </a:r>
        </a:p>
        <a:p>
          <a:r>
            <a:rPr lang="en-US" baseline="0">
              <a:effectLst/>
            </a:rPr>
            <a:t>2. Emissions coefficient baselines are takend from EPA-eGRID 2022 for the NEWE Subregion "Total output emission rates" which are conservative compared to "Non-baseload output emission rates"</a:t>
          </a:r>
        </a:p>
        <a:p>
          <a:r>
            <a:rPr lang="en-US" baseline="0">
              <a:effectLst/>
            </a:rPr>
            <a:t>3. Estimate the 2050 Emissions coefficient for this study by assuming that floating OSW is the only technology that moves forward in NEWE of all the technologies listed in the sub-table "NEWE Grid Generation Mix in 2050 per ISO-NE". This results in a 21.1% reduction in 2022 emissions numbers </a:t>
          </a:r>
          <a:r>
            <a:rPr lang="en-US" b="1" baseline="0">
              <a:effectLst/>
            </a:rPr>
            <a:t>(</a:t>
          </a:r>
          <a:r>
            <a:rPr lang="en-US" sz="1100" b="1" baseline="0">
              <a:solidFill>
                <a:schemeClr val="dk1"/>
              </a:solidFill>
              <a:effectLst/>
              <a:latin typeface="+mn-lt"/>
              <a:ea typeface="+mn-ea"/>
              <a:cs typeface="+mn-cs"/>
            </a:rPr>
            <a:t>Cells P21 and R29)</a:t>
          </a:r>
          <a:r>
            <a:rPr lang="en-US" baseline="0">
              <a:effectLst/>
            </a:rPr>
            <a:t> , which means that CO2e goes from 540.5 lbs/MWh in 2022 </a:t>
          </a:r>
          <a:r>
            <a:rPr lang="en-US" b="1" baseline="0">
              <a:effectLst/>
            </a:rPr>
            <a:t>(Cell O7)</a:t>
          </a:r>
          <a:r>
            <a:rPr lang="en-US" baseline="0">
              <a:effectLst/>
            </a:rPr>
            <a:t> to 426.7 lbs/MWh in 2049 </a:t>
          </a:r>
          <a:r>
            <a:rPr lang="en-US" b="1" baseline="0">
              <a:effectLst/>
            </a:rPr>
            <a:t>(Cell O8)</a:t>
          </a:r>
          <a:r>
            <a:rPr lang="en-US" baseline="0">
              <a:effectLst/>
            </a:rPr>
            <a:t> resulting in a differential of 113.8 lbs/MWh </a:t>
          </a:r>
          <a:r>
            <a:rPr lang="en-US" b="1" baseline="0">
              <a:effectLst/>
            </a:rPr>
            <a:t>(Cell O9)</a:t>
          </a:r>
          <a:r>
            <a:rPr lang="en-US" baseline="0">
              <a:effectLst/>
            </a:rPr>
            <a:t> between these two years.</a:t>
          </a:r>
        </a:p>
        <a:p>
          <a:r>
            <a:rPr lang="en-US" baseline="0">
              <a:effectLst/>
            </a:rPr>
            <a:t>4. Emissions coefficients are held constant from 2022 to 2027 to reflect the assumption that no new generation is added between these years. Emissions coefficients begin to reduce in 2028 with the addition of new OSW capacity as a result of EPA-CPRG funding.</a:t>
          </a:r>
        </a:p>
        <a:p>
          <a:endParaRPr lang="en-US">
            <a:effectLst/>
          </a:endParaRPr>
        </a:p>
        <a:p>
          <a:endParaRPr lang="en-US"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9525</xdr:colOff>
      <xdr:row>1</xdr:row>
      <xdr:rowOff>9525</xdr:rowOff>
    </xdr:from>
    <xdr:to>
      <xdr:col>19</xdr:col>
      <xdr:colOff>0</xdr:colOff>
      <xdr:row>13</xdr:row>
      <xdr:rowOff>104775</xdr:rowOff>
    </xdr:to>
    <xdr:sp macro="" textlink="">
      <xdr:nvSpPr>
        <xdr:cNvPr id="2" name="TextBox 1">
          <a:extLst>
            <a:ext uri="{FF2B5EF4-FFF2-40B4-BE49-F238E27FC236}">
              <a16:creationId xmlns:a16="http://schemas.microsoft.com/office/drawing/2014/main" id="{ADCA4089-4875-44A5-945F-9FBD258C8A89}"/>
            </a:ext>
          </a:extLst>
        </xdr:cNvPr>
        <xdr:cNvSpPr txBox="1"/>
      </xdr:nvSpPr>
      <xdr:spPr>
        <a:xfrm>
          <a:off x="4829175" y="200025"/>
          <a:ext cx="9277350" cy="238125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Salem Port Electrification</a:t>
          </a:r>
        </a:p>
        <a:p>
          <a:pPr lvl="0"/>
          <a:r>
            <a:rPr lang="en-US" sz="1100">
              <a:solidFill>
                <a:schemeClr val="dk1"/>
              </a:solidFill>
              <a:effectLst/>
              <a:latin typeface="+mn-lt"/>
              <a:ea typeface="+mn-ea"/>
              <a:cs typeface="+mn-cs"/>
            </a:rPr>
            <a:t>Tool: EPA Shore Power Emissions Calculator (see screen</a:t>
          </a:r>
          <a:r>
            <a:rPr lang="en-US" sz="1100" baseline="0">
              <a:solidFill>
                <a:schemeClr val="dk1"/>
              </a:solidFill>
              <a:effectLst/>
              <a:latin typeface="+mn-lt"/>
              <a:ea typeface="+mn-ea"/>
              <a:cs typeface="+mn-cs"/>
            </a:rPr>
            <a:t> shots below)</a:t>
          </a:r>
          <a:endParaRPr lang="en-US"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Vessel Types and Usage</a:t>
          </a:r>
        </a:p>
        <a:p>
          <a:pPr lvl="1"/>
          <a:r>
            <a:rPr lang="en-US" sz="1100">
              <a:solidFill>
                <a:schemeClr val="dk1"/>
              </a:solidFill>
              <a:effectLst/>
              <a:latin typeface="+mn-lt"/>
              <a:ea typeface="+mn-ea"/>
              <a:cs typeface="+mn-cs"/>
            </a:rPr>
            <a:t>Barge</a:t>
          </a:r>
        </a:p>
        <a:p>
          <a:pPr lvl="1"/>
          <a:r>
            <a:rPr lang="en-US" sz="1100">
              <a:solidFill>
                <a:schemeClr val="dk1"/>
              </a:solidFill>
              <a:effectLst/>
              <a:latin typeface="+mn-lt"/>
              <a:ea typeface="+mn-ea"/>
              <a:cs typeface="+mn-cs"/>
            </a:rPr>
            <a:t>Heavy Lift Vessel</a:t>
          </a:r>
        </a:p>
        <a:p>
          <a:pPr lvl="1"/>
          <a:r>
            <a:rPr lang="en-US" sz="1100">
              <a:solidFill>
                <a:schemeClr val="dk1"/>
              </a:solidFill>
              <a:effectLst/>
              <a:latin typeface="+mn-lt"/>
              <a:ea typeface="+mn-ea"/>
              <a:cs typeface="+mn-cs"/>
            </a:rPr>
            <a:t>Tug Boat</a:t>
          </a:r>
        </a:p>
        <a:p>
          <a:pPr lvl="0"/>
          <a:endParaRPr lang="en-US"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Calculation Process</a:t>
          </a:r>
        </a:p>
        <a:p>
          <a:pPr lvl="0"/>
          <a:r>
            <a:rPr lang="en-US" sz="1100">
              <a:solidFill>
                <a:schemeClr val="dk1"/>
              </a:solidFill>
              <a:effectLst/>
              <a:latin typeface="+mn-lt"/>
              <a:ea typeface="+mn-ea"/>
              <a:cs typeface="+mn-cs"/>
            </a:rPr>
            <a:t>1. With EPA-CPRG, Salem becomes fully electrified by 2040.</a:t>
          </a:r>
        </a:p>
        <a:p>
          <a:pPr lvl="0"/>
          <a:r>
            <a:rPr lang="en-US" sz="1100">
              <a:solidFill>
                <a:schemeClr val="dk1"/>
              </a:solidFill>
              <a:effectLst/>
              <a:latin typeface="+mn-lt"/>
              <a:ea typeface="+mn-ea"/>
              <a:cs typeface="+mn-cs"/>
            </a:rPr>
            <a:t>2. Without EPA-CPRG, Salem does</a:t>
          </a:r>
          <a:r>
            <a:rPr lang="en-US" sz="1100" baseline="0">
              <a:solidFill>
                <a:schemeClr val="dk1"/>
              </a:solidFill>
              <a:effectLst/>
              <a:latin typeface="+mn-lt"/>
              <a:ea typeface="+mn-ea"/>
              <a:cs typeface="+mn-cs"/>
            </a:rPr>
            <a:t> not electrify at all</a:t>
          </a:r>
          <a:r>
            <a:rPr lang="en-US" sz="1100">
              <a:solidFill>
                <a:schemeClr val="dk1"/>
              </a:solidFill>
              <a:effectLst/>
              <a:latin typeface="+mn-lt"/>
              <a:ea typeface="+mn-ea"/>
              <a:cs typeface="+mn-cs"/>
            </a:rPr>
            <a:t>.</a:t>
          </a:r>
        </a:p>
        <a:p>
          <a:pPr lvl="0"/>
          <a:r>
            <a:rPr lang="en-US" sz="1100">
              <a:solidFill>
                <a:schemeClr val="dk1"/>
              </a:solidFill>
              <a:effectLst/>
              <a:latin typeface="+mn-lt"/>
              <a:ea typeface="+mn-ea"/>
              <a:cs typeface="+mn-cs"/>
            </a:rPr>
            <a:t>3. Difference is calculated in Table</a:t>
          </a:r>
          <a:r>
            <a:rPr lang="en-US" sz="1100" baseline="0">
              <a:solidFill>
                <a:schemeClr val="dk1"/>
              </a:solidFill>
              <a:effectLst/>
              <a:latin typeface="+mn-lt"/>
              <a:ea typeface="+mn-ea"/>
              <a:cs typeface="+mn-cs"/>
            </a:rPr>
            <a:t> below</a:t>
          </a:r>
          <a:r>
            <a:rPr lang="en-US" sz="1100">
              <a:solidFill>
                <a:schemeClr val="dk1"/>
              </a:solidFill>
              <a:effectLst/>
              <a:latin typeface="+mn-lt"/>
              <a:ea typeface="+mn-ea"/>
              <a:cs typeface="+mn-cs"/>
            </a:rPr>
            <a:t> assuming without the EPA-CPRG, the</a:t>
          </a:r>
          <a:r>
            <a:rPr lang="en-US" sz="1100" baseline="0">
              <a:solidFill>
                <a:schemeClr val="dk1"/>
              </a:solidFill>
              <a:effectLst/>
              <a:latin typeface="+mn-lt"/>
              <a:ea typeface="+mn-ea"/>
              <a:cs typeface="+mn-cs"/>
            </a:rPr>
            <a:t> electrification</a:t>
          </a:r>
          <a:r>
            <a:rPr lang="en-US" sz="1100">
              <a:solidFill>
                <a:schemeClr val="dk1"/>
              </a:solidFill>
              <a:effectLst/>
              <a:latin typeface="+mn-lt"/>
              <a:ea typeface="+mn-ea"/>
              <a:cs typeface="+mn-cs"/>
            </a:rPr>
            <a:t> ramp from 2025 to full electrification in 2040 is assumed to be linear.</a:t>
          </a:r>
        </a:p>
        <a:p>
          <a:endParaRPr lang="en-US">
            <a:effectLst/>
          </a:endParaRPr>
        </a:p>
        <a:p>
          <a:endParaRPr lang="en-US" sz="1100"/>
        </a:p>
      </xdr:txBody>
    </xdr:sp>
    <xdr:clientData/>
  </xdr:twoCellAnchor>
  <xdr:twoCellAnchor editAs="oneCell">
    <xdr:from>
      <xdr:col>6</xdr:col>
      <xdr:colOff>9525</xdr:colOff>
      <xdr:row>16</xdr:row>
      <xdr:rowOff>9525</xdr:rowOff>
    </xdr:from>
    <xdr:to>
      <xdr:col>19</xdr:col>
      <xdr:colOff>19050</xdr:colOff>
      <xdr:row>25</xdr:row>
      <xdr:rowOff>66903</xdr:rowOff>
    </xdr:to>
    <xdr:pic>
      <xdr:nvPicPr>
        <xdr:cNvPr id="3" name="Picture 2">
          <a:extLst>
            <a:ext uri="{FF2B5EF4-FFF2-40B4-BE49-F238E27FC236}">
              <a16:creationId xmlns:a16="http://schemas.microsoft.com/office/drawing/2014/main" id="{8AFA9D7C-B395-F897-544B-B9451655224C}"/>
            </a:ext>
          </a:extLst>
        </xdr:cNvPr>
        <xdr:cNvPicPr>
          <a:picLocks noChangeAspect="1"/>
        </xdr:cNvPicPr>
      </xdr:nvPicPr>
      <xdr:blipFill>
        <a:blip xmlns:r="http://schemas.openxmlformats.org/officeDocument/2006/relationships" r:embed="rId1">
          <a:alphaModFix/>
          <a:extLst>
            <a:ext uri="{28A0092B-C50C-407E-A947-70E740481C1C}">
              <a14:useLocalDpi xmlns:a14="http://schemas.microsoft.com/office/drawing/2010/main" val="0"/>
            </a:ext>
          </a:extLst>
        </a:blip>
        <a:srcRect/>
        <a:stretch>
          <a:fillRect/>
        </a:stretch>
      </xdr:blipFill>
      <xdr:spPr bwMode="auto">
        <a:xfrm>
          <a:off x="4829175" y="3057525"/>
          <a:ext cx="9296400" cy="1771878"/>
        </a:xfrm>
        <a:prstGeom prst="rect">
          <a:avLst/>
        </a:prstGeom>
        <a:solidFill>
          <a:schemeClr val="bg1"/>
        </a:solidFill>
        <a:ln>
          <a:noFill/>
        </a:ln>
      </xdr:spPr>
    </xdr:pic>
    <xdr:clientData/>
  </xdr:twoCellAnchor>
  <xdr:twoCellAnchor editAs="oneCell">
    <xdr:from>
      <xdr:col>5</xdr:col>
      <xdr:colOff>704849</xdr:colOff>
      <xdr:row>28</xdr:row>
      <xdr:rowOff>0</xdr:rowOff>
    </xdr:from>
    <xdr:to>
      <xdr:col>18</xdr:col>
      <xdr:colOff>476249</xdr:colOff>
      <xdr:row>35</xdr:row>
      <xdr:rowOff>166782</xdr:rowOff>
    </xdr:to>
    <xdr:pic>
      <xdr:nvPicPr>
        <xdr:cNvPr id="4" name="Picture 3">
          <a:extLst>
            <a:ext uri="{FF2B5EF4-FFF2-40B4-BE49-F238E27FC236}">
              <a16:creationId xmlns:a16="http://schemas.microsoft.com/office/drawing/2014/main" id="{AC72ACFC-C0C1-2B93-ECCE-F4160544454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10124" y="5334000"/>
          <a:ext cx="9305925" cy="1500282"/>
        </a:xfrm>
        <a:prstGeom prst="rect">
          <a:avLst/>
        </a:prstGeom>
        <a:solidFill>
          <a:schemeClr val="bg1"/>
        </a:solid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11</xdr:row>
      <xdr:rowOff>9525</xdr:rowOff>
    </xdr:from>
    <xdr:to>
      <xdr:col>17</xdr:col>
      <xdr:colOff>704850</xdr:colOff>
      <xdr:row>21</xdr:row>
      <xdr:rowOff>9525</xdr:rowOff>
    </xdr:to>
    <xdr:sp macro="" textlink="">
      <xdr:nvSpPr>
        <xdr:cNvPr id="2" name="TextBox 1">
          <a:extLst>
            <a:ext uri="{FF2B5EF4-FFF2-40B4-BE49-F238E27FC236}">
              <a16:creationId xmlns:a16="http://schemas.microsoft.com/office/drawing/2014/main" id="{146E0AB2-498F-4E3C-AF62-9FBE454258A1}"/>
            </a:ext>
          </a:extLst>
        </xdr:cNvPr>
        <xdr:cNvSpPr txBox="1"/>
      </xdr:nvSpPr>
      <xdr:spPr>
        <a:xfrm>
          <a:off x="3971925" y="2105025"/>
          <a:ext cx="9277350" cy="190500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Reduced Vessel Traffic from the Canadian Maritimes</a:t>
          </a:r>
        </a:p>
        <a:p>
          <a:pPr lvl="0"/>
          <a:r>
            <a:rPr lang="en-US" sz="1100" b="1">
              <a:solidFill>
                <a:schemeClr val="dk1"/>
              </a:solidFill>
              <a:effectLst/>
              <a:latin typeface="+mn-lt"/>
              <a:ea typeface="+mn-ea"/>
              <a:cs typeface="+mn-cs"/>
            </a:rPr>
            <a:t>Calculation Process</a:t>
          </a:r>
        </a:p>
        <a:p>
          <a:pPr lvl="0"/>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1. Assume that Searsport is approximately 100 nm from the Gulf of Maine offshore wind energy areas. Assume that Halifax is approximately 250 nm from the Gulf of Maine offshore wind energy areas. Estimate the number of required trips</a:t>
          </a:r>
          <a:r>
            <a:rPr lang="en-US" sz="1100" baseline="0">
              <a:solidFill>
                <a:schemeClr val="dk1"/>
              </a:solidFill>
              <a:effectLst/>
              <a:latin typeface="+mn-lt"/>
              <a:ea typeface="+mn-ea"/>
              <a:cs typeface="+mn-cs"/>
            </a:rPr>
            <a:t> in Column B (OWT/FOWT) which is the difference in the number of turbines installed with and without the EPA-CPRG award.</a:t>
          </a:r>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2. Calculate reduced emissions based on a 150 nm x 2 = 300 nm round-trip differential.</a:t>
          </a:r>
        </a:p>
        <a:p>
          <a:pPr lvl="0"/>
          <a:r>
            <a:rPr lang="en-US" sz="1100">
              <a:solidFill>
                <a:schemeClr val="dk1"/>
              </a:solidFill>
              <a:effectLst/>
              <a:latin typeface="+mn-lt"/>
              <a:ea typeface="+mn-ea"/>
              <a:cs typeface="+mn-cs"/>
            </a:rPr>
            <a:t>3. Refer to Table 3 in: https://ore.catapult.org.uk/wp-content/uploads/2021/02/VesselEmissionsOM_Final.pdf (see screenshot</a:t>
          </a:r>
          <a:r>
            <a:rPr lang="en-US" sz="1100" baseline="0">
              <a:solidFill>
                <a:schemeClr val="dk1"/>
              </a:solidFill>
              <a:effectLst/>
              <a:latin typeface="+mn-lt"/>
              <a:ea typeface="+mn-ea"/>
              <a:cs typeface="+mn-cs"/>
            </a:rPr>
            <a:t> below)</a:t>
          </a:r>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4. Focus on Crew Transfer Vessels (CTV) and Service Operations Vessels (SOV)</a:t>
          </a:r>
        </a:p>
        <a:p>
          <a:endParaRPr lang="en-US" sz="1100"/>
        </a:p>
      </xdr:txBody>
    </xdr:sp>
    <xdr:clientData/>
  </xdr:twoCellAnchor>
  <xdr:twoCellAnchor editAs="oneCell">
    <xdr:from>
      <xdr:col>5</xdr:col>
      <xdr:colOff>19050</xdr:colOff>
      <xdr:row>24</xdr:row>
      <xdr:rowOff>9525</xdr:rowOff>
    </xdr:from>
    <xdr:to>
      <xdr:col>13</xdr:col>
      <xdr:colOff>9525</xdr:colOff>
      <xdr:row>45</xdr:row>
      <xdr:rowOff>23269</xdr:rowOff>
    </xdr:to>
    <xdr:pic>
      <xdr:nvPicPr>
        <xdr:cNvPr id="3" name="Picture 2">
          <a:extLst>
            <a:ext uri="{FF2B5EF4-FFF2-40B4-BE49-F238E27FC236}">
              <a16:creationId xmlns:a16="http://schemas.microsoft.com/office/drawing/2014/main" id="{99349885-BCAF-AA01-5DFF-C070B6544386}"/>
            </a:ext>
          </a:extLst>
        </xdr:cNvPr>
        <xdr:cNvPicPr>
          <a:picLocks noChangeAspect="1"/>
        </xdr:cNvPicPr>
      </xdr:nvPicPr>
      <xdr:blipFill>
        <a:blip xmlns:r="http://schemas.openxmlformats.org/officeDocument/2006/relationships" r:embed="rId1"/>
        <a:stretch>
          <a:fillRect/>
        </a:stretch>
      </xdr:blipFill>
      <xdr:spPr>
        <a:xfrm>
          <a:off x="3990975" y="4581525"/>
          <a:ext cx="5705475" cy="4014244"/>
        </a:xfrm>
        <a:prstGeom prst="rect">
          <a:avLst/>
        </a:prstGeom>
      </xdr:spPr>
    </xdr:pic>
    <xdr:clientData/>
  </xdr:twoCellAnchor>
  <xdr:twoCellAnchor>
    <xdr:from>
      <xdr:col>5</xdr:col>
      <xdr:colOff>0</xdr:colOff>
      <xdr:row>23</xdr:row>
      <xdr:rowOff>0</xdr:rowOff>
    </xdr:from>
    <xdr:to>
      <xdr:col>12</xdr:col>
      <xdr:colOff>219075</xdr:colOff>
      <xdr:row>24</xdr:row>
      <xdr:rowOff>0</xdr:rowOff>
    </xdr:to>
    <xdr:sp macro="" textlink="">
      <xdr:nvSpPr>
        <xdr:cNvPr id="12289" name="Text Box 1">
          <a:hlinkClick xmlns:r="http://schemas.openxmlformats.org/officeDocument/2006/relationships" r:id="rId2"/>
          <a:extLst>
            <a:ext uri="{FF2B5EF4-FFF2-40B4-BE49-F238E27FC236}">
              <a16:creationId xmlns:a16="http://schemas.microsoft.com/office/drawing/2014/main" id="{F7250B23-C002-4FE6-9408-72D37B2B858F}"/>
            </a:ext>
          </a:extLst>
        </xdr:cNvPr>
        <xdr:cNvSpPr txBox="1">
          <a:spLocks noChangeArrowheads="1"/>
        </xdr:cNvSpPr>
      </xdr:nvSpPr>
      <xdr:spPr bwMode="auto">
        <a:xfrm>
          <a:off x="3971925" y="4381500"/>
          <a:ext cx="5219700" cy="190500"/>
        </a:xfrm>
        <a:prstGeom prst="rect">
          <a:avLst/>
        </a:prstGeom>
        <a:solidFill>
          <a:srgbClr val="FFFFFF"/>
        </a:solidFill>
        <a:ln w="9525">
          <a:solidFill>
            <a:srgbClr val="000000"/>
          </a:solidFill>
          <a:miter lim="800000"/>
          <a:headEnd/>
          <a:tailEnd/>
        </a:ln>
      </xdr:spPr>
      <xdr:txBody>
        <a:bodyPr vertOverflow="clip" wrap="square" lIns="27432" tIns="27432" rIns="0" bIns="0" anchor="t" upright="1"/>
        <a:lstStyle/>
        <a:p>
          <a:pPr algn="l" rtl="0">
            <a:defRPr sz="1000"/>
          </a:pPr>
          <a:r>
            <a:rPr lang="en-US" sz="1100" b="0" i="0" u="none" strike="noStrike" baseline="0">
              <a:solidFill>
                <a:schemeClr val="accent1"/>
              </a:solidFill>
              <a:latin typeface="Calibri"/>
              <a:ea typeface="Calibri"/>
              <a:cs typeface="Calibri"/>
            </a:rPr>
            <a:t>https://ore.catapult.org.uk/wp-content/uploads/2021/02/VesselEmissionsOM_Final.pdf</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0</xdr:row>
      <xdr:rowOff>190499</xdr:rowOff>
    </xdr:from>
    <xdr:to>
      <xdr:col>14</xdr:col>
      <xdr:colOff>8659</xdr:colOff>
      <xdr:row>21</xdr:row>
      <xdr:rowOff>8658</xdr:rowOff>
    </xdr:to>
    <xdr:sp macro="" textlink="">
      <xdr:nvSpPr>
        <xdr:cNvPr id="2" name="TextBox 1">
          <a:extLst>
            <a:ext uri="{FF2B5EF4-FFF2-40B4-BE49-F238E27FC236}">
              <a16:creationId xmlns:a16="http://schemas.microsoft.com/office/drawing/2014/main" id="{5FEF16C3-0D8A-418A-94EB-209E844F3D77}"/>
            </a:ext>
          </a:extLst>
        </xdr:cNvPr>
        <xdr:cNvSpPr txBox="1"/>
      </xdr:nvSpPr>
      <xdr:spPr>
        <a:xfrm>
          <a:off x="4641273" y="190499"/>
          <a:ext cx="7342909" cy="381865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Searsport Floating OWT (FOWT) deployments with EPA Award</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Calculation Process</a:t>
          </a:r>
        </a:p>
        <a:p>
          <a:endParaRPr lang="en-US" sz="1100" b="1">
            <a:solidFill>
              <a:schemeClr val="dk1"/>
            </a:solidFill>
            <a:effectLst/>
            <a:latin typeface="+mn-lt"/>
            <a:ea typeface="+mn-ea"/>
            <a:cs typeface="+mn-cs"/>
          </a:endParaRPr>
        </a:p>
        <a:p>
          <a:pPr lvl="0"/>
          <a:r>
            <a:rPr lang="en-US" sz="1100">
              <a:solidFill>
                <a:schemeClr val="dk1"/>
              </a:solidFill>
              <a:effectLst/>
              <a:latin typeface="+mn-lt"/>
              <a:ea typeface="+mn-ea"/>
              <a:cs typeface="+mn-cs"/>
            </a:rPr>
            <a:t>1. Searsport begins in 2030 with the deployment of fifteen 15 MW FOWTs.</a:t>
          </a:r>
        </a:p>
        <a:p>
          <a:pPr lvl="0"/>
          <a:r>
            <a:rPr lang="en-US" sz="1100">
              <a:solidFill>
                <a:schemeClr val="dk1"/>
              </a:solidFill>
              <a:effectLst/>
              <a:latin typeface="+mn-lt"/>
              <a:ea typeface="+mn-ea"/>
              <a:cs typeface="+mn-cs"/>
            </a:rPr>
            <a:t>2. Deployment capacity increases by one OWT per year up to 24 FOWTs in 2039.</a:t>
          </a:r>
        </a:p>
        <a:p>
          <a:pPr lvl="0"/>
          <a:r>
            <a:rPr lang="en-US" sz="1100">
              <a:solidFill>
                <a:schemeClr val="dk1"/>
              </a:solidFill>
              <a:effectLst/>
              <a:latin typeface="+mn-lt"/>
              <a:ea typeface="+mn-ea"/>
              <a:cs typeface="+mn-cs"/>
            </a:rPr>
            <a:t>3. In 2040, OWT size jumps from 15 MW to 20 MW and twenty-four 20 MW FOWTs are deployed from Searsport.</a:t>
          </a:r>
        </a:p>
        <a:p>
          <a:pPr lvl="0"/>
          <a:r>
            <a:rPr lang="en-US" sz="1100">
              <a:solidFill>
                <a:schemeClr val="dk1"/>
              </a:solidFill>
              <a:effectLst/>
              <a:latin typeface="+mn-lt"/>
              <a:ea typeface="+mn-ea"/>
              <a:cs typeface="+mn-cs"/>
            </a:rPr>
            <a:t>4. FOWT deployment maxes out at Searsport in 2046 at thirty 20 MW OWTs.</a:t>
          </a:r>
        </a:p>
        <a:p>
          <a:pPr lvl="0"/>
          <a:r>
            <a:rPr lang="en-US" sz="1100">
              <a:solidFill>
                <a:schemeClr val="dk1"/>
              </a:solidFill>
              <a:effectLst/>
              <a:latin typeface="+mn-lt"/>
              <a:ea typeface="+mn-ea"/>
              <a:cs typeface="+mn-cs"/>
            </a:rPr>
            <a:t>5. Searsport deploys thirty 20 MW FOWTs each year between 2046 and 2049.</a:t>
          </a:r>
        </a:p>
        <a:p>
          <a:pPr lvl="0"/>
          <a:r>
            <a:rPr lang="en-US" sz="1100">
              <a:solidFill>
                <a:schemeClr val="dk1"/>
              </a:solidFill>
              <a:effectLst/>
              <a:latin typeface="+mn-lt"/>
              <a:ea typeface="+mn-ea"/>
              <a:cs typeface="+mn-cs"/>
            </a:rPr>
            <a:t>6. </a:t>
          </a:r>
          <a:r>
            <a:rPr lang="en-US" sz="1100">
              <a:solidFill>
                <a:sysClr val="windowText" lastClr="000000"/>
              </a:solidFill>
              <a:effectLst/>
              <a:latin typeface="+mn-lt"/>
              <a:ea typeface="+mn-ea"/>
              <a:cs typeface="+mn-cs"/>
            </a:rPr>
            <a:t>This deployment scenario reaches a total of 8505 MW by the end of 2049 </a:t>
          </a:r>
          <a:r>
            <a:rPr lang="en-US" sz="1100" b="1">
              <a:solidFill>
                <a:sysClr val="windowText" lastClr="000000"/>
              </a:solidFill>
              <a:effectLst/>
              <a:latin typeface="+mn-lt"/>
              <a:ea typeface="+mn-ea"/>
              <a:cs typeface="+mn-cs"/>
            </a:rPr>
            <a:t>(see Cell</a:t>
          </a:r>
          <a:r>
            <a:rPr lang="en-US" sz="1100" b="1" baseline="0">
              <a:solidFill>
                <a:sysClr val="windowText" lastClr="000000"/>
              </a:solidFill>
              <a:effectLst/>
              <a:latin typeface="+mn-lt"/>
              <a:ea typeface="+mn-ea"/>
              <a:cs typeface="+mn-cs"/>
            </a:rPr>
            <a:t> E26</a:t>
          </a:r>
          <a:r>
            <a:rPr lang="en-US" sz="1100" b="1">
              <a:solidFill>
                <a:sysClr val="windowText" lastClr="000000"/>
              </a:solidFill>
              <a:effectLst/>
              <a:latin typeface="+mn-lt"/>
              <a:ea typeface="+mn-ea"/>
              <a:cs typeface="+mn-cs"/>
            </a:rPr>
            <a:t>)</a:t>
          </a:r>
          <a:r>
            <a:rPr lang="en-US" sz="1100">
              <a:solidFill>
                <a:sysClr val="windowText" lastClr="000000"/>
              </a:solidFill>
              <a:effectLst/>
              <a:latin typeface="+mn-lt"/>
              <a:ea typeface="+mn-ea"/>
              <a:cs typeface="+mn-cs"/>
            </a:rPr>
            <a:t>.</a:t>
          </a:r>
        </a:p>
        <a:p>
          <a:pPr lvl="0"/>
          <a:endParaRPr lang="en-US"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Sheet 2 column contents:</a:t>
          </a:r>
        </a:p>
        <a:p>
          <a:pPr lvl="0"/>
          <a:r>
            <a:rPr lang="en-US" sz="1100" b="1">
              <a:solidFill>
                <a:schemeClr val="dk1"/>
              </a:solidFill>
              <a:effectLst/>
              <a:latin typeface="+mn-lt"/>
              <a:ea typeface="+mn-ea"/>
              <a:cs typeface="+mn-cs"/>
            </a:rPr>
            <a:t>Year</a:t>
          </a:r>
          <a:r>
            <a:rPr lang="en-US" sz="1100">
              <a:solidFill>
                <a:schemeClr val="dk1"/>
              </a:solidFill>
              <a:effectLst/>
              <a:latin typeface="+mn-lt"/>
              <a:ea typeface="+mn-ea"/>
              <a:cs typeface="+mn-cs"/>
            </a:rPr>
            <a:t> = grouped into ranges: 2025-2029; 2030-2039; 2040-2049;</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FOWTs</a:t>
          </a:r>
          <a:r>
            <a:rPr lang="en-US" sz="1100">
              <a:solidFill>
                <a:schemeClr val="dk1"/>
              </a:solidFill>
              <a:effectLst/>
              <a:latin typeface="+mn-lt"/>
              <a:ea typeface="+mn-ea"/>
              <a:cs typeface="+mn-cs"/>
            </a:rPr>
            <a:t> = number of floating offshore wind turbines installed annually;</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MW/FOWT</a:t>
          </a:r>
          <a:r>
            <a:rPr lang="en-US" sz="1100">
              <a:solidFill>
                <a:schemeClr val="dk1"/>
              </a:solidFill>
              <a:effectLst/>
              <a:latin typeface="+mn-lt"/>
              <a:ea typeface="+mn-ea"/>
              <a:cs typeface="+mn-cs"/>
            </a:rPr>
            <a:t> = size of floating offshore wind turbine in MW;</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MW/y</a:t>
          </a:r>
          <a:r>
            <a:rPr lang="en-US" sz="1100">
              <a:solidFill>
                <a:schemeClr val="dk1"/>
              </a:solidFill>
              <a:effectLst/>
              <a:latin typeface="+mn-lt"/>
              <a:ea typeface="+mn-ea"/>
              <a:cs typeface="+mn-cs"/>
            </a:rPr>
            <a:t> = (FOWTs)(MW/FOWT); and</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Total MW</a:t>
          </a:r>
          <a:r>
            <a:rPr lang="en-US" sz="1100">
              <a:solidFill>
                <a:schemeClr val="dk1"/>
              </a:solidFill>
              <a:effectLst/>
              <a:latin typeface="+mn-lt"/>
              <a:ea typeface="+mn-ea"/>
              <a:cs typeface="+mn-cs"/>
            </a:rPr>
            <a:t> = cumulative number of MW deployed in a given year.</a:t>
          </a:r>
          <a:endParaRPr lang="en-US" sz="1600">
            <a:solidFill>
              <a:schemeClr val="dk1"/>
            </a:solidFill>
            <a:effectLst/>
            <a:latin typeface="+mn-lt"/>
            <a:ea typeface="+mn-ea"/>
            <a:cs typeface="+mn-cs"/>
          </a:endParaRP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8659</xdr:colOff>
      <xdr:row>1</xdr:row>
      <xdr:rowOff>0</xdr:rowOff>
    </xdr:from>
    <xdr:to>
      <xdr:col>14</xdr:col>
      <xdr:colOff>17318</xdr:colOff>
      <xdr:row>21</xdr:row>
      <xdr:rowOff>8659</xdr:rowOff>
    </xdr:to>
    <xdr:sp macro="" textlink="">
      <xdr:nvSpPr>
        <xdr:cNvPr id="2" name="TextBox 1">
          <a:extLst>
            <a:ext uri="{FF2B5EF4-FFF2-40B4-BE49-F238E27FC236}">
              <a16:creationId xmlns:a16="http://schemas.microsoft.com/office/drawing/2014/main" id="{530AE373-28A6-475D-B3FA-0C446F5284FE}"/>
            </a:ext>
          </a:extLst>
        </xdr:cNvPr>
        <xdr:cNvSpPr txBox="1"/>
      </xdr:nvSpPr>
      <xdr:spPr>
        <a:xfrm>
          <a:off x="4649932" y="190500"/>
          <a:ext cx="7342909" cy="38186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Salem FOWT deployments with EPA Award</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Calculation Process</a:t>
          </a:r>
          <a:endParaRPr lang="en-US">
            <a:effectLst/>
          </a:endParaRPr>
        </a:p>
        <a:p>
          <a:pPr lvl="0"/>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1. Salem begins to deploy floating offshore wind in 2035 with ten 15 MW FOWTs.</a:t>
          </a:r>
        </a:p>
        <a:p>
          <a:pPr lvl="0"/>
          <a:r>
            <a:rPr lang="en-US" sz="1100">
              <a:solidFill>
                <a:schemeClr val="dk1"/>
              </a:solidFill>
              <a:effectLst/>
              <a:latin typeface="+mn-lt"/>
              <a:ea typeface="+mn-ea"/>
              <a:cs typeface="+mn-cs"/>
            </a:rPr>
            <a:t>2. Deployment capacity increases by one FOWT per year up to 14 OWTs in 2039.</a:t>
          </a:r>
        </a:p>
        <a:p>
          <a:pPr lvl="0"/>
          <a:r>
            <a:rPr lang="en-US" sz="1100">
              <a:solidFill>
                <a:schemeClr val="dk1"/>
              </a:solidFill>
              <a:effectLst/>
              <a:latin typeface="+mn-lt"/>
              <a:ea typeface="+mn-ea"/>
              <a:cs typeface="+mn-cs"/>
            </a:rPr>
            <a:t>3. In 2040, FOWT size jumps from 15 MW to 20 MW and fourteen 20 MW FOWTs are deployed from Salem.</a:t>
          </a:r>
        </a:p>
        <a:p>
          <a:pPr lvl="0"/>
          <a:r>
            <a:rPr lang="en-US" sz="1100">
              <a:solidFill>
                <a:schemeClr val="dk1"/>
              </a:solidFill>
              <a:effectLst/>
              <a:latin typeface="+mn-lt"/>
              <a:ea typeface="+mn-ea"/>
              <a:cs typeface="+mn-cs"/>
            </a:rPr>
            <a:t>4. FOWT deployment increases by one 20 MW FOWT per year up to 20 FOWTs in 2046.</a:t>
          </a:r>
        </a:p>
        <a:p>
          <a:pPr lvl="0"/>
          <a:r>
            <a:rPr lang="en-US" sz="1100">
              <a:solidFill>
                <a:schemeClr val="dk1"/>
              </a:solidFill>
              <a:effectLst/>
              <a:latin typeface="+mn-lt"/>
              <a:ea typeface="+mn-ea"/>
              <a:cs typeface="+mn-cs"/>
            </a:rPr>
            <a:t>5. Twenty 20 MW FOWTs are deployed annually from 2046 to 2049.</a:t>
          </a:r>
        </a:p>
        <a:p>
          <a:pPr lvl="0"/>
          <a:r>
            <a:rPr lang="en-US" sz="1100">
              <a:solidFill>
                <a:schemeClr val="dk1"/>
              </a:solidFill>
              <a:effectLst/>
              <a:latin typeface="+mn-lt"/>
              <a:ea typeface="+mn-ea"/>
              <a:cs typeface="+mn-cs"/>
            </a:rPr>
            <a:t>6. This deployment scenario reaches a total of 4480 MW by the end of 2049 </a:t>
          </a:r>
          <a:r>
            <a:rPr lang="en-US" sz="1100" b="1">
              <a:solidFill>
                <a:schemeClr val="dk1"/>
              </a:solidFill>
              <a:effectLst/>
              <a:latin typeface="+mn-lt"/>
              <a:ea typeface="+mn-ea"/>
              <a:cs typeface="+mn-cs"/>
            </a:rPr>
            <a:t>(see</a:t>
          </a:r>
          <a:r>
            <a:rPr lang="en-US" sz="1100" b="1" baseline="0">
              <a:solidFill>
                <a:schemeClr val="dk1"/>
              </a:solidFill>
              <a:effectLst/>
              <a:latin typeface="+mn-lt"/>
              <a:ea typeface="+mn-ea"/>
              <a:cs typeface="+mn-cs"/>
            </a:rPr>
            <a:t> Cell E26</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a:t>
          </a:r>
        </a:p>
        <a:p>
          <a:pPr lvl="0"/>
          <a:endParaRPr lang="en-US"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Sheet 3 column contents:</a:t>
          </a:r>
        </a:p>
        <a:p>
          <a:pPr lvl="0"/>
          <a:r>
            <a:rPr lang="en-US" sz="1100" b="1">
              <a:solidFill>
                <a:schemeClr val="dk1"/>
              </a:solidFill>
              <a:effectLst/>
              <a:latin typeface="+mn-lt"/>
              <a:ea typeface="+mn-ea"/>
              <a:cs typeface="+mn-cs"/>
            </a:rPr>
            <a:t>Year</a:t>
          </a:r>
          <a:r>
            <a:rPr lang="en-US" sz="1100">
              <a:solidFill>
                <a:schemeClr val="dk1"/>
              </a:solidFill>
              <a:effectLst/>
              <a:latin typeface="+mn-lt"/>
              <a:ea typeface="+mn-ea"/>
              <a:cs typeface="+mn-cs"/>
            </a:rPr>
            <a:t> = grouped into ranges: 2025-2029; 2030-2039; 2040-2049;</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FOWTs</a:t>
          </a:r>
          <a:r>
            <a:rPr lang="en-US" sz="1100">
              <a:solidFill>
                <a:schemeClr val="dk1"/>
              </a:solidFill>
              <a:effectLst/>
              <a:latin typeface="+mn-lt"/>
              <a:ea typeface="+mn-ea"/>
              <a:cs typeface="+mn-cs"/>
            </a:rPr>
            <a:t> = number of floating offshore wind turbines installed annually;</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MW/FOWT</a:t>
          </a:r>
          <a:r>
            <a:rPr lang="en-US" sz="1100">
              <a:solidFill>
                <a:schemeClr val="dk1"/>
              </a:solidFill>
              <a:effectLst/>
              <a:latin typeface="+mn-lt"/>
              <a:ea typeface="+mn-ea"/>
              <a:cs typeface="+mn-cs"/>
            </a:rPr>
            <a:t> = size of floating offshore wind turbine in MW;</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MW/y</a:t>
          </a:r>
          <a:r>
            <a:rPr lang="en-US" sz="1100">
              <a:solidFill>
                <a:schemeClr val="dk1"/>
              </a:solidFill>
              <a:effectLst/>
              <a:latin typeface="+mn-lt"/>
              <a:ea typeface="+mn-ea"/>
              <a:cs typeface="+mn-cs"/>
            </a:rPr>
            <a:t> = (FOWTs)(MW/FOWT); and</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Total MW</a:t>
          </a:r>
          <a:r>
            <a:rPr lang="en-US" sz="1100">
              <a:solidFill>
                <a:schemeClr val="dk1"/>
              </a:solidFill>
              <a:effectLst/>
              <a:latin typeface="+mn-lt"/>
              <a:ea typeface="+mn-ea"/>
              <a:cs typeface="+mn-cs"/>
            </a:rPr>
            <a:t> = cumulative number of MW deployed in a given year.</a:t>
          </a:r>
          <a:endParaRPr lang="en-US" sz="1600">
            <a:solidFill>
              <a:schemeClr val="dk1"/>
            </a:solidFill>
            <a:effectLst/>
            <a:latin typeface="+mn-lt"/>
            <a:ea typeface="+mn-ea"/>
            <a:cs typeface="+mn-cs"/>
          </a:endParaRPr>
        </a:p>
        <a:p>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8660</xdr:colOff>
      <xdr:row>1</xdr:row>
      <xdr:rowOff>0</xdr:rowOff>
    </xdr:from>
    <xdr:to>
      <xdr:col>14</xdr:col>
      <xdr:colOff>17319</xdr:colOff>
      <xdr:row>21</xdr:row>
      <xdr:rowOff>8659</xdr:rowOff>
    </xdr:to>
    <xdr:sp macro="" textlink="">
      <xdr:nvSpPr>
        <xdr:cNvPr id="2" name="TextBox 1">
          <a:extLst>
            <a:ext uri="{FF2B5EF4-FFF2-40B4-BE49-F238E27FC236}">
              <a16:creationId xmlns:a16="http://schemas.microsoft.com/office/drawing/2014/main" id="{3E7BB176-098C-4A6F-810F-C5B64E4B3AC2}"/>
            </a:ext>
          </a:extLst>
        </xdr:cNvPr>
        <xdr:cNvSpPr txBox="1"/>
      </xdr:nvSpPr>
      <xdr:spPr>
        <a:xfrm>
          <a:off x="4649933" y="190500"/>
          <a:ext cx="7342909" cy="381865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Searsport FOWT deployments without EPA Award</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Calculation Process</a:t>
          </a:r>
        </a:p>
        <a:p>
          <a:endParaRPr lang="en-US" sz="1100" b="1">
            <a:solidFill>
              <a:schemeClr val="dk1"/>
            </a:solidFill>
            <a:effectLst/>
            <a:latin typeface="+mn-lt"/>
            <a:ea typeface="+mn-ea"/>
            <a:cs typeface="+mn-cs"/>
          </a:endParaRPr>
        </a:p>
        <a:p>
          <a:pPr lvl="0"/>
          <a:r>
            <a:rPr lang="en-US" sz="1100">
              <a:solidFill>
                <a:schemeClr val="dk1"/>
              </a:solidFill>
              <a:effectLst/>
              <a:latin typeface="+mn-lt"/>
              <a:ea typeface="+mn-ea"/>
              <a:cs typeface="+mn-cs"/>
            </a:rPr>
            <a:t>1. Searsport begins in 2035 with the deployment of fifteen 15 MW FOWTs.</a:t>
          </a:r>
        </a:p>
        <a:p>
          <a:pPr lvl="0"/>
          <a:r>
            <a:rPr lang="en-US" sz="1100">
              <a:solidFill>
                <a:schemeClr val="dk1"/>
              </a:solidFill>
              <a:effectLst/>
              <a:latin typeface="+mn-lt"/>
              <a:ea typeface="+mn-ea"/>
              <a:cs typeface="+mn-cs"/>
            </a:rPr>
            <a:t>2.</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Deployment capacity increases by one FOWT per year up to 19 OWTs in 2039.</a:t>
          </a:r>
        </a:p>
        <a:p>
          <a:pPr lvl="0"/>
          <a:r>
            <a:rPr lang="en-US" sz="1100">
              <a:solidFill>
                <a:schemeClr val="dk1"/>
              </a:solidFill>
              <a:effectLst/>
              <a:latin typeface="+mn-lt"/>
              <a:ea typeface="+mn-ea"/>
              <a:cs typeface="+mn-cs"/>
            </a:rPr>
            <a:t>3. In 2040, FOWT size jumps from 15 MW to 20 MW and nineteen 20 MW FOWTs are deployed from Searsport.</a:t>
          </a:r>
        </a:p>
        <a:p>
          <a:pPr lvl="0"/>
          <a:r>
            <a:rPr lang="en-US" sz="1100">
              <a:solidFill>
                <a:schemeClr val="dk1"/>
              </a:solidFill>
              <a:effectLst/>
              <a:latin typeface="+mn-lt"/>
              <a:ea typeface="+mn-ea"/>
              <a:cs typeface="+mn-cs"/>
            </a:rPr>
            <a:t>4. FOWT deployment increases by one 20 MW FOWT per year up to 28 FOWTs in 2049.</a:t>
          </a:r>
        </a:p>
        <a:p>
          <a:pPr lvl="0"/>
          <a:r>
            <a:rPr lang="en-US" sz="1100">
              <a:solidFill>
                <a:schemeClr val="dk1"/>
              </a:solidFill>
              <a:effectLst/>
              <a:latin typeface="+mn-lt"/>
              <a:ea typeface="+mn-ea"/>
              <a:cs typeface="+mn-cs"/>
            </a:rPr>
            <a:t>5. This deployment scenario reaches a total of 5975 MW by the end of 2049 </a:t>
          </a:r>
          <a:r>
            <a:rPr lang="en-US" sz="1100" b="1">
              <a:solidFill>
                <a:schemeClr val="dk1"/>
              </a:solidFill>
              <a:effectLst/>
              <a:latin typeface="+mn-lt"/>
              <a:ea typeface="+mn-ea"/>
              <a:cs typeface="+mn-cs"/>
            </a:rPr>
            <a:t>(see Cell E26)</a:t>
          </a:r>
          <a:r>
            <a:rPr lang="en-US" sz="1100">
              <a:solidFill>
                <a:schemeClr val="dk1"/>
              </a:solidFill>
              <a:effectLst/>
              <a:latin typeface="+mn-lt"/>
              <a:ea typeface="+mn-ea"/>
              <a:cs typeface="+mn-cs"/>
            </a:rPr>
            <a:t>.</a:t>
          </a:r>
        </a:p>
        <a:p>
          <a:pPr lvl="0"/>
          <a:endParaRPr lang="en-US"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Sheet 4 column contents:</a:t>
          </a:r>
        </a:p>
        <a:p>
          <a:pPr lvl="0"/>
          <a:r>
            <a:rPr lang="en-US" sz="1100" b="1">
              <a:solidFill>
                <a:schemeClr val="dk1"/>
              </a:solidFill>
              <a:effectLst/>
              <a:latin typeface="+mn-lt"/>
              <a:ea typeface="+mn-ea"/>
              <a:cs typeface="+mn-cs"/>
            </a:rPr>
            <a:t>Year</a:t>
          </a:r>
          <a:r>
            <a:rPr lang="en-US" sz="1100">
              <a:solidFill>
                <a:schemeClr val="dk1"/>
              </a:solidFill>
              <a:effectLst/>
              <a:latin typeface="+mn-lt"/>
              <a:ea typeface="+mn-ea"/>
              <a:cs typeface="+mn-cs"/>
            </a:rPr>
            <a:t> = grouped into ranges: 2025-2029; 2030-2039; 2040-2049;</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FOWTs</a:t>
          </a:r>
          <a:r>
            <a:rPr lang="en-US" sz="1100">
              <a:solidFill>
                <a:schemeClr val="dk1"/>
              </a:solidFill>
              <a:effectLst/>
              <a:latin typeface="+mn-lt"/>
              <a:ea typeface="+mn-ea"/>
              <a:cs typeface="+mn-cs"/>
            </a:rPr>
            <a:t> = number of floating offshore wind turbines installed annually;</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MW/FOWT</a:t>
          </a:r>
          <a:r>
            <a:rPr lang="en-US" sz="1100">
              <a:solidFill>
                <a:schemeClr val="dk1"/>
              </a:solidFill>
              <a:effectLst/>
              <a:latin typeface="+mn-lt"/>
              <a:ea typeface="+mn-ea"/>
              <a:cs typeface="+mn-cs"/>
            </a:rPr>
            <a:t> = size of floating offshore wind turbine in MW;</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MW/y</a:t>
          </a:r>
          <a:r>
            <a:rPr lang="en-US" sz="1100">
              <a:solidFill>
                <a:schemeClr val="dk1"/>
              </a:solidFill>
              <a:effectLst/>
              <a:latin typeface="+mn-lt"/>
              <a:ea typeface="+mn-ea"/>
              <a:cs typeface="+mn-cs"/>
            </a:rPr>
            <a:t> = (FOWTs)(MW/FOWT); and</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Total MW</a:t>
          </a:r>
          <a:r>
            <a:rPr lang="en-US" sz="1100">
              <a:solidFill>
                <a:schemeClr val="dk1"/>
              </a:solidFill>
              <a:effectLst/>
              <a:latin typeface="+mn-lt"/>
              <a:ea typeface="+mn-ea"/>
              <a:cs typeface="+mn-cs"/>
            </a:rPr>
            <a:t> = cumulative number of MW deployed in a given year.</a:t>
          </a:r>
          <a:endParaRPr lang="en-US" sz="1600">
            <a:solidFill>
              <a:schemeClr val="dk1"/>
            </a:solidFill>
            <a:effectLst/>
            <a:latin typeface="+mn-lt"/>
            <a:ea typeface="+mn-ea"/>
            <a:cs typeface="+mn-cs"/>
          </a:endParaRPr>
        </a:p>
        <a:p>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8660</xdr:colOff>
      <xdr:row>1</xdr:row>
      <xdr:rowOff>8659</xdr:rowOff>
    </xdr:from>
    <xdr:to>
      <xdr:col>14</xdr:col>
      <xdr:colOff>17319</xdr:colOff>
      <xdr:row>21</xdr:row>
      <xdr:rowOff>17318</xdr:rowOff>
    </xdr:to>
    <xdr:sp macro="" textlink="">
      <xdr:nvSpPr>
        <xdr:cNvPr id="2" name="TextBox 1">
          <a:extLst>
            <a:ext uri="{FF2B5EF4-FFF2-40B4-BE49-F238E27FC236}">
              <a16:creationId xmlns:a16="http://schemas.microsoft.com/office/drawing/2014/main" id="{DD92335E-C8D8-44FF-9E02-D5503AC2A3A9}"/>
            </a:ext>
          </a:extLst>
        </xdr:cNvPr>
        <xdr:cNvSpPr txBox="1"/>
      </xdr:nvSpPr>
      <xdr:spPr>
        <a:xfrm>
          <a:off x="4649933" y="199159"/>
          <a:ext cx="7342909" cy="38186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Salem FOWT deployments without EPA Award</a:t>
          </a:r>
          <a:endParaRPr lang="en-US">
            <a:effectLst/>
          </a:endParaRPr>
        </a:p>
        <a:p>
          <a:r>
            <a:rPr lang="en-US" sz="1100" b="1">
              <a:solidFill>
                <a:schemeClr val="dk1"/>
              </a:solidFill>
              <a:effectLst/>
              <a:latin typeface="+mn-lt"/>
              <a:ea typeface="+mn-ea"/>
              <a:cs typeface="+mn-cs"/>
            </a:rPr>
            <a:t>Calculation Process</a:t>
          </a:r>
          <a:endParaRPr lang="en-US">
            <a:effectLst/>
          </a:endParaRPr>
        </a:p>
        <a:p>
          <a:pPr lvl="0"/>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1. Salem begins to deploy floating offshore wind in 2040 with ten 20 MW FOWTs.</a:t>
          </a:r>
        </a:p>
        <a:p>
          <a:pPr lvl="0"/>
          <a:r>
            <a:rPr lang="en-US" sz="1100">
              <a:solidFill>
                <a:schemeClr val="dk1"/>
              </a:solidFill>
              <a:effectLst/>
              <a:latin typeface="+mn-lt"/>
              <a:ea typeface="+mn-ea"/>
              <a:cs typeface="+mn-cs"/>
            </a:rPr>
            <a:t>2. Deployment capacity increases by one FOWT per year up to 19 OWTs in 2049.</a:t>
          </a:r>
        </a:p>
        <a:p>
          <a:pPr lvl="0"/>
          <a:r>
            <a:rPr lang="en-US" sz="1100">
              <a:solidFill>
                <a:schemeClr val="dk1"/>
              </a:solidFill>
              <a:effectLst/>
              <a:latin typeface="+mn-lt"/>
              <a:ea typeface="+mn-ea"/>
              <a:cs typeface="+mn-cs"/>
            </a:rPr>
            <a:t>3. This deployment scenario reaches a total of 2900 MW by the end of 2049 </a:t>
          </a:r>
          <a:r>
            <a:rPr lang="en-US" sz="1100" b="1">
              <a:solidFill>
                <a:schemeClr val="dk1"/>
              </a:solidFill>
              <a:effectLst/>
              <a:latin typeface="+mn-lt"/>
              <a:ea typeface="+mn-ea"/>
              <a:cs typeface="+mn-cs"/>
            </a:rPr>
            <a:t>(see Cell</a:t>
          </a:r>
          <a:r>
            <a:rPr lang="en-US" sz="1100" b="1" baseline="0">
              <a:solidFill>
                <a:schemeClr val="dk1"/>
              </a:solidFill>
              <a:effectLst/>
              <a:latin typeface="+mn-lt"/>
              <a:ea typeface="+mn-ea"/>
              <a:cs typeface="+mn-cs"/>
            </a:rPr>
            <a:t> E26</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a:t>
          </a:r>
        </a:p>
        <a:p>
          <a:pPr lvl="0"/>
          <a:endParaRPr lang="en-US"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Sheet 5 column contents:</a:t>
          </a:r>
        </a:p>
        <a:p>
          <a:pPr lvl="0"/>
          <a:r>
            <a:rPr lang="en-US" sz="1100" b="1">
              <a:solidFill>
                <a:schemeClr val="dk1"/>
              </a:solidFill>
              <a:effectLst/>
              <a:latin typeface="+mn-lt"/>
              <a:ea typeface="+mn-ea"/>
              <a:cs typeface="+mn-cs"/>
            </a:rPr>
            <a:t>Year</a:t>
          </a:r>
          <a:r>
            <a:rPr lang="en-US" sz="1100">
              <a:solidFill>
                <a:schemeClr val="dk1"/>
              </a:solidFill>
              <a:effectLst/>
              <a:latin typeface="+mn-lt"/>
              <a:ea typeface="+mn-ea"/>
              <a:cs typeface="+mn-cs"/>
            </a:rPr>
            <a:t> = grouped into ranges: 2025-2029; 2030-2039; 2040-2049;</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FOWTs</a:t>
          </a:r>
          <a:r>
            <a:rPr lang="en-US" sz="1100">
              <a:solidFill>
                <a:schemeClr val="dk1"/>
              </a:solidFill>
              <a:effectLst/>
              <a:latin typeface="+mn-lt"/>
              <a:ea typeface="+mn-ea"/>
              <a:cs typeface="+mn-cs"/>
            </a:rPr>
            <a:t> = number of floating offshore wind turbines installed annually;</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MW/FOWT</a:t>
          </a:r>
          <a:r>
            <a:rPr lang="en-US" sz="1100">
              <a:solidFill>
                <a:schemeClr val="dk1"/>
              </a:solidFill>
              <a:effectLst/>
              <a:latin typeface="+mn-lt"/>
              <a:ea typeface="+mn-ea"/>
              <a:cs typeface="+mn-cs"/>
            </a:rPr>
            <a:t> = size of floating offshore wind turbine in MW;</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MW/y</a:t>
          </a:r>
          <a:r>
            <a:rPr lang="en-US" sz="1100">
              <a:solidFill>
                <a:schemeClr val="dk1"/>
              </a:solidFill>
              <a:effectLst/>
              <a:latin typeface="+mn-lt"/>
              <a:ea typeface="+mn-ea"/>
              <a:cs typeface="+mn-cs"/>
            </a:rPr>
            <a:t> = (FOWTs)(MW/FOWT); and</a:t>
          </a:r>
          <a:endParaRPr lang="en-US" sz="1600">
            <a:solidFill>
              <a:schemeClr val="dk1"/>
            </a:solidFill>
            <a:effectLst/>
            <a:latin typeface="+mn-lt"/>
            <a:ea typeface="+mn-ea"/>
            <a:cs typeface="+mn-cs"/>
          </a:endParaRPr>
        </a:p>
        <a:p>
          <a:pPr lvl="0"/>
          <a:r>
            <a:rPr lang="en-US" sz="1100" b="1">
              <a:solidFill>
                <a:schemeClr val="dk1"/>
              </a:solidFill>
              <a:effectLst/>
              <a:latin typeface="+mn-lt"/>
              <a:ea typeface="+mn-ea"/>
              <a:cs typeface="+mn-cs"/>
            </a:rPr>
            <a:t>Total MW</a:t>
          </a:r>
          <a:r>
            <a:rPr lang="en-US" sz="1100">
              <a:solidFill>
                <a:schemeClr val="dk1"/>
              </a:solidFill>
              <a:effectLst/>
              <a:latin typeface="+mn-lt"/>
              <a:ea typeface="+mn-ea"/>
              <a:cs typeface="+mn-cs"/>
            </a:rPr>
            <a:t> = cumulative number of MW deployed in a given year.</a:t>
          </a:r>
          <a:endParaRPr lang="en-US" sz="1600">
            <a:solidFill>
              <a:schemeClr val="dk1"/>
            </a:solidFill>
            <a:effectLst/>
            <a:latin typeface="+mn-lt"/>
            <a:ea typeface="+mn-ea"/>
            <a:cs typeface="+mn-cs"/>
          </a:endParaRPr>
        </a:p>
        <a:p>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9525</xdr:colOff>
      <xdr:row>1</xdr:row>
      <xdr:rowOff>0</xdr:rowOff>
    </xdr:from>
    <xdr:to>
      <xdr:col>18</xdr:col>
      <xdr:colOff>208684</xdr:colOff>
      <xdr:row>21</xdr:row>
      <xdr:rowOff>8659</xdr:rowOff>
    </xdr:to>
    <xdr:sp macro="" textlink="">
      <xdr:nvSpPr>
        <xdr:cNvPr id="3" name="TextBox 2">
          <a:extLst>
            <a:ext uri="{FF2B5EF4-FFF2-40B4-BE49-F238E27FC236}">
              <a16:creationId xmlns:a16="http://schemas.microsoft.com/office/drawing/2014/main" id="{793004FD-C496-4AD8-8A32-7CD507423858}"/>
            </a:ext>
          </a:extLst>
        </xdr:cNvPr>
        <xdr:cNvSpPr txBox="1"/>
      </xdr:nvSpPr>
      <xdr:spPr>
        <a:xfrm>
          <a:off x="5724525" y="190500"/>
          <a:ext cx="7342909" cy="381865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Synthesis of Searsport + Salem OWT and FOWT deployments in MW</a:t>
          </a:r>
        </a:p>
        <a:p>
          <a:r>
            <a:rPr lang="en-US" sz="1100" b="1">
              <a:solidFill>
                <a:schemeClr val="dk1"/>
              </a:solidFill>
              <a:effectLst/>
              <a:latin typeface="+mn-lt"/>
              <a:ea typeface="+mn-ea"/>
              <a:cs typeface="+mn-cs"/>
            </a:rPr>
            <a:t>Calculation Process</a:t>
          </a:r>
        </a:p>
        <a:p>
          <a:endParaRPr lang="en-US" sz="1100" b="1">
            <a:solidFill>
              <a:schemeClr val="dk1"/>
            </a:solidFill>
            <a:effectLst/>
            <a:latin typeface="+mn-lt"/>
            <a:ea typeface="+mn-ea"/>
            <a:cs typeface="+mn-cs"/>
          </a:endParaRPr>
        </a:p>
        <a:p>
          <a:pPr lvl="0"/>
          <a:r>
            <a:rPr lang="en-US" sz="1100">
              <a:solidFill>
                <a:schemeClr val="dk1"/>
              </a:solidFill>
              <a:effectLst/>
              <a:latin typeface="+mn-lt"/>
              <a:ea typeface="+mn-ea"/>
              <a:cs typeface="+mn-cs"/>
            </a:rPr>
            <a:t>1. Searsport assists OWT deployment with 150 MW in 2028 and 195 MW in 2029 for a cumulative total of 345 MW by 2029.</a:t>
          </a:r>
        </a:p>
        <a:p>
          <a:pPr lvl="0"/>
          <a:r>
            <a:rPr lang="en-US" sz="1100">
              <a:solidFill>
                <a:schemeClr val="dk1"/>
              </a:solidFill>
              <a:effectLst/>
              <a:latin typeface="+mn-lt"/>
              <a:ea typeface="+mn-ea"/>
              <a:cs typeface="+mn-cs"/>
            </a:rPr>
            <a:t>2. Total cumulative OWT and FOWT deployments reach 13330 MW by end of 2049 with the EPA-CPRG Award.</a:t>
          </a:r>
        </a:p>
        <a:p>
          <a:pPr lvl="0"/>
          <a:r>
            <a:rPr lang="en-US" sz="1100">
              <a:solidFill>
                <a:schemeClr val="dk1"/>
              </a:solidFill>
              <a:effectLst/>
              <a:latin typeface="+mn-lt"/>
              <a:ea typeface="+mn-ea"/>
              <a:cs typeface="+mn-cs"/>
            </a:rPr>
            <a:t>3. Total cumulative OWT and FOWT deployments reach 8875 MW by end of 2049 without the EPA-CPRG Award.</a:t>
          </a:r>
        </a:p>
        <a:p>
          <a:pPr lvl="0"/>
          <a:r>
            <a:rPr lang="en-US" sz="1100">
              <a:solidFill>
                <a:schemeClr val="dk1"/>
              </a:solidFill>
              <a:effectLst/>
              <a:latin typeface="+mn-lt"/>
              <a:ea typeface="+mn-ea"/>
              <a:cs typeface="+mn-cs"/>
            </a:rPr>
            <a:t>4. Annual impact of EPA-CPRG Award = (</a:t>
          </a:r>
          <a:r>
            <a:rPr lang="en-US" sz="1100" b="1">
              <a:solidFill>
                <a:schemeClr val="dk1"/>
              </a:solidFill>
              <a:effectLst/>
              <a:latin typeface="+mn-lt"/>
              <a:ea typeface="+mn-ea"/>
              <a:cs typeface="+mn-cs"/>
            </a:rPr>
            <a:t>Total+EPA</a:t>
          </a:r>
          <a:r>
            <a:rPr lang="en-US" sz="1100">
              <a:solidFill>
                <a:schemeClr val="dk1"/>
              </a:solidFill>
              <a:effectLst/>
              <a:latin typeface="+mn-lt"/>
              <a:ea typeface="+mn-ea"/>
              <a:cs typeface="+mn-cs"/>
            </a:rPr>
            <a:t>) – (</a:t>
          </a:r>
          <a:r>
            <a:rPr lang="en-US" sz="1100" b="1">
              <a:solidFill>
                <a:schemeClr val="dk1"/>
              </a:solidFill>
              <a:effectLst/>
              <a:latin typeface="+mn-lt"/>
              <a:ea typeface="+mn-ea"/>
              <a:cs typeface="+mn-cs"/>
            </a:rPr>
            <a:t>Total-EPA</a:t>
          </a:r>
          <a:r>
            <a:rPr lang="en-US" sz="1100">
              <a:solidFill>
                <a:schemeClr val="dk1"/>
              </a:solidFill>
              <a:effectLst/>
              <a:latin typeface="+mn-lt"/>
              <a:ea typeface="+mn-ea"/>
              <a:cs typeface="+mn-cs"/>
            </a:rPr>
            <a:t>).</a:t>
          </a:r>
        </a:p>
        <a:p>
          <a:pPr lvl="0"/>
          <a:r>
            <a:rPr lang="en-US" sz="1100">
              <a:solidFill>
                <a:schemeClr val="dk1"/>
              </a:solidFill>
              <a:effectLst/>
              <a:latin typeface="+mn-lt"/>
              <a:ea typeface="+mn-ea"/>
              <a:cs typeface="+mn-cs"/>
            </a:rPr>
            <a:t>5.</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For example, in year 2049, the impact of the EPA-CPRG Award = 13330 MW – 8875 MW = 4455 MW.</a:t>
          </a:r>
        </a:p>
        <a:p>
          <a:pPr lvl="0"/>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Sheet 6 column</a:t>
          </a:r>
          <a:r>
            <a:rPr lang="en-US" sz="1100" b="1" baseline="0">
              <a:solidFill>
                <a:schemeClr val="dk1"/>
              </a:solidFill>
              <a:effectLst/>
              <a:latin typeface="+mn-lt"/>
              <a:ea typeface="+mn-ea"/>
              <a:cs typeface="+mn-cs"/>
            </a:rPr>
            <a:t> contents</a:t>
          </a:r>
          <a:r>
            <a:rPr lang="en-US" sz="1100" b="1">
              <a:solidFill>
                <a:schemeClr val="dk1"/>
              </a:solidFill>
              <a:effectLst/>
              <a:latin typeface="+mn-lt"/>
              <a:ea typeface="+mn-ea"/>
              <a:cs typeface="+mn-cs"/>
            </a:rPr>
            <a:t>:</a:t>
          </a:r>
          <a:endParaRPr lang="en-US" b="1">
            <a:effectLst/>
          </a:endParaRPr>
        </a:p>
        <a:p>
          <a:r>
            <a:rPr lang="en-US" sz="1100" b="1">
              <a:solidFill>
                <a:schemeClr val="dk1"/>
              </a:solidFill>
              <a:effectLst/>
              <a:latin typeface="+mn-lt"/>
              <a:ea typeface="+mn-ea"/>
              <a:cs typeface="+mn-cs"/>
            </a:rPr>
            <a:t>Year</a:t>
          </a:r>
          <a:r>
            <a:rPr lang="en-US" sz="1100">
              <a:solidFill>
                <a:schemeClr val="dk1"/>
              </a:solidFill>
              <a:effectLst/>
              <a:latin typeface="+mn-lt"/>
              <a:ea typeface="+mn-ea"/>
              <a:cs typeface="+mn-cs"/>
            </a:rPr>
            <a:t> = grouped into ranges: 2025-2029; 2030-2039; 2040-2049;</a:t>
          </a:r>
          <a:endParaRPr lang="en-US">
            <a:effectLst/>
          </a:endParaRPr>
        </a:p>
        <a:p>
          <a:r>
            <a:rPr lang="en-US" sz="1100" b="1">
              <a:solidFill>
                <a:schemeClr val="dk1"/>
              </a:solidFill>
              <a:effectLst/>
              <a:latin typeface="+mn-lt"/>
              <a:ea typeface="+mn-ea"/>
              <a:cs typeface="+mn-cs"/>
            </a:rPr>
            <a:t>Sears+EPA</a:t>
          </a:r>
          <a:r>
            <a:rPr lang="en-US" sz="1100">
              <a:solidFill>
                <a:schemeClr val="dk1"/>
              </a:solidFill>
              <a:effectLst/>
              <a:latin typeface="+mn-lt"/>
              <a:ea typeface="+mn-ea"/>
              <a:cs typeface="+mn-cs"/>
            </a:rPr>
            <a:t> = Searsport fixed (OWT) and floating (FOWT) cumulative deployments with EPA Award (see Sheets</a:t>
          </a:r>
          <a:r>
            <a:rPr lang="en-US" sz="1100" baseline="0">
              <a:solidFill>
                <a:schemeClr val="dk1"/>
              </a:solidFill>
              <a:effectLst/>
              <a:latin typeface="+mn-lt"/>
              <a:ea typeface="+mn-ea"/>
              <a:cs typeface="+mn-cs"/>
            </a:rPr>
            <a:t> 1 and </a:t>
          </a:r>
          <a:r>
            <a:rPr lang="en-US" sz="1100">
              <a:solidFill>
                <a:schemeClr val="dk1"/>
              </a:solidFill>
              <a:effectLst/>
              <a:latin typeface="+mn-lt"/>
              <a:ea typeface="+mn-ea"/>
              <a:cs typeface="+mn-cs"/>
            </a:rPr>
            <a:t>2);</a:t>
          </a:r>
          <a:endParaRPr lang="en-US">
            <a:effectLst/>
          </a:endParaRPr>
        </a:p>
        <a:p>
          <a:r>
            <a:rPr lang="en-US" sz="1100" b="1">
              <a:solidFill>
                <a:schemeClr val="dk1"/>
              </a:solidFill>
              <a:effectLst/>
              <a:latin typeface="+mn-lt"/>
              <a:ea typeface="+mn-ea"/>
              <a:cs typeface="+mn-cs"/>
            </a:rPr>
            <a:t>Salem+EPA</a:t>
          </a:r>
          <a:r>
            <a:rPr lang="en-US" sz="1100">
              <a:solidFill>
                <a:schemeClr val="dk1"/>
              </a:solidFill>
              <a:effectLst/>
              <a:latin typeface="+mn-lt"/>
              <a:ea typeface="+mn-ea"/>
              <a:cs typeface="+mn-cs"/>
            </a:rPr>
            <a:t> = Salem cumulative FOWT deployments with EPA Award (see Sheet 3);</a:t>
          </a:r>
          <a:endParaRPr lang="en-US">
            <a:effectLst/>
          </a:endParaRPr>
        </a:p>
        <a:p>
          <a:r>
            <a:rPr lang="en-US" sz="1100" b="1">
              <a:solidFill>
                <a:schemeClr val="dk1"/>
              </a:solidFill>
              <a:effectLst/>
              <a:latin typeface="+mn-lt"/>
              <a:ea typeface="+mn-ea"/>
              <a:cs typeface="+mn-cs"/>
            </a:rPr>
            <a:t>Total+EPA</a:t>
          </a:r>
          <a:r>
            <a:rPr lang="en-US" sz="1100">
              <a:solidFill>
                <a:schemeClr val="dk1"/>
              </a:solidFill>
              <a:effectLst/>
              <a:latin typeface="+mn-lt"/>
              <a:ea typeface="+mn-ea"/>
              <a:cs typeface="+mn-cs"/>
            </a:rPr>
            <a:t> = sum of Searsport + Salem cumulative OWT and FOWT deployments with EPA Award;</a:t>
          </a:r>
          <a:endParaRPr lang="en-US">
            <a:effectLst/>
          </a:endParaRPr>
        </a:p>
        <a:p>
          <a:r>
            <a:rPr lang="en-US" sz="1100" b="1">
              <a:solidFill>
                <a:schemeClr val="dk1"/>
              </a:solidFill>
              <a:effectLst/>
              <a:latin typeface="+mn-lt"/>
              <a:ea typeface="+mn-ea"/>
              <a:cs typeface="+mn-cs"/>
            </a:rPr>
            <a:t>Sears-EPA</a:t>
          </a:r>
          <a:r>
            <a:rPr lang="en-US" sz="1100">
              <a:solidFill>
                <a:schemeClr val="dk1"/>
              </a:solidFill>
              <a:effectLst/>
              <a:latin typeface="+mn-lt"/>
              <a:ea typeface="+mn-ea"/>
              <a:cs typeface="+mn-cs"/>
            </a:rPr>
            <a:t> = Searsport cumulative FOWT deployments without EPA Award (see Sheet 4);</a:t>
          </a:r>
          <a:endParaRPr lang="en-US">
            <a:effectLst/>
          </a:endParaRPr>
        </a:p>
        <a:p>
          <a:r>
            <a:rPr lang="en-US" sz="1100" b="1">
              <a:solidFill>
                <a:schemeClr val="dk1"/>
              </a:solidFill>
              <a:effectLst/>
              <a:latin typeface="+mn-lt"/>
              <a:ea typeface="+mn-ea"/>
              <a:cs typeface="+mn-cs"/>
            </a:rPr>
            <a:t>Salem-EPA</a:t>
          </a:r>
          <a:r>
            <a:rPr lang="en-US" sz="1100">
              <a:solidFill>
                <a:schemeClr val="dk1"/>
              </a:solidFill>
              <a:effectLst/>
              <a:latin typeface="+mn-lt"/>
              <a:ea typeface="+mn-ea"/>
              <a:cs typeface="+mn-cs"/>
            </a:rPr>
            <a:t> = Salem cumulative FOWT deployments without EPA Award (see Sheet 5); and</a:t>
          </a:r>
          <a:endParaRPr lang="en-US">
            <a:effectLst/>
          </a:endParaRPr>
        </a:p>
        <a:p>
          <a:r>
            <a:rPr lang="en-US" sz="1100" b="1">
              <a:solidFill>
                <a:schemeClr val="dk1"/>
              </a:solidFill>
              <a:effectLst/>
              <a:latin typeface="+mn-lt"/>
              <a:ea typeface="+mn-ea"/>
              <a:cs typeface="+mn-cs"/>
            </a:rPr>
            <a:t>Total-EPA</a:t>
          </a:r>
          <a:r>
            <a:rPr lang="en-US" sz="1100">
              <a:solidFill>
                <a:schemeClr val="dk1"/>
              </a:solidFill>
              <a:effectLst/>
              <a:latin typeface="+mn-lt"/>
              <a:ea typeface="+mn-ea"/>
              <a:cs typeface="+mn-cs"/>
            </a:rPr>
            <a:t> = sum of Searsport + Salem OWT and FOWT cumulative deployments without EPA Award.</a:t>
          </a:r>
        </a:p>
        <a:p>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a:extLst>
            <a:ext uri="{FF2B5EF4-FFF2-40B4-BE49-F238E27FC236}">
              <a16:creationId xmlns:a16="http://schemas.microsoft.com/office/drawing/2014/main" id="{DC9714D7-AF7F-327E-5E35-4D22355E74F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0.10606</cdr:x>
      <cdr:y>0.07778</cdr:y>
    </cdr:from>
    <cdr:to>
      <cdr:x>0.74222</cdr:x>
      <cdr:y>0.33646</cdr:y>
    </cdr:to>
    <cdr:sp macro="" textlink="">
      <cdr:nvSpPr>
        <cdr:cNvPr id="2" name="TextBox 1">
          <a:extLst xmlns:a="http://schemas.openxmlformats.org/drawingml/2006/main">
            <a:ext uri="{FF2B5EF4-FFF2-40B4-BE49-F238E27FC236}">
              <a16:creationId xmlns:a16="http://schemas.microsoft.com/office/drawing/2014/main" id="{DD92335E-C8D8-44FF-9E02-D5503AC2A3A9}"/>
            </a:ext>
          </a:extLst>
        </cdr:cNvPr>
        <cdr:cNvSpPr txBox="1"/>
      </cdr:nvSpPr>
      <cdr:spPr>
        <a:xfrm xmlns:a="http://schemas.openxmlformats.org/drawingml/2006/main">
          <a:off x="919009" y="489120"/>
          <a:ext cx="5512474" cy="1626610"/>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b="1">
              <a:solidFill>
                <a:schemeClr val="dk1"/>
              </a:solidFill>
              <a:effectLst/>
              <a:latin typeface="+mn-lt"/>
              <a:ea typeface="+mn-ea"/>
              <a:cs typeface="+mn-cs"/>
            </a:rPr>
            <a:t>Synthesis of Searsport + Salem OWT and FOWT deployments in MW</a:t>
          </a:r>
          <a:endParaRPr lang="en-US" sz="900">
            <a:effectLst/>
          </a:endParaRPr>
        </a:p>
        <a:p xmlns:a="http://schemas.openxmlformats.org/drawingml/2006/main">
          <a:r>
            <a:rPr lang="en-US" sz="900" b="1">
              <a:solidFill>
                <a:schemeClr val="dk1"/>
              </a:solidFill>
              <a:effectLst/>
              <a:latin typeface="+mn-lt"/>
              <a:ea typeface="+mn-ea"/>
              <a:cs typeface="+mn-cs"/>
            </a:rPr>
            <a:t>Graphic Representation of data</a:t>
          </a:r>
          <a:r>
            <a:rPr lang="en-US" sz="900" b="1" baseline="0">
              <a:solidFill>
                <a:schemeClr val="dk1"/>
              </a:solidFill>
              <a:effectLst/>
              <a:latin typeface="+mn-lt"/>
              <a:ea typeface="+mn-ea"/>
              <a:cs typeface="+mn-cs"/>
            </a:rPr>
            <a:t> presented in Sheet 6</a:t>
          </a:r>
          <a:endParaRPr lang="en-US" sz="900" b="1">
            <a:solidFill>
              <a:schemeClr val="dk1"/>
            </a:solidFill>
            <a:effectLst/>
            <a:latin typeface="+mn-lt"/>
            <a:ea typeface="+mn-ea"/>
            <a:cs typeface="+mn-cs"/>
          </a:endParaRPr>
        </a:p>
        <a:p xmlns:a="http://schemas.openxmlformats.org/drawingml/2006/main">
          <a:endParaRPr lang="en-US" sz="900">
            <a:effectLst/>
          </a:endParaRPr>
        </a:p>
        <a:p xmlns:a="http://schemas.openxmlformats.org/drawingml/2006/main">
          <a:r>
            <a:rPr lang="en-US" sz="900">
              <a:solidFill>
                <a:schemeClr val="dk1"/>
              </a:solidFill>
              <a:effectLst/>
              <a:latin typeface="+mn-lt"/>
              <a:ea typeface="+mn-ea"/>
              <a:cs typeface="+mn-cs"/>
            </a:rPr>
            <a:t>1. Total cumulative OWT and FOWT deployments reach 13330 MW by end of 2049 with the EPA-CPRG Award.</a:t>
          </a:r>
          <a:endParaRPr lang="en-US" sz="900">
            <a:effectLst/>
          </a:endParaRPr>
        </a:p>
        <a:p xmlns:a="http://schemas.openxmlformats.org/drawingml/2006/main">
          <a:r>
            <a:rPr lang="en-US" sz="900">
              <a:solidFill>
                <a:schemeClr val="dk1"/>
              </a:solidFill>
              <a:effectLst/>
              <a:latin typeface="+mn-lt"/>
              <a:ea typeface="+mn-ea"/>
              <a:cs typeface="+mn-cs"/>
            </a:rPr>
            <a:t>2. Total cumulative OWT and FOWT deployments reach 8875 MW by end of 2049 without the EPA-CPRG Award.</a:t>
          </a:r>
          <a:endParaRPr lang="en-US" sz="900">
            <a:effectLst/>
          </a:endParaRPr>
        </a:p>
        <a:p xmlns:a="http://schemas.openxmlformats.org/drawingml/2006/main">
          <a:r>
            <a:rPr lang="en-US" sz="900">
              <a:solidFill>
                <a:schemeClr val="dk1"/>
              </a:solidFill>
              <a:effectLst/>
              <a:latin typeface="+mn-lt"/>
              <a:ea typeface="+mn-ea"/>
              <a:cs typeface="+mn-cs"/>
            </a:rPr>
            <a:t>3. Annual impact of EPA-CPRG Award = (</a:t>
          </a:r>
          <a:r>
            <a:rPr lang="en-US" sz="900" b="1">
              <a:solidFill>
                <a:schemeClr val="dk1"/>
              </a:solidFill>
              <a:effectLst/>
              <a:latin typeface="+mn-lt"/>
              <a:ea typeface="+mn-ea"/>
              <a:cs typeface="+mn-cs"/>
            </a:rPr>
            <a:t>Total+EPA</a:t>
          </a:r>
          <a:r>
            <a:rPr lang="en-US" sz="900">
              <a:solidFill>
                <a:schemeClr val="dk1"/>
              </a:solidFill>
              <a:effectLst/>
              <a:latin typeface="+mn-lt"/>
              <a:ea typeface="+mn-ea"/>
              <a:cs typeface="+mn-cs"/>
            </a:rPr>
            <a:t>) – (</a:t>
          </a:r>
          <a:r>
            <a:rPr lang="en-US" sz="900" b="1">
              <a:solidFill>
                <a:schemeClr val="dk1"/>
              </a:solidFill>
              <a:effectLst/>
              <a:latin typeface="+mn-lt"/>
              <a:ea typeface="+mn-ea"/>
              <a:cs typeface="+mn-cs"/>
            </a:rPr>
            <a:t>Total-EPA</a:t>
          </a:r>
          <a:r>
            <a:rPr lang="en-US" sz="900">
              <a:solidFill>
                <a:schemeClr val="dk1"/>
              </a:solidFill>
              <a:effectLst/>
              <a:latin typeface="+mn-lt"/>
              <a:ea typeface="+mn-ea"/>
              <a:cs typeface="+mn-cs"/>
            </a:rPr>
            <a:t>).</a:t>
          </a:r>
          <a:endParaRPr lang="en-US" sz="900">
            <a:effectLst/>
          </a:endParaRPr>
        </a:p>
        <a:p xmlns:a="http://schemas.openxmlformats.org/drawingml/2006/main">
          <a:r>
            <a:rPr lang="en-US" sz="900">
              <a:solidFill>
                <a:schemeClr val="dk1"/>
              </a:solidFill>
              <a:effectLst/>
              <a:latin typeface="+mn-lt"/>
              <a:ea typeface="+mn-ea"/>
              <a:cs typeface="+mn-cs"/>
            </a:rPr>
            <a:t>4.</a:t>
          </a:r>
          <a:r>
            <a:rPr lang="en-US" sz="900" baseline="0">
              <a:solidFill>
                <a:schemeClr val="dk1"/>
              </a:solidFill>
              <a:effectLst/>
              <a:latin typeface="+mn-lt"/>
              <a:ea typeface="+mn-ea"/>
              <a:cs typeface="+mn-cs"/>
            </a:rPr>
            <a:t> </a:t>
          </a:r>
          <a:r>
            <a:rPr lang="en-US" sz="900">
              <a:solidFill>
                <a:schemeClr val="dk1"/>
              </a:solidFill>
              <a:effectLst/>
              <a:latin typeface="+mn-lt"/>
              <a:ea typeface="+mn-ea"/>
              <a:cs typeface="+mn-cs"/>
            </a:rPr>
            <a:t>For example, in year 2049, the impact of the EPA-CPRG Award = 13330 MW – 8875 MW = 4455 MW.</a:t>
          </a:r>
        </a:p>
        <a:p xmlns:a="http://schemas.openxmlformats.org/drawingml/2006/main">
          <a:r>
            <a:rPr lang="en-US" sz="900">
              <a:solidFill>
                <a:schemeClr val="dk1"/>
              </a:solidFill>
              <a:effectLst/>
              <a:latin typeface="+mn-lt"/>
              <a:ea typeface="+mn-ea"/>
              <a:cs typeface="+mn-cs"/>
            </a:rPr>
            <a:t>5. Annual</a:t>
          </a:r>
          <a:r>
            <a:rPr lang="en-US" sz="900" baseline="0">
              <a:solidFill>
                <a:schemeClr val="dk1"/>
              </a:solidFill>
              <a:effectLst/>
              <a:latin typeface="+mn-lt"/>
              <a:ea typeface="+mn-ea"/>
              <a:cs typeface="+mn-cs"/>
            </a:rPr>
            <a:t> emissions reductions are calculated in Sheet 7 based on the difference between these two curves.</a:t>
          </a:r>
          <a:endParaRPr lang="en-US" sz="900">
            <a:effectLst/>
          </a:endParaRPr>
        </a:p>
        <a:p xmlns:a="http://schemas.openxmlformats.org/drawingml/2006/main">
          <a:endParaRPr lang="en-US" sz="900" b="1">
            <a:solidFill>
              <a:schemeClr val="dk1"/>
            </a:solidFill>
            <a:effectLst/>
            <a:latin typeface="+mn-lt"/>
            <a:ea typeface="+mn-ea"/>
            <a:cs typeface="+mn-cs"/>
          </a:endParaRPr>
        </a:p>
        <a:p xmlns:a="http://schemas.openxmlformats.org/drawingml/2006/main">
          <a:r>
            <a:rPr lang="en-US" sz="900" b="1">
              <a:solidFill>
                <a:schemeClr val="accent1"/>
              </a:solidFill>
              <a:effectLst/>
              <a:latin typeface="+mn-lt"/>
              <a:ea typeface="+mn-ea"/>
              <a:cs typeface="+mn-cs"/>
            </a:rPr>
            <a:t>Total+EPA</a:t>
          </a:r>
          <a:r>
            <a:rPr lang="en-US" sz="900">
              <a:solidFill>
                <a:schemeClr val="accent1"/>
              </a:solidFill>
              <a:effectLst/>
              <a:latin typeface="+mn-lt"/>
              <a:ea typeface="+mn-ea"/>
              <a:cs typeface="+mn-cs"/>
            </a:rPr>
            <a:t> </a:t>
          </a:r>
          <a:r>
            <a:rPr lang="en-US" sz="900">
              <a:solidFill>
                <a:schemeClr val="dk1"/>
              </a:solidFill>
              <a:effectLst/>
              <a:latin typeface="+mn-lt"/>
              <a:ea typeface="+mn-ea"/>
              <a:cs typeface="+mn-cs"/>
            </a:rPr>
            <a:t>= sum of Searsport + Salem cumulative OWT and FOWT deployments with EPA Award;</a:t>
          </a:r>
          <a:endParaRPr lang="en-US" sz="900">
            <a:effectLst/>
          </a:endParaRPr>
        </a:p>
        <a:p xmlns:a="http://schemas.openxmlformats.org/drawingml/2006/main">
          <a:r>
            <a:rPr lang="en-US" sz="900" b="1">
              <a:solidFill>
                <a:schemeClr val="dk1"/>
              </a:solidFill>
              <a:effectLst/>
              <a:latin typeface="+mn-lt"/>
              <a:ea typeface="+mn-ea"/>
              <a:cs typeface="+mn-cs"/>
            </a:rPr>
            <a:t>Total-EPA</a:t>
          </a:r>
          <a:r>
            <a:rPr lang="en-US" sz="900">
              <a:solidFill>
                <a:schemeClr val="dk1"/>
              </a:solidFill>
              <a:effectLst/>
              <a:latin typeface="+mn-lt"/>
              <a:ea typeface="+mn-ea"/>
              <a:cs typeface="+mn-cs"/>
            </a:rPr>
            <a:t> = sum of Searsport + Salem OWT and FOWT cumulative deployments without EPA Award.</a:t>
          </a:r>
          <a:endParaRPr lang="en-US" sz="900">
            <a:effectLst/>
          </a:endParaRPr>
        </a:p>
        <a:p xmlns:a="http://schemas.openxmlformats.org/drawingml/2006/main">
          <a:endParaRPr lang="en-US" sz="900"/>
        </a:p>
      </cdr:txBody>
    </cdr:sp>
  </cdr:relSizeAnchor>
</c:userShapes>
</file>

<file path=xl/drawings/drawing9.xml><?xml version="1.0" encoding="utf-8"?>
<xdr:wsDr xmlns:xdr="http://schemas.openxmlformats.org/drawingml/2006/spreadsheetDrawing" xmlns:a="http://schemas.openxmlformats.org/drawingml/2006/main">
  <xdr:twoCellAnchor>
    <xdr:from>
      <xdr:col>9</xdr:col>
      <xdr:colOff>9524</xdr:colOff>
      <xdr:row>1</xdr:row>
      <xdr:rowOff>9525</xdr:rowOff>
    </xdr:from>
    <xdr:to>
      <xdr:col>21</xdr:col>
      <xdr:colOff>447675</xdr:colOff>
      <xdr:row>29</xdr:row>
      <xdr:rowOff>19050</xdr:rowOff>
    </xdr:to>
    <xdr:sp macro="" textlink="">
      <xdr:nvSpPr>
        <xdr:cNvPr id="3" name="TextBox 2">
          <a:extLst>
            <a:ext uri="{FF2B5EF4-FFF2-40B4-BE49-F238E27FC236}">
              <a16:creationId xmlns:a16="http://schemas.microsoft.com/office/drawing/2014/main" id="{C59BD77B-A10E-4787-9292-88729A414CB5}"/>
            </a:ext>
          </a:extLst>
        </xdr:cNvPr>
        <xdr:cNvSpPr txBox="1"/>
      </xdr:nvSpPr>
      <xdr:spPr>
        <a:xfrm>
          <a:off x="7905749" y="200025"/>
          <a:ext cx="9010651" cy="534352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Emissions Reduction Calculations</a:t>
          </a:r>
        </a:p>
        <a:p>
          <a:r>
            <a:rPr lang="en-US" sz="1100" b="1">
              <a:solidFill>
                <a:schemeClr val="dk1"/>
              </a:solidFill>
              <a:effectLst/>
              <a:latin typeface="+mn-lt"/>
              <a:ea typeface="+mn-ea"/>
              <a:cs typeface="+mn-cs"/>
            </a:rPr>
            <a:t>Calculation</a:t>
          </a:r>
          <a:r>
            <a:rPr lang="en-US" sz="1100" b="1" baseline="0">
              <a:solidFill>
                <a:schemeClr val="dk1"/>
              </a:solidFill>
              <a:effectLst/>
              <a:latin typeface="+mn-lt"/>
              <a:ea typeface="+mn-ea"/>
              <a:cs typeface="+mn-cs"/>
            </a:rPr>
            <a:t> Process</a:t>
          </a:r>
        </a:p>
        <a:p>
          <a:endParaRPr lang="en-US" sz="1100" b="1" baseline="0">
            <a:solidFill>
              <a:schemeClr val="dk1"/>
            </a:solidFill>
            <a:effectLst/>
            <a:latin typeface="+mn-lt"/>
            <a:ea typeface="+mn-ea"/>
            <a:cs typeface="+mn-cs"/>
          </a:endParaRPr>
        </a:p>
        <a:p>
          <a:r>
            <a:rPr lang="en-US" sz="1100" b="0" baseline="0">
              <a:solidFill>
                <a:schemeClr val="dk1"/>
              </a:solidFill>
              <a:effectLst/>
              <a:latin typeface="+mn-lt"/>
              <a:ea typeface="+mn-ea"/>
              <a:cs typeface="+mn-cs"/>
            </a:rPr>
            <a:t>1. </a:t>
          </a:r>
          <a:r>
            <a:rPr lang="en-US" sz="1100">
              <a:solidFill>
                <a:schemeClr val="dk1"/>
              </a:solidFill>
              <a:effectLst/>
              <a:latin typeface="+mn-lt"/>
              <a:ea typeface="+mn-ea"/>
              <a:cs typeface="+mn-cs"/>
            </a:rPr>
            <a:t>Calculate the annual difference of OWT and FOWT deployments in MW by subtracting the </a:t>
          </a:r>
          <a:r>
            <a:rPr lang="en-US" sz="1100" b="1">
              <a:solidFill>
                <a:schemeClr val="dk1"/>
              </a:solidFill>
              <a:effectLst/>
              <a:latin typeface="+mn-lt"/>
              <a:ea typeface="+mn-ea"/>
              <a:cs typeface="+mn-cs"/>
            </a:rPr>
            <a:t>Total-EPA</a:t>
          </a:r>
          <a:r>
            <a:rPr lang="en-US" sz="1100">
              <a:solidFill>
                <a:schemeClr val="dk1"/>
              </a:solidFill>
              <a:effectLst/>
              <a:latin typeface="+mn-lt"/>
              <a:ea typeface="+mn-ea"/>
              <a:cs typeface="+mn-cs"/>
            </a:rPr>
            <a:t> from the </a:t>
          </a:r>
          <a:r>
            <a:rPr lang="en-US" sz="1100" b="1">
              <a:solidFill>
                <a:schemeClr val="dk1"/>
              </a:solidFill>
              <a:effectLst/>
              <a:latin typeface="+mn-lt"/>
              <a:ea typeface="+mn-ea"/>
              <a:cs typeface="+mn-cs"/>
            </a:rPr>
            <a:t>Total+EPA</a:t>
          </a:r>
          <a:r>
            <a:rPr lang="en-US" sz="1100">
              <a:solidFill>
                <a:schemeClr val="dk1"/>
              </a:solidFill>
              <a:effectLst/>
              <a:latin typeface="+mn-lt"/>
              <a:ea typeface="+mn-ea"/>
              <a:cs typeface="+mn-cs"/>
            </a:rPr>
            <a:t> columns in Sheet 6. This results in Column B in this</a:t>
          </a:r>
          <a:r>
            <a:rPr lang="en-US" sz="1100" baseline="0">
              <a:solidFill>
                <a:schemeClr val="dk1"/>
              </a:solidFill>
              <a:effectLst/>
              <a:latin typeface="+mn-lt"/>
              <a:ea typeface="+mn-ea"/>
              <a:cs typeface="+mn-cs"/>
            </a:rPr>
            <a:t> sheet</a:t>
          </a:r>
          <a:r>
            <a:rPr lang="en-US" sz="1100">
              <a:solidFill>
                <a:schemeClr val="dk1"/>
              </a:solidFill>
              <a:effectLst/>
              <a:latin typeface="+mn-lt"/>
              <a:ea typeface="+mn-ea"/>
              <a:cs typeface="+mn-cs"/>
            </a:rPr>
            <a:t> 7.</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2.</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Estimate the annual fossil fuel energy usage offset in gigawatt-hours (GWh) based on this difference and assuming a capacity factor of 50%, which is reasonable for the extremely rich offshore wind resource in the Gulf of Maine. For example, in 2049:</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(4455 MW)(0.50)(8706 h/y)/(1000 MW/GW) = 19,513 GWh/y. This means that 19,513 GWh/y of electricity in 2049 are generated by offshore wind and not by fossil fuel fired power plants, resulting in a reduction of 19,513 GWh/y of emitting</a:t>
          </a:r>
          <a:r>
            <a:rPr lang="en-US" sz="1100" baseline="0">
              <a:solidFill>
                <a:schemeClr val="dk1"/>
              </a:solidFill>
              <a:effectLst/>
              <a:latin typeface="+mn-lt"/>
              <a:ea typeface="+mn-ea"/>
              <a:cs typeface="+mn-cs"/>
            </a:rPr>
            <a:t> energy</a:t>
          </a:r>
          <a:r>
            <a:rPr lang="en-US" sz="1100">
              <a:solidFill>
                <a:schemeClr val="dk1"/>
              </a:solidFill>
              <a:effectLst/>
              <a:latin typeface="+mn-lt"/>
              <a:ea typeface="+mn-ea"/>
              <a:cs typeface="+mn-cs"/>
            </a:rPr>
            <a:t> in 2049 </a:t>
          </a:r>
          <a:r>
            <a:rPr lang="en-US" sz="1100" b="1">
              <a:solidFill>
                <a:schemeClr val="dk1"/>
              </a:solidFill>
              <a:effectLst/>
              <a:latin typeface="+mn-lt"/>
              <a:ea typeface="+mn-ea"/>
              <a:cs typeface="+mn-cs"/>
            </a:rPr>
            <a:t>(see Cell C27)</a:t>
          </a:r>
          <a:r>
            <a:rPr lang="en-US" sz="1100">
              <a:solidFill>
                <a:schemeClr val="dk1"/>
              </a:solidFill>
              <a:effectLst/>
              <a:latin typeface="+mn-lt"/>
              <a:ea typeface="+mn-ea"/>
              <a:cs typeface="+mn-cs"/>
            </a:rPr>
            <a:t>.</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3.</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Determine emissions reductions based on the GWh and reduction coefficient estimated for a given year. See Emissions Coefficients in Sheet 8.</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4. Total CO2e emissions reductions</a:t>
          </a:r>
          <a:r>
            <a:rPr lang="en-US" sz="1100" baseline="0">
              <a:solidFill>
                <a:schemeClr val="dk1"/>
              </a:solidFill>
              <a:effectLst/>
              <a:latin typeface="+mn-lt"/>
              <a:ea typeface="+mn-ea"/>
              <a:cs typeface="+mn-cs"/>
            </a:rPr>
            <a:t> between 2025-2050 = 50,870,067 MMT </a:t>
          </a:r>
          <a:r>
            <a:rPr lang="en-US" sz="1100" b="1" baseline="0">
              <a:solidFill>
                <a:schemeClr val="dk1"/>
              </a:solidFill>
              <a:effectLst/>
              <a:latin typeface="+mn-lt"/>
              <a:ea typeface="+mn-ea"/>
              <a:cs typeface="+mn-cs"/>
            </a:rPr>
            <a:t>(see Cell C28)</a:t>
          </a:r>
          <a:r>
            <a:rPr lang="en-US" sz="1100" baseline="0">
              <a:solidFill>
                <a:schemeClr val="dk1"/>
              </a:solidFill>
              <a:effectLst/>
              <a:latin typeface="+mn-lt"/>
              <a:ea typeface="+mn-ea"/>
              <a:cs typeface="+mn-cs"/>
            </a:rPr>
            <a:t>.</a:t>
          </a:r>
          <a:endParaRPr lang="en-US" sz="1100">
            <a:solidFill>
              <a:schemeClr val="dk1"/>
            </a:solidFill>
            <a:effectLst/>
            <a:latin typeface="+mn-lt"/>
            <a:ea typeface="+mn-ea"/>
            <a:cs typeface="+mn-cs"/>
          </a:endParaRPr>
        </a:p>
        <a:p>
          <a:endParaRPr lang="en-US" sz="1100"/>
        </a:p>
        <a:p>
          <a:r>
            <a:rPr lang="en-US" sz="1100" b="1">
              <a:solidFill>
                <a:schemeClr val="dk1"/>
              </a:solidFill>
              <a:effectLst/>
              <a:latin typeface="+mn-lt"/>
              <a:ea typeface="+mn-ea"/>
              <a:cs typeface="+mn-cs"/>
            </a:rPr>
            <a:t>Sheet 7 column</a:t>
          </a:r>
          <a:r>
            <a:rPr lang="en-US" sz="1100" b="1" baseline="0">
              <a:solidFill>
                <a:schemeClr val="dk1"/>
              </a:solidFill>
              <a:effectLst/>
              <a:latin typeface="+mn-lt"/>
              <a:ea typeface="+mn-ea"/>
              <a:cs typeface="+mn-cs"/>
            </a:rPr>
            <a:t> contents</a:t>
          </a:r>
          <a:r>
            <a:rPr lang="en-US" sz="1100" b="1">
              <a:solidFill>
                <a:schemeClr val="dk1"/>
              </a:solidFill>
              <a:effectLst/>
              <a:latin typeface="+mn-lt"/>
              <a:ea typeface="+mn-ea"/>
              <a:cs typeface="+mn-cs"/>
            </a:rPr>
            <a:t>:</a:t>
          </a:r>
          <a:endParaRPr lang="en-US" b="1">
            <a:effectLst/>
          </a:endParaRPr>
        </a:p>
        <a:p>
          <a:r>
            <a:rPr lang="en-US" sz="1100" b="1">
              <a:solidFill>
                <a:schemeClr val="dk1"/>
              </a:solidFill>
              <a:effectLst/>
              <a:latin typeface="+mn-lt"/>
              <a:ea typeface="+mn-ea"/>
              <a:cs typeface="+mn-cs"/>
            </a:rPr>
            <a:t>Year</a:t>
          </a:r>
          <a:r>
            <a:rPr lang="en-US" sz="1100">
              <a:solidFill>
                <a:schemeClr val="dk1"/>
              </a:solidFill>
              <a:effectLst/>
              <a:latin typeface="+mn-lt"/>
              <a:ea typeface="+mn-ea"/>
              <a:cs typeface="+mn-cs"/>
            </a:rPr>
            <a:t> = grouped into ranges: 2025-2029; 2030-2039; 2040-2049;</a:t>
          </a:r>
          <a:endParaRPr lang="en-US">
            <a:effectLst/>
          </a:endParaRPr>
        </a:p>
        <a:p>
          <a:r>
            <a:rPr lang="en-US" sz="1100" b="1">
              <a:solidFill>
                <a:schemeClr val="dk1"/>
              </a:solidFill>
              <a:effectLst/>
              <a:latin typeface="+mn-lt"/>
              <a:ea typeface="+mn-ea"/>
              <a:cs typeface="+mn-cs"/>
            </a:rPr>
            <a:t>Difference:</a:t>
          </a:r>
          <a:r>
            <a:rPr lang="en-US" sz="1100" b="1" baseline="0">
              <a:solidFill>
                <a:schemeClr val="dk1"/>
              </a:solidFill>
              <a:effectLst/>
              <a:latin typeface="+mn-lt"/>
              <a:ea typeface="+mn-ea"/>
              <a:cs typeface="+mn-cs"/>
            </a:rPr>
            <a:t> +EPA-EPA</a:t>
          </a:r>
          <a:r>
            <a:rPr lang="en-US" sz="1100" b="0" baseline="0">
              <a:solidFill>
                <a:schemeClr val="dk1"/>
              </a:solidFill>
              <a:effectLst/>
              <a:latin typeface="+mn-lt"/>
              <a:ea typeface="+mn-ea"/>
              <a:cs typeface="+mn-cs"/>
            </a:rPr>
            <a:t> = </a:t>
          </a:r>
          <a:r>
            <a:rPr lang="en-US" sz="1100">
              <a:solidFill>
                <a:schemeClr val="dk1"/>
              </a:solidFill>
              <a:effectLst/>
              <a:latin typeface="+mn-lt"/>
              <a:ea typeface="+mn-ea"/>
              <a:cs typeface="+mn-cs"/>
            </a:rPr>
            <a:t>annual difference of OWT and FOWT deployments in MW by subtracting the </a:t>
          </a:r>
          <a:r>
            <a:rPr lang="en-US" sz="1100" b="1">
              <a:solidFill>
                <a:schemeClr val="dk1"/>
              </a:solidFill>
              <a:effectLst/>
              <a:latin typeface="+mn-lt"/>
              <a:ea typeface="+mn-ea"/>
              <a:cs typeface="+mn-cs"/>
            </a:rPr>
            <a:t>Total-EPA</a:t>
          </a:r>
          <a:r>
            <a:rPr lang="en-US" sz="1100">
              <a:solidFill>
                <a:schemeClr val="dk1"/>
              </a:solidFill>
              <a:effectLst/>
              <a:latin typeface="+mn-lt"/>
              <a:ea typeface="+mn-ea"/>
              <a:cs typeface="+mn-cs"/>
            </a:rPr>
            <a:t> from the </a:t>
          </a:r>
          <a:r>
            <a:rPr lang="en-US" sz="1100" b="1">
              <a:solidFill>
                <a:schemeClr val="dk1"/>
              </a:solidFill>
              <a:effectLst/>
              <a:latin typeface="+mn-lt"/>
              <a:ea typeface="+mn-ea"/>
              <a:cs typeface="+mn-cs"/>
            </a:rPr>
            <a:t>Total+EPA</a:t>
          </a:r>
          <a:r>
            <a:rPr lang="en-US" sz="1100">
              <a:solidFill>
                <a:schemeClr val="dk1"/>
              </a:solidFill>
              <a:effectLst/>
              <a:latin typeface="+mn-lt"/>
              <a:ea typeface="+mn-ea"/>
              <a:cs typeface="+mn-cs"/>
            </a:rPr>
            <a:t> columns in Sheet 6;</a:t>
          </a:r>
        </a:p>
        <a:p>
          <a:r>
            <a:rPr lang="en-US" sz="1100" b="1">
              <a:solidFill>
                <a:schemeClr val="dk1"/>
              </a:solidFill>
              <a:effectLst/>
              <a:latin typeface="+mn-lt"/>
              <a:ea typeface="+mn-ea"/>
              <a:cs typeface="+mn-cs"/>
            </a:rPr>
            <a:t>GWh</a:t>
          </a:r>
          <a:r>
            <a:rPr lang="en-US" sz="1100">
              <a:solidFill>
                <a:schemeClr val="dk1"/>
              </a:solidFill>
              <a:effectLst/>
              <a:latin typeface="+mn-lt"/>
              <a:ea typeface="+mn-ea"/>
              <a:cs typeface="+mn-cs"/>
            </a:rPr>
            <a:t> = Estimated</a:t>
          </a:r>
          <a:r>
            <a:rPr lang="en-US" sz="1100" baseline="0">
              <a:solidFill>
                <a:schemeClr val="dk1"/>
              </a:solidFill>
              <a:effectLst/>
              <a:latin typeface="+mn-lt"/>
              <a:ea typeface="+mn-ea"/>
              <a:cs typeface="+mn-cs"/>
            </a:rPr>
            <a:t> annual energy production from Column B based on a capacity factor of 50%.</a:t>
          </a:r>
        </a:p>
        <a:p>
          <a:r>
            <a:rPr lang="en-US" sz="1100" b="1" baseline="0">
              <a:solidFill>
                <a:schemeClr val="dk1"/>
              </a:solidFill>
              <a:effectLst/>
              <a:latin typeface="+mn-lt"/>
              <a:ea typeface="+mn-ea"/>
              <a:cs typeface="+mn-cs"/>
            </a:rPr>
            <a:t>Delta</a:t>
          </a:r>
          <a:r>
            <a:rPr lang="en-US" sz="1100" baseline="0">
              <a:solidFill>
                <a:schemeClr val="dk1"/>
              </a:solidFill>
              <a:effectLst/>
              <a:latin typeface="+mn-lt"/>
              <a:ea typeface="+mn-ea"/>
              <a:cs typeface="+mn-cs"/>
            </a:rPr>
            <a:t> = increment of added clean GWh as a fraction of the maximum GWh in Column C (Cell C27) in 2049. This same increment is used in Sheet 8 to calculate the diminished emissions reductions in lbs/MWh due to the fact that the grid has become cleaner.</a:t>
          </a:r>
        </a:p>
        <a:p>
          <a:r>
            <a:rPr lang="en-US" sz="1100" b="1">
              <a:solidFill>
                <a:schemeClr val="dk1"/>
              </a:solidFill>
              <a:effectLst/>
              <a:latin typeface="+mn-lt"/>
              <a:ea typeface="+mn-ea"/>
              <a:cs typeface="+mn-cs"/>
            </a:rPr>
            <a:t>CO2e</a:t>
          </a:r>
          <a:r>
            <a:rPr lang="en-US" sz="1100">
              <a:solidFill>
                <a:schemeClr val="dk1"/>
              </a:solidFill>
              <a:effectLst/>
              <a:latin typeface="+mn-lt"/>
              <a:ea typeface="+mn-ea"/>
              <a:cs typeface="+mn-cs"/>
            </a:rPr>
            <a:t> = Carbon Dioxide equivalent in metric tons</a:t>
          </a:r>
          <a:endParaRPr lang="en-US">
            <a:effectLst/>
          </a:endParaRPr>
        </a:p>
        <a:p>
          <a:r>
            <a:rPr lang="en-US" sz="1100" b="1">
              <a:solidFill>
                <a:schemeClr val="dk1"/>
              </a:solidFill>
              <a:effectLst/>
              <a:latin typeface="+mn-lt"/>
              <a:ea typeface="+mn-ea"/>
              <a:cs typeface="+mn-cs"/>
            </a:rPr>
            <a:t>SO2</a:t>
          </a:r>
          <a:r>
            <a:rPr lang="en-US" sz="1100">
              <a:solidFill>
                <a:schemeClr val="dk1"/>
              </a:solidFill>
              <a:effectLst/>
              <a:latin typeface="+mn-lt"/>
              <a:ea typeface="+mn-ea"/>
              <a:cs typeface="+mn-cs"/>
            </a:rPr>
            <a:t> = Sulphur Dioxide in metric tons</a:t>
          </a:r>
          <a:endParaRPr lang="en-US">
            <a:effectLst/>
          </a:endParaRPr>
        </a:p>
        <a:p>
          <a:r>
            <a:rPr lang="en-US" sz="1100" b="1">
              <a:solidFill>
                <a:schemeClr val="dk1"/>
              </a:solidFill>
              <a:effectLst/>
              <a:latin typeface="+mn-lt"/>
              <a:ea typeface="+mn-ea"/>
              <a:cs typeface="+mn-cs"/>
            </a:rPr>
            <a:t>NOx</a:t>
          </a:r>
          <a:r>
            <a:rPr lang="en-US" sz="1100">
              <a:solidFill>
                <a:schemeClr val="dk1"/>
              </a:solidFill>
              <a:effectLst/>
              <a:latin typeface="+mn-lt"/>
              <a:ea typeface="+mn-ea"/>
              <a:cs typeface="+mn-cs"/>
            </a:rPr>
            <a:t> = Nitrogen Oxide emissions in metric tons</a:t>
          </a:r>
          <a:endParaRPr lang="en-US">
            <a:effectLst/>
          </a:endParaRPr>
        </a:p>
        <a:p>
          <a:r>
            <a:rPr lang="en-US" sz="1100">
              <a:solidFill>
                <a:schemeClr val="dk1"/>
              </a:solidFill>
              <a:effectLst/>
              <a:latin typeface="+mn-lt"/>
              <a:ea typeface="+mn-ea"/>
              <a:cs typeface="+mn-cs"/>
            </a:rPr>
            <a:t>Ozone Season NOx (</a:t>
          </a:r>
          <a:r>
            <a:rPr lang="en-US" sz="1100" b="1">
              <a:solidFill>
                <a:schemeClr val="dk1"/>
              </a:solidFill>
              <a:effectLst/>
              <a:latin typeface="+mn-lt"/>
              <a:ea typeface="+mn-ea"/>
              <a:cs typeface="+mn-cs"/>
            </a:rPr>
            <a:t>OS-NOx</a:t>
          </a:r>
          <a:r>
            <a:rPr lang="en-US" sz="1100">
              <a:solidFill>
                <a:schemeClr val="dk1"/>
              </a:solidFill>
              <a:effectLst/>
              <a:latin typeface="+mn-lt"/>
              <a:ea typeface="+mn-ea"/>
              <a:cs typeface="+mn-cs"/>
            </a:rPr>
            <a:t>) = metric tons of NOx emitted during Ozone Season</a:t>
          </a:r>
          <a:endParaRPr lang="en-US">
            <a:effectLst/>
          </a:endParaRPr>
        </a:p>
        <a:p>
          <a:endParaRPr lang="en-US">
            <a:effectLst/>
          </a:endParaRPr>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0A456-1001-4DC8-AB34-5BA7DAA49232}">
  <dimension ref="A1:H27"/>
  <sheetViews>
    <sheetView zoomScale="110" zoomScaleNormal="110" workbookViewId="0">
      <selection activeCell="F6" sqref="F6:F27"/>
    </sheetView>
  </sheetViews>
  <sheetFormatPr defaultColWidth="15.6640625" defaultRowHeight="14.4" x14ac:dyDescent="0.3"/>
  <cols>
    <col min="1" max="5" width="10.6640625" style="1" customWidth="1"/>
  </cols>
  <sheetData>
    <row r="1" spans="1:8" s="1" customFormat="1" x14ac:dyDescent="0.3">
      <c r="A1" s="11" t="s">
        <v>0</v>
      </c>
      <c r="B1" s="11" t="s">
        <v>7</v>
      </c>
      <c r="C1" s="12" t="s">
        <v>3</v>
      </c>
      <c r="D1" s="12" t="s">
        <v>2</v>
      </c>
      <c r="E1" s="13" t="s">
        <v>8</v>
      </c>
      <c r="G1"/>
      <c r="H1"/>
    </row>
    <row r="2" spans="1:8" s="1" customFormat="1" x14ac:dyDescent="0.3">
      <c r="A2" s="3">
        <v>2025</v>
      </c>
      <c r="B2" s="3">
        <v>0</v>
      </c>
      <c r="C2" s="4">
        <v>0</v>
      </c>
      <c r="D2" s="5">
        <v>0</v>
      </c>
      <c r="E2" s="16">
        <v>0</v>
      </c>
      <c r="F2"/>
      <c r="G2"/>
      <c r="H2"/>
    </row>
    <row r="3" spans="1:8" s="1" customFormat="1" x14ac:dyDescent="0.3">
      <c r="A3" s="6">
        <v>2026</v>
      </c>
      <c r="B3" s="6">
        <v>0</v>
      </c>
      <c r="C3" s="1">
        <v>0</v>
      </c>
      <c r="D3" s="7">
        <v>0</v>
      </c>
      <c r="E3" s="14">
        <v>0</v>
      </c>
      <c r="F3"/>
      <c r="G3"/>
      <c r="H3"/>
    </row>
    <row r="4" spans="1:8" s="1" customFormat="1" x14ac:dyDescent="0.3">
      <c r="A4" s="6">
        <v>2027</v>
      </c>
      <c r="B4" s="6">
        <v>0</v>
      </c>
      <c r="C4" s="1">
        <v>0</v>
      </c>
      <c r="D4" s="7">
        <v>0</v>
      </c>
      <c r="E4" s="14">
        <v>0</v>
      </c>
      <c r="F4"/>
      <c r="G4"/>
      <c r="H4"/>
    </row>
    <row r="5" spans="1:8" s="1" customFormat="1" x14ac:dyDescent="0.3">
      <c r="A5" s="6">
        <v>2028</v>
      </c>
      <c r="B5" s="6">
        <v>10</v>
      </c>
      <c r="C5" s="1">
        <v>15</v>
      </c>
      <c r="D5" s="7">
        <f t="shared" ref="D5" si="0">C5*B5</f>
        <v>150</v>
      </c>
      <c r="E5" s="14">
        <f>D5</f>
        <v>150</v>
      </c>
      <c r="F5"/>
      <c r="G5"/>
      <c r="H5"/>
    </row>
    <row r="6" spans="1:8" s="1" customFormat="1" x14ac:dyDescent="0.3">
      <c r="A6" s="8">
        <v>2029</v>
      </c>
      <c r="B6" s="8">
        <v>13</v>
      </c>
      <c r="C6" s="9">
        <v>15</v>
      </c>
      <c r="D6" s="10">
        <f t="shared" ref="D6" si="1">C6*B6</f>
        <v>195</v>
      </c>
      <c r="E6" s="118">
        <f>E5+D6</f>
        <v>345</v>
      </c>
      <c r="F6" t="s">
        <v>73</v>
      </c>
      <c r="G6"/>
      <c r="H6"/>
    </row>
    <row r="7" spans="1:8" s="1" customFormat="1" x14ac:dyDescent="0.3">
      <c r="A7" s="6">
        <v>2030</v>
      </c>
      <c r="B7" s="3">
        <v>0</v>
      </c>
      <c r="C7" s="4">
        <v>0</v>
      </c>
      <c r="D7" s="4">
        <v>0</v>
      </c>
      <c r="E7" s="16">
        <v>0</v>
      </c>
      <c r="F7" t="s">
        <v>75</v>
      </c>
      <c r="G7"/>
      <c r="H7"/>
    </row>
    <row r="8" spans="1:8" s="1" customFormat="1" x14ac:dyDescent="0.3">
      <c r="A8" s="6">
        <f t="shared" ref="A8:A23" si="2">A7+1</f>
        <v>2031</v>
      </c>
      <c r="B8" s="6">
        <v>0</v>
      </c>
      <c r="C8" s="1">
        <v>0</v>
      </c>
      <c r="D8" s="1">
        <v>0</v>
      </c>
      <c r="E8" s="14">
        <v>0</v>
      </c>
      <c r="F8"/>
      <c r="G8"/>
      <c r="H8"/>
    </row>
    <row r="9" spans="1:8" s="1" customFormat="1" x14ac:dyDescent="0.3">
      <c r="A9" s="6">
        <f t="shared" si="2"/>
        <v>2032</v>
      </c>
      <c r="B9" s="6">
        <v>0</v>
      </c>
      <c r="C9" s="1">
        <v>0</v>
      </c>
      <c r="D9" s="1">
        <v>0</v>
      </c>
      <c r="E9" s="14">
        <v>0</v>
      </c>
      <c r="F9"/>
      <c r="G9"/>
      <c r="H9"/>
    </row>
    <row r="10" spans="1:8" s="1" customFormat="1" x14ac:dyDescent="0.3">
      <c r="A10" s="6">
        <f t="shared" si="2"/>
        <v>2033</v>
      </c>
      <c r="B10" s="6">
        <v>0</v>
      </c>
      <c r="C10" s="1">
        <v>0</v>
      </c>
      <c r="D10" s="1">
        <v>0</v>
      </c>
      <c r="E10" s="14">
        <v>0</v>
      </c>
      <c r="F10"/>
      <c r="G10"/>
      <c r="H10"/>
    </row>
    <row r="11" spans="1:8" s="1" customFormat="1" x14ac:dyDescent="0.3">
      <c r="A11" s="6">
        <f t="shared" si="2"/>
        <v>2034</v>
      </c>
      <c r="B11" s="6">
        <v>0</v>
      </c>
      <c r="C11" s="1">
        <v>0</v>
      </c>
      <c r="D11" s="1">
        <v>0</v>
      </c>
      <c r="E11" s="14">
        <v>0</v>
      </c>
      <c r="F11"/>
      <c r="G11"/>
      <c r="H11"/>
    </row>
    <row r="12" spans="1:8" s="1" customFormat="1" x14ac:dyDescent="0.3">
      <c r="A12" s="6">
        <f t="shared" si="2"/>
        <v>2035</v>
      </c>
      <c r="B12" s="6">
        <v>0</v>
      </c>
      <c r="C12" s="1">
        <v>0</v>
      </c>
      <c r="D12" s="1">
        <v>0</v>
      </c>
      <c r="E12" s="14">
        <v>0</v>
      </c>
      <c r="F12"/>
      <c r="G12"/>
      <c r="H12"/>
    </row>
    <row r="13" spans="1:8" s="1" customFormat="1" x14ac:dyDescent="0.3">
      <c r="A13" s="6">
        <f t="shared" si="2"/>
        <v>2036</v>
      </c>
      <c r="B13" s="6">
        <v>0</v>
      </c>
      <c r="C13" s="1">
        <v>0</v>
      </c>
      <c r="D13" s="1">
        <v>0</v>
      </c>
      <c r="E13" s="14">
        <v>0</v>
      </c>
      <c r="F13"/>
      <c r="G13"/>
      <c r="H13"/>
    </row>
    <row r="14" spans="1:8" s="1" customFormat="1" x14ac:dyDescent="0.3">
      <c r="A14" s="6">
        <f t="shared" si="2"/>
        <v>2037</v>
      </c>
      <c r="B14" s="6">
        <v>0</v>
      </c>
      <c r="C14" s="1">
        <v>0</v>
      </c>
      <c r="D14" s="1">
        <v>0</v>
      </c>
      <c r="E14" s="14">
        <v>0</v>
      </c>
      <c r="F14"/>
      <c r="G14"/>
      <c r="H14"/>
    </row>
    <row r="15" spans="1:8" s="1" customFormat="1" x14ac:dyDescent="0.3">
      <c r="A15" s="6">
        <f t="shared" si="2"/>
        <v>2038</v>
      </c>
      <c r="B15" s="6">
        <v>0</v>
      </c>
      <c r="C15" s="1">
        <v>0</v>
      </c>
      <c r="D15" s="1">
        <v>0</v>
      </c>
      <c r="E15" s="14">
        <v>0</v>
      </c>
      <c r="F15"/>
      <c r="G15"/>
      <c r="H15"/>
    </row>
    <row r="16" spans="1:8" s="1" customFormat="1" x14ac:dyDescent="0.3">
      <c r="A16" s="8">
        <f t="shared" si="2"/>
        <v>2039</v>
      </c>
      <c r="B16" s="8">
        <v>0</v>
      </c>
      <c r="C16" s="9">
        <v>0</v>
      </c>
      <c r="D16" s="9">
        <v>0</v>
      </c>
      <c r="E16" s="15">
        <v>0</v>
      </c>
      <c r="F16"/>
      <c r="G16"/>
      <c r="H16"/>
    </row>
    <row r="17" spans="1:8" s="1" customFormat="1" x14ac:dyDescent="0.3">
      <c r="A17" s="6">
        <f t="shared" si="2"/>
        <v>2040</v>
      </c>
      <c r="B17" s="3">
        <v>0</v>
      </c>
      <c r="C17" s="4">
        <v>0</v>
      </c>
      <c r="D17" s="4">
        <v>0</v>
      </c>
      <c r="E17" s="16">
        <v>0</v>
      </c>
      <c r="F17"/>
      <c r="G17"/>
      <c r="H17"/>
    </row>
    <row r="18" spans="1:8" s="1" customFormat="1" x14ac:dyDescent="0.3">
      <c r="A18" s="6">
        <f t="shared" si="2"/>
        <v>2041</v>
      </c>
      <c r="B18" s="6">
        <v>0</v>
      </c>
      <c r="C18" s="1">
        <v>0</v>
      </c>
      <c r="D18" s="1">
        <v>0</v>
      </c>
      <c r="E18" s="14">
        <v>0</v>
      </c>
      <c r="F18"/>
      <c r="G18"/>
      <c r="H18"/>
    </row>
    <row r="19" spans="1:8" s="1" customFormat="1" x14ac:dyDescent="0.3">
      <c r="A19" s="6">
        <f t="shared" si="2"/>
        <v>2042</v>
      </c>
      <c r="B19" s="6">
        <v>0</v>
      </c>
      <c r="C19" s="1">
        <v>0</v>
      </c>
      <c r="D19" s="1">
        <v>0</v>
      </c>
      <c r="E19" s="14">
        <v>0</v>
      </c>
      <c r="F19"/>
      <c r="G19"/>
      <c r="H19"/>
    </row>
    <row r="20" spans="1:8" s="1" customFormat="1" x14ac:dyDescent="0.3">
      <c r="A20" s="6">
        <f t="shared" si="2"/>
        <v>2043</v>
      </c>
      <c r="B20" s="6">
        <v>0</v>
      </c>
      <c r="C20" s="1">
        <v>0</v>
      </c>
      <c r="D20" s="1">
        <v>0</v>
      </c>
      <c r="E20" s="14">
        <v>0</v>
      </c>
      <c r="F20"/>
      <c r="G20"/>
      <c r="H20"/>
    </row>
    <row r="21" spans="1:8" s="1" customFormat="1" x14ac:dyDescent="0.3">
      <c r="A21" s="6">
        <f t="shared" si="2"/>
        <v>2044</v>
      </c>
      <c r="B21" s="6">
        <v>0</v>
      </c>
      <c r="C21" s="1">
        <v>0</v>
      </c>
      <c r="D21" s="1">
        <v>0</v>
      </c>
      <c r="E21" s="14">
        <v>0</v>
      </c>
      <c r="F21"/>
      <c r="G21"/>
      <c r="H21"/>
    </row>
    <row r="22" spans="1:8" s="1" customFormat="1" x14ac:dyDescent="0.3">
      <c r="A22" s="6">
        <f t="shared" si="2"/>
        <v>2045</v>
      </c>
      <c r="B22" s="6">
        <v>0</v>
      </c>
      <c r="C22" s="1">
        <v>0</v>
      </c>
      <c r="D22" s="1">
        <v>0</v>
      </c>
      <c r="E22" s="14">
        <v>0</v>
      </c>
      <c r="F22"/>
      <c r="G22"/>
      <c r="H22"/>
    </row>
    <row r="23" spans="1:8" s="1" customFormat="1" x14ac:dyDescent="0.3">
      <c r="A23" s="6">
        <f t="shared" si="2"/>
        <v>2046</v>
      </c>
      <c r="B23" s="6">
        <v>0</v>
      </c>
      <c r="C23" s="1">
        <v>0</v>
      </c>
      <c r="D23" s="1">
        <v>0</v>
      </c>
      <c r="E23" s="14">
        <v>0</v>
      </c>
      <c r="F23"/>
      <c r="G23"/>
      <c r="H23"/>
    </row>
    <row r="24" spans="1:8" x14ac:dyDescent="0.3">
      <c r="A24" s="6">
        <f t="shared" ref="A24:A26" si="3">A23+1</f>
        <v>2047</v>
      </c>
      <c r="B24" s="6">
        <v>0</v>
      </c>
      <c r="C24" s="1">
        <v>0</v>
      </c>
      <c r="D24" s="1">
        <v>0</v>
      </c>
      <c r="E24" s="14">
        <v>0</v>
      </c>
    </row>
    <row r="25" spans="1:8" x14ac:dyDescent="0.3">
      <c r="A25" s="6">
        <f t="shared" si="3"/>
        <v>2048</v>
      </c>
      <c r="B25" s="6">
        <v>0</v>
      </c>
      <c r="C25" s="1">
        <v>0</v>
      </c>
      <c r="D25" s="1">
        <v>0</v>
      </c>
      <c r="E25" s="14">
        <v>0</v>
      </c>
    </row>
    <row r="26" spans="1:8" x14ac:dyDescent="0.3">
      <c r="A26" s="8">
        <f t="shared" si="3"/>
        <v>2049</v>
      </c>
      <c r="B26" s="8">
        <v>0</v>
      </c>
      <c r="C26" s="9">
        <v>0</v>
      </c>
      <c r="D26" s="9">
        <v>0</v>
      </c>
      <c r="E26" s="15">
        <v>0</v>
      </c>
      <c r="F26" t="s">
        <v>74</v>
      </c>
    </row>
    <row r="27" spans="1:8" x14ac:dyDescent="0.3">
      <c r="F27" t="s">
        <v>76</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0BB0E-68C8-42FF-B2F6-7038E9992D06}">
  <dimension ref="A1:J28"/>
  <sheetViews>
    <sheetView workbookViewId="0">
      <selection activeCell="D33" sqref="D33"/>
    </sheetView>
  </sheetViews>
  <sheetFormatPr defaultColWidth="10.6640625" defaultRowHeight="14.4" x14ac:dyDescent="0.3"/>
  <cols>
    <col min="2" max="2" width="12.6640625" customWidth="1"/>
    <col min="3" max="4" width="12.6640625" style="19" customWidth="1"/>
    <col min="5" max="5" width="15.44140625" customWidth="1"/>
    <col min="7" max="10" width="10.6640625" style="1"/>
  </cols>
  <sheetData>
    <row r="1" spans="1:9" x14ac:dyDescent="0.3">
      <c r="A1" s="3" t="s">
        <v>0</v>
      </c>
      <c r="B1" s="3" t="s">
        <v>40</v>
      </c>
      <c r="C1" s="33" t="s">
        <v>26</v>
      </c>
      <c r="D1" s="33" t="s">
        <v>28</v>
      </c>
      <c r="E1" s="19"/>
    </row>
    <row r="2" spans="1:9" x14ac:dyDescent="0.3">
      <c r="A2" s="8"/>
      <c r="B2" s="8"/>
      <c r="C2" s="34" t="s">
        <v>20</v>
      </c>
      <c r="D2" s="34" t="s">
        <v>20</v>
      </c>
      <c r="F2" s="127" t="s">
        <v>65</v>
      </c>
    </row>
    <row r="3" spans="1:9" x14ac:dyDescent="0.3">
      <c r="A3" s="16">
        <v>2025</v>
      </c>
      <c r="B3" s="35">
        <v>0</v>
      </c>
      <c r="C3" s="35">
        <v>0</v>
      </c>
      <c r="D3" s="35">
        <v>0</v>
      </c>
      <c r="F3" s="11"/>
      <c r="G3" s="11" t="s">
        <v>29</v>
      </c>
      <c r="H3" s="84" t="s">
        <v>30</v>
      </c>
      <c r="I3" s="84"/>
    </row>
    <row r="4" spans="1:9" x14ac:dyDescent="0.3">
      <c r="A4" s="14">
        <v>2026</v>
      </c>
      <c r="B4" s="35">
        <v>0</v>
      </c>
      <c r="C4" s="35">
        <v>0</v>
      </c>
      <c r="D4" s="35">
        <v>0</v>
      </c>
      <c r="F4" s="6" t="s">
        <v>41</v>
      </c>
      <c r="G4" s="6">
        <v>300</v>
      </c>
      <c r="H4" s="7">
        <v>300</v>
      </c>
      <c r="I4" s="7" t="s">
        <v>33</v>
      </c>
    </row>
    <row r="5" spans="1:9" x14ac:dyDescent="0.3">
      <c r="A5" s="14">
        <v>2027</v>
      </c>
      <c r="B5" s="35">
        <v>0</v>
      </c>
      <c r="C5" s="35">
        <v>0</v>
      </c>
      <c r="D5" s="35">
        <v>0</v>
      </c>
      <c r="F5" s="6" t="s">
        <v>31</v>
      </c>
      <c r="G5" s="6">
        <v>23</v>
      </c>
      <c r="H5" s="7">
        <v>12</v>
      </c>
      <c r="I5" s="7" t="s">
        <v>32</v>
      </c>
    </row>
    <row r="6" spans="1:9" x14ac:dyDescent="0.3">
      <c r="A6" s="14">
        <v>2028</v>
      </c>
      <c r="B6" s="14">
        <f>'1_Sears+EPA_Fixed'!B5</f>
        <v>10</v>
      </c>
      <c r="C6" s="64">
        <f t="shared" ref="C6:C27" si="0">B6*$G$8+B6*$H$8</f>
        <v>812.8891304347826</v>
      </c>
      <c r="D6" s="62">
        <f t="shared" ref="D6:D27" si="1">B6*$G$10+B6*$H$10</f>
        <v>11.05108695652174</v>
      </c>
      <c r="F6" s="6" t="s">
        <v>34</v>
      </c>
      <c r="G6" s="40">
        <f>G4/G5</f>
        <v>13.043478260869565</v>
      </c>
      <c r="H6" s="7">
        <f>H4/H5</f>
        <v>25</v>
      </c>
      <c r="I6" s="7" t="s">
        <v>42</v>
      </c>
    </row>
    <row r="7" spans="1:9" x14ac:dyDescent="0.3">
      <c r="A7" s="15">
        <v>2029</v>
      </c>
      <c r="B7" s="14">
        <f>'1_Sears+EPA_Fixed'!B6</f>
        <v>13</v>
      </c>
      <c r="C7" s="65">
        <f t="shared" si="0"/>
        <v>1056.7558695652172</v>
      </c>
      <c r="D7" s="66">
        <f t="shared" si="1"/>
        <v>14.366413043478261</v>
      </c>
      <c r="E7" t="s">
        <v>73</v>
      </c>
      <c r="F7" s="6" t="s">
        <v>35</v>
      </c>
      <c r="G7" s="6">
        <v>984.7</v>
      </c>
      <c r="H7" s="7">
        <v>2737.8</v>
      </c>
      <c r="I7" s="7" t="s">
        <v>38</v>
      </c>
    </row>
    <row r="8" spans="1:9" x14ac:dyDescent="0.3">
      <c r="A8" s="16">
        <v>2030</v>
      </c>
      <c r="B8" s="16">
        <f>'2_Sears+EPA_Floating'!B7</f>
        <v>15</v>
      </c>
      <c r="C8" s="48">
        <f t="shared" si="0"/>
        <v>1219.3336956521739</v>
      </c>
      <c r="D8" s="67">
        <f t="shared" si="1"/>
        <v>16.576630434782608</v>
      </c>
      <c r="E8" t="s">
        <v>75</v>
      </c>
      <c r="F8" s="6" t="s">
        <v>36</v>
      </c>
      <c r="G8" s="85">
        <f>G7*G$6/1000</f>
        <v>12.84391304347826</v>
      </c>
      <c r="H8" s="86">
        <f>H7*H$6/1000</f>
        <v>68.444999999999993</v>
      </c>
      <c r="I8" s="7" t="s">
        <v>39</v>
      </c>
    </row>
    <row r="9" spans="1:9" x14ac:dyDescent="0.3">
      <c r="A9" s="14">
        <f t="shared" ref="A9:A27" si="2">A8+1</f>
        <v>2031</v>
      </c>
      <c r="B9" s="14">
        <f>'2_Sears+EPA_Floating'!B8</f>
        <v>16</v>
      </c>
      <c r="C9" s="35">
        <f t="shared" si="0"/>
        <v>1300.6226086956522</v>
      </c>
      <c r="D9" s="62">
        <f t="shared" si="1"/>
        <v>17.681739130434782</v>
      </c>
      <c r="F9" s="6" t="s">
        <v>28</v>
      </c>
      <c r="G9" s="6">
        <v>14</v>
      </c>
      <c r="H9" s="7">
        <v>36.9</v>
      </c>
      <c r="I9" s="7" t="s">
        <v>38</v>
      </c>
    </row>
    <row r="10" spans="1:9" x14ac:dyDescent="0.3">
      <c r="A10" s="14">
        <f t="shared" si="2"/>
        <v>2032</v>
      </c>
      <c r="B10" s="14">
        <f>'2_Sears+EPA_Floating'!B9</f>
        <v>17</v>
      </c>
      <c r="C10" s="35">
        <f t="shared" si="0"/>
        <v>1381.9115217391302</v>
      </c>
      <c r="D10" s="62">
        <f t="shared" si="1"/>
        <v>18.786847826086955</v>
      </c>
      <c r="F10" s="8" t="s">
        <v>37</v>
      </c>
      <c r="G10" s="59">
        <f>G9*G$6/1000</f>
        <v>0.18260869565217391</v>
      </c>
      <c r="H10" s="39">
        <f>H9*H$6/1000</f>
        <v>0.92249999999999999</v>
      </c>
      <c r="I10" s="10" t="s">
        <v>39</v>
      </c>
    </row>
    <row r="11" spans="1:9" x14ac:dyDescent="0.3">
      <c r="A11" s="14">
        <f t="shared" si="2"/>
        <v>2033</v>
      </c>
      <c r="B11" s="14">
        <f>'2_Sears+EPA_Floating'!B10</f>
        <v>18</v>
      </c>
      <c r="C11" s="35">
        <f t="shared" si="0"/>
        <v>1463.2004347826085</v>
      </c>
      <c r="D11" s="62">
        <f t="shared" si="1"/>
        <v>19.891956521739132</v>
      </c>
      <c r="H11" s="82"/>
      <c r="I11" s="82"/>
    </row>
    <row r="12" spans="1:9" x14ac:dyDescent="0.3">
      <c r="A12" s="14">
        <f t="shared" si="2"/>
        <v>2034</v>
      </c>
      <c r="B12" s="14">
        <f>'2_Sears+EPA_Floating'!B11</f>
        <v>19</v>
      </c>
      <c r="C12" s="35">
        <f t="shared" si="0"/>
        <v>1544.4893478260869</v>
      </c>
      <c r="D12" s="62">
        <f t="shared" si="1"/>
        <v>20.997065217391302</v>
      </c>
      <c r="H12" s="83"/>
      <c r="I12" s="82"/>
    </row>
    <row r="13" spans="1:9" x14ac:dyDescent="0.3">
      <c r="A13" s="14">
        <f t="shared" si="2"/>
        <v>2035</v>
      </c>
      <c r="B13" s="79">
        <f>'2_Sears+EPA_Floating'!B12-'4_Sears-EPA_Floating'!B12</f>
        <v>5</v>
      </c>
      <c r="C13" s="35">
        <f t="shared" si="0"/>
        <v>406.4445652173913</v>
      </c>
      <c r="D13" s="62">
        <f t="shared" si="1"/>
        <v>5.5255434782608699</v>
      </c>
    </row>
    <row r="14" spans="1:9" x14ac:dyDescent="0.3">
      <c r="A14" s="14">
        <f t="shared" si="2"/>
        <v>2036</v>
      </c>
      <c r="B14" s="79">
        <f>'2_Sears+EPA_Floating'!B13-'4_Sears-EPA_Floating'!B13</f>
        <v>5</v>
      </c>
      <c r="C14" s="35">
        <f t="shared" si="0"/>
        <v>406.4445652173913</v>
      </c>
      <c r="D14" s="62">
        <f t="shared" si="1"/>
        <v>5.5255434782608699</v>
      </c>
    </row>
    <row r="15" spans="1:9" x14ac:dyDescent="0.3">
      <c r="A15" s="14">
        <f t="shared" si="2"/>
        <v>2037</v>
      </c>
      <c r="B15" s="79">
        <f>'2_Sears+EPA_Floating'!B14-'4_Sears-EPA_Floating'!B14</f>
        <v>5</v>
      </c>
      <c r="C15" s="35">
        <f t="shared" si="0"/>
        <v>406.4445652173913</v>
      </c>
      <c r="D15" s="62">
        <f t="shared" si="1"/>
        <v>5.5255434782608699</v>
      </c>
    </row>
    <row r="16" spans="1:9" x14ac:dyDescent="0.3">
      <c r="A16" s="14">
        <f t="shared" si="2"/>
        <v>2038</v>
      </c>
      <c r="B16" s="79">
        <f>'2_Sears+EPA_Floating'!B15-'4_Sears-EPA_Floating'!B15</f>
        <v>5</v>
      </c>
      <c r="C16" s="35">
        <f t="shared" si="0"/>
        <v>406.4445652173913</v>
      </c>
      <c r="D16" s="62">
        <f t="shared" si="1"/>
        <v>5.5255434782608699</v>
      </c>
    </row>
    <row r="17" spans="1:6" x14ac:dyDescent="0.3">
      <c r="A17" s="15">
        <f t="shared" si="2"/>
        <v>2039</v>
      </c>
      <c r="B17" s="80">
        <f>'2_Sears+EPA_Floating'!B16-'4_Sears-EPA_Floating'!B16</f>
        <v>5</v>
      </c>
      <c r="C17" s="52">
        <f t="shared" si="0"/>
        <v>406.4445652173913</v>
      </c>
      <c r="D17" s="66">
        <f t="shared" si="1"/>
        <v>5.5255434782608699</v>
      </c>
    </row>
    <row r="18" spans="1:6" x14ac:dyDescent="0.3">
      <c r="A18" s="16">
        <f t="shared" si="2"/>
        <v>2040</v>
      </c>
      <c r="B18" s="81">
        <f>'2_Sears+EPA_Floating'!B17-'4_Sears-EPA_Floating'!B17</f>
        <v>5</v>
      </c>
      <c r="C18" s="48">
        <f t="shared" si="0"/>
        <v>406.4445652173913</v>
      </c>
      <c r="D18" s="67">
        <f t="shared" si="1"/>
        <v>5.5255434782608699</v>
      </c>
    </row>
    <row r="19" spans="1:6" x14ac:dyDescent="0.3">
      <c r="A19" s="14">
        <f t="shared" si="2"/>
        <v>2041</v>
      </c>
      <c r="B19" s="79">
        <f>'2_Sears+EPA_Floating'!B18-'4_Sears-EPA_Floating'!B18</f>
        <v>5</v>
      </c>
      <c r="C19" s="35">
        <f t="shared" si="0"/>
        <v>406.4445652173913</v>
      </c>
      <c r="D19" s="62">
        <f t="shared" si="1"/>
        <v>5.5255434782608699</v>
      </c>
    </row>
    <row r="20" spans="1:6" x14ac:dyDescent="0.3">
      <c r="A20" s="14">
        <f t="shared" si="2"/>
        <v>2042</v>
      </c>
      <c r="B20" s="79">
        <f>'2_Sears+EPA_Floating'!B19-'4_Sears-EPA_Floating'!B19</f>
        <v>5</v>
      </c>
      <c r="C20" s="35">
        <f t="shared" si="0"/>
        <v>406.4445652173913</v>
      </c>
      <c r="D20" s="62">
        <f t="shared" si="1"/>
        <v>5.5255434782608699</v>
      </c>
    </row>
    <row r="21" spans="1:6" x14ac:dyDescent="0.3">
      <c r="A21" s="14">
        <f t="shared" si="2"/>
        <v>2043</v>
      </c>
      <c r="B21" s="79">
        <f>'2_Sears+EPA_Floating'!B20-'4_Sears-EPA_Floating'!B20</f>
        <v>5</v>
      </c>
      <c r="C21" s="35">
        <f t="shared" si="0"/>
        <v>406.4445652173913</v>
      </c>
      <c r="D21" s="62">
        <f t="shared" si="1"/>
        <v>5.5255434782608699</v>
      </c>
    </row>
    <row r="22" spans="1:6" x14ac:dyDescent="0.3">
      <c r="A22" s="14">
        <f t="shared" si="2"/>
        <v>2044</v>
      </c>
      <c r="B22" s="79">
        <f>'2_Sears+EPA_Floating'!B21-'4_Sears-EPA_Floating'!B21</f>
        <v>5</v>
      </c>
      <c r="C22" s="35">
        <f t="shared" si="0"/>
        <v>406.4445652173913</v>
      </c>
      <c r="D22" s="62">
        <f t="shared" si="1"/>
        <v>5.5255434782608699</v>
      </c>
    </row>
    <row r="23" spans="1:6" x14ac:dyDescent="0.3">
      <c r="A23" s="14">
        <f t="shared" si="2"/>
        <v>2045</v>
      </c>
      <c r="B23" s="79">
        <f>'2_Sears+EPA_Floating'!B22-'4_Sears-EPA_Floating'!B22</f>
        <v>5</v>
      </c>
      <c r="C23" s="35">
        <f t="shared" si="0"/>
        <v>406.4445652173913</v>
      </c>
      <c r="D23" s="62">
        <f t="shared" si="1"/>
        <v>5.5255434782608699</v>
      </c>
      <c r="F23" s="121" t="s">
        <v>66</v>
      </c>
    </row>
    <row r="24" spans="1:6" x14ac:dyDescent="0.3">
      <c r="A24" s="14">
        <f t="shared" si="2"/>
        <v>2046</v>
      </c>
      <c r="B24" s="79">
        <f>'2_Sears+EPA_Floating'!B23-'4_Sears-EPA_Floating'!B23</f>
        <v>5</v>
      </c>
      <c r="C24" s="35">
        <f t="shared" si="0"/>
        <v>406.4445652173913</v>
      </c>
      <c r="D24" s="62">
        <f t="shared" si="1"/>
        <v>5.5255434782608699</v>
      </c>
    </row>
    <row r="25" spans="1:6" x14ac:dyDescent="0.3">
      <c r="A25" s="14">
        <f t="shared" si="2"/>
        <v>2047</v>
      </c>
      <c r="B25" s="79">
        <f>'2_Sears+EPA_Floating'!B24-'4_Sears-EPA_Floating'!B24</f>
        <v>4</v>
      </c>
      <c r="C25" s="35">
        <f t="shared" si="0"/>
        <v>325.15565217391304</v>
      </c>
      <c r="D25" s="62">
        <f t="shared" si="1"/>
        <v>4.4204347826086954</v>
      </c>
    </row>
    <row r="26" spans="1:6" x14ac:dyDescent="0.3">
      <c r="A26" s="14">
        <f t="shared" si="2"/>
        <v>2048</v>
      </c>
      <c r="B26" s="79">
        <f>'2_Sears+EPA_Floating'!B25-'4_Sears-EPA_Floating'!B25</f>
        <v>3</v>
      </c>
      <c r="C26" s="35">
        <f t="shared" si="0"/>
        <v>243.86673913043475</v>
      </c>
      <c r="D26" s="62">
        <f t="shared" si="1"/>
        <v>3.3153260869565218</v>
      </c>
    </row>
    <row r="27" spans="1:6" x14ac:dyDescent="0.3">
      <c r="A27" s="15">
        <f t="shared" si="2"/>
        <v>2049</v>
      </c>
      <c r="B27" s="80">
        <f>'2_Sears+EPA_Floating'!B26-'4_Sears-EPA_Floating'!B26</f>
        <v>2</v>
      </c>
      <c r="C27" s="52">
        <f t="shared" si="0"/>
        <v>162.57782608695652</v>
      </c>
      <c r="D27" s="66">
        <f t="shared" si="1"/>
        <v>2.2102173913043477</v>
      </c>
      <c r="E27" t="s">
        <v>74</v>
      </c>
    </row>
    <row r="28" spans="1:6" x14ac:dyDescent="0.3">
      <c r="A28" s="28"/>
      <c r="B28" s="78"/>
      <c r="C28" s="61">
        <f>SUM(C3:C27)</f>
        <v>14388.137608695648</v>
      </c>
      <c r="D28" s="61">
        <f>SUM(D3:D27)</f>
        <v>195.60423913043468</v>
      </c>
      <c r="E28" t="s">
        <v>76</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E79EA-7639-4F04-81AE-47E6DB2576B2}">
  <dimension ref="A1:G13"/>
  <sheetViews>
    <sheetView tabSelected="1" zoomScale="130" zoomScaleNormal="130" workbookViewId="0">
      <selection activeCell="C7" sqref="C7"/>
    </sheetView>
  </sheetViews>
  <sheetFormatPr defaultRowHeight="14.4" x14ac:dyDescent="0.3"/>
  <cols>
    <col min="1" max="8" width="15.6640625" customWidth="1"/>
  </cols>
  <sheetData>
    <row r="1" spans="1:7" x14ac:dyDescent="0.3">
      <c r="A1" s="128" t="s">
        <v>67</v>
      </c>
      <c r="B1" s="4" t="s">
        <v>46</v>
      </c>
      <c r="C1" s="16" t="s">
        <v>17</v>
      </c>
      <c r="D1" s="16" t="s">
        <v>18</v>
      </c>
      <c r="E1" s="16" t="s">
        <v>21</v>
      </c>
      <c r="F1" s="4" t="s">
        <v>28</v>
      </c>
      <c r="G1" s="16" t="s">
        <v>27</v>
      </c>
    </row>
    <row r="2" spans="1:7" x14ac:dyDescent="0.3">
      <c r="A2" s="129"/>
      <c r="B2" s="9" t="s">
        <v>20</v>
      </c>
      <c r="C2" s="15" t="s">
        <v>20</v>
      </c>
      <c r="D2" s="15" t="s">
        <v>20</v>
      </c>
      <c r="E2" s="15" t="s">
        <v>20</v>
      </c>
      <c r="F2" s="15" t="s">
        <v>20</v>
      </c>
      <c r="G2" s="15" t="s">
        <v>20</v>
      </c>
    </row>
    <row r="3" spans="1:7" x14ac:dyDescent="0.3">
      <c r="A3" s="133" t="s">
        <v>70</v>
      </c>
      <c r="B3" s="135">
        <f t="shared" ref="B3:G3" si="0">B5+B10</f>
        <v>50933087.504159532</v>
      </c>
      <c r="C3" s="136">
        <f t="shared" si="0"/>
        <v>11524.410259424976</v>
      </c>
      <c r="D3" s="136">
        <f t="shared" si="0"/>
        <v>30215.652378379651</v>
      </c>
      <c r="E3" s="136">
        <f t="shared" si="0"/>
        <v>26635.021134567771</v>
      </c>
      <c r="F3" s="135">
        <f t="shared" si="0"/>
        <v>195.60423913043473</v>
      </c>
      <c r="G3" s="136">
        <f t="shared" si="0"/>
        <v>15.784999999999995</v>
      </c>
    </row>
    <row r="4" spans="1:7" x14ac:dyDescent="0.3">
      <c r="A4" s="130"/>
      <c r="B4" s="131"/>
      <c r="C4" s="27"/>
      <c r="D4" s="27"/>
      <c r="E4" s="27"/>
      <c r="F4" s="131"/>
      <c r="G4" s="27"/>
    </row>
    <row r="5" spans="1:7" x14ac:dyDescent="0.3">
      <c r="A5" s="134" t="s">
        <v>71</v>
      </c>
      <c r="B5" s="137">
        <f t="shared" ref="B5:G5" si="1">SUM(B6:B8)</f>
        <v>528218.27334575797</v>
      </c>
      <c r="C5" s="29">
        <f t="shared" si="1"/>
        <v>120.0791763201473</v>
      </c>
      <c r="D5" s="29">
        <f t="shared" si="1"/>
        <v>346.04423697948317</v>
      </c>
      <c r="E5" s="29">
        <f t="shared" si="1"/>
        <v>274.55116895809346</v>
      </c>
      <c r="F5" s="137">
        <f t="shared" si="1"/>
        <v>25.4175</v>
      </c>
      <c r="G5" s="29">
        <f t="shared" si="1"/>
        <v>0.64428571428571435</v>
      </c>
    </row>
    <row r="6" spans="1:7" x14ac:dyDescent="0.3">
      <c r="A6" s="130" t="s">
        <v>52</v>
      </c>
      <c r="B6" s="131">
        <f>'7_+EPA-EPA_Emissions'!$E$6+'7_+EPA-EPA_Emissions'!$E$7</f>
        <v>524363.62834575796</v>
      </c>
      <c r="C6" s="27">
        <f>'7_+EPA-EPA_Emissions'!$F$6+'7_+EPA-EPA_Emissions'!$F$7</f>
        <v>118.35774774871872</v>
      </c>
      <c r="D6" s="27">
        <f>'7_+EPA-EPA_Emissions'!$G$6+'7_+EPA-EPA_Emissions'!$G$7</f>
        <v>299.77495126519744</v>
      </c>
      <c r="E6" s="27">
        <f>'7_+EPA-EPA_Emissions'!$H$6+'7_+EPA-EPA_Emissions'!$H$7</f>
        <v>274.55116895809346</v>
      </c>
      <c r="F6" s="131"/>
      <c r="G6" s="27"/>
    </row>
    <row r="7" spans="1:7" x14ac:dyDescent="0.3">
      <c r="A7" s="130" t="s">
        <v>68</v>
      </c>
      <c r="B7" s="131">
        <f>SUM('9_SalemPortElectrification'!B3:B7)</f>
        <v>1985</v>
      </c>
      <c r="C7" s="27">
        <f>SUM('9_SalemPortElectrification'!C3:C7)</f>
        <v>1.7214285714285715</v>
      </c>
      <c r="D7" s="27">
        <f>SUM('9_SalemPortElectrification'!D3:D7)</f>
        <v>46.269285714285715</v>
      </c>
      <c r="E7" s="27"/>
      <c r="F7" s="131"/>
      <c r="G7" s="27">
        <f>SUM('9_SalemPortElectrification'!E3:E7)</f>
        <v>0.64428571428571435</v>
      </c>
    </row>
    <row r="8" spans="1:7" x14ac:dyDescent="0.3">
      <c r="A8" s="130" t="s">
        <v>69</v>
      </c>
      <c r="B8" s="131">
        <f>'10_CanadianMaritimeTraffic'!C6+'10_CanadianMaritimeTraffic'!C7</f>
        <v>1869.6449999999998</v>
      </c>
      <c r="C8" s="27"/>
      <c r="D8" s="27"/>
      <c r="E8" s="27"/>
      <c r="F8" s="131">
        <f>'10_CanadianMaritimeTraffic'!D6+'10_CanadianMaritimeTraffic'!D7</f>
        <v>25.4175</v>
      </c>
      <c r="G8" s="27"/>
    </row>
    <row r="9" spans="1:7" x14ac:dyDescent="0.3">
      <c r="A9" s="129"/>
      <c r="B9" s="132"/>
      <c r="C9" s="51"/>
      <c r="D9" s="51"/>
      <c r="E9" s="51"/>
      <c r="F9" s="132"/>
      <c r="G9" s="51"/>
    </row>
    <row r="10" spans="1:7" x14ac:dyDescent="0.3">
      <c r="A10" s="134" t="s">
        <v>72</v>
      </c>
      <c r="B10" s="137">
        <f t="shared" ref="B10:G10" si="2">SUM(B11:B13)</f>
        <v>50404869.230813771</v>
      </c>
      <c r="C10" s="29">
        <f t="shared" si="2"/>
        <v>11404.331083104829</v>
      </c>
      <c r="D10" s="29">
        <f t="shared" si="2"/>
        <v>29869.608141400167</v>
      </c>
      <c r="E10" s="29">
        <f t="shared" si="2"/>
        <v>26360.469965609678</v>
      </c>
      <c r="F10" s="137">
        <f t="shared" si="2"/>
        <v>170.18673913043474</v>
      </c>
      <c r="G10" s="29">
        <f t="shared" si="2"/>
        <v>15.14071428571428</v>
      </c>
    </row>
    <row r="11" spans="1:7" x14ac:dyDescent="0.3">
      <c r="A11" s="130" t="s">
        <v>45</v>
      </c>
      <c r="B11" s="131">
        <f>SUM('7_+EPA-EPA_Emissions'!E8:E27)</f>
        <v>50345703.238205075</v>
      </c>
      <c r="C11" s="27">
        <f>SUM('7_+EPA-EPA_Emissions'!F8:F27)</f>
        <v>11363.877511676257</v>
      </c>
      <c r="D11" s="27">
        <f>SUM('7_+EPA-EPA_Emissions'!G8:G27)</f>
        <v>28782.279927114454</v>
      </c>
      <c r="E11" s="27">
        <f>SUM('7_+EPA-EPA_Emissions'!H8:H27)</f>
        <v>26360.469965609678</v>
      </c>
      <c r="F11" s="131"/>
      <c r="G11" s="27"/>
    </row>
    <row r="12" spans="1:7" x14ac:dyDescent="0.3">
      <c r="A12" s="130" t="s">
        <v>68</v>
      </c>
      <c r="B12" s="131">
        <f>SUM('9_SalemPortElectrification'!B8:B27)</f>
        <v>46647.5</v>
      </c>
      <c r="C12" s="27">
        <f>SUM('9_SalemPortElectrification'!C8:C27)</f>
        <v>40.453571428571422</v>
      </c>
      <c r="D12" s="27">
        <f>SUM('9_SalemPortElectrification'!D8:D27)</f>
        <v>1087.3282142857147</v>
      </c>
      <c r="E12" s="27"/>
      <c r="F12" s="131"/>
      <c r="G12" s="27">
        <f>SUM('9_SalemPortElectrification'!E8:E27)</f>
        <v>15.14071428571428</v>
      </c>
    </row>
    <row r="13" spans="1:7" x14ac:dyDescent="0.3">
      <c r="A13" s="129" t="s">
        <v>69</v>
      </c>
      <c r="B13" s="132">
        <f>SUM('10_CanadianMaritimeTraffic'!C8:C27)</f>
        <v>12518.492608695648</v>
      </c>
      <c r="C13" s="51"/>
      <c r="D13" s="51"/>
      <c r="E13" s="51"/>
      <c r="F13" s="132">
        <f>SUM('10_CanadianMaritimeTraffic'!D8:D27)</f>
        <v>170.18673913043474</v>
      </c>
      <c r="G13" s="5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859E8-CE80-4140-A0B7-AEAFCF722908}">
  <dimension ref="A1:I27"/>
  <sheetViews>
    <sheetView zoomScale="110" zoomScaleNormal="110" workbookViewId="0">
      <selection activeCell="F6" sqref="F6:F27"/>
    </sheetView>
  </sheetViews>
  <sheetFormatPr defaultColWidth="15.6640625" defaultRowHeight="14.4" x14ac:dyDescent="0.3"/>
  <cols>
    <col min="1" max="5" width="10.6640625" style="1" customWidth="1"/>
    <col min="6" max="6" width="15.109375" style="1" customWidth="1"/>
  </cols>
  <sheetData>
    <row r="1" spans="1:9" s="1" customFormat="1" x14ac:dyDescent="0.3">
      <c r="A1" s="11" t="s">
        <v>0</v>
      </c>
      <c r="B1" s="11" t="s">
        <v>5</v>
      </c>
      <c r="C1" s="12" t="s">
        <v>6</v>
      </c>
      <c r="D1" s="12" t="s">
        <v>2</v>
      </c>
      <c r="E1" s="13" t="s">
        <v>8</v>
      </c>
      <c r="G1" s="1" t="s">
        <v>77</v>
      </c>
      <c r="H1"/>
      <c r="I1"/>
    </row>
    <row r="2" spans="1:9" s="1" customFormat="1" x14ac:dyDescent="0.3">
      <c r="A2" s="3">
        <v>2025</v>
      </c>
      <c r="B2" s="3">
        <v>0</v>
      </c>
      <c r="C2" s="4">
        <v>0</v>
      </c>
      <c r="D2" s="4">
        <v>0</v>
      </c>
      <c r="E2" s="16">
        <v>0</v>
      </c>
      <c r="G2"/>
      <c r="H2"/>
      <c r="I2"/>
    </row>
    <row r="3" spans="1:9" s="1" customFormat="1" x14ac:dyDescent="0.3">
      <c r="A3" s="6">
        <v>2026</v>
      </c>
      <c r="B3" s="6">
        <v>0</v>
      </c>
      <c r="C3" s="1">
        <v>0</v>
      </c>
      <c r="D3" s="1">
        <v>0</v>
      </c>
      <c r="E3" s="14">
        <v>0</v>
      </c>
      <c r="G3"/>
      <c r="H3"/>
      <c r="I3"/>
    </row>
    <row r="4" spans="1:9" s="1" customFormat="1" x14ac:dyDescent="0.3">
      <c r="A4" s="6">
        <v>2027</v>
      </c>
      <c r="B4" s="6">
        <v>0</v>
      </c>
      <c r="C4" s="1">
        <v>0</v>
      </c>
      <c r="D4" s="1">
        <v>0</v>
      </c>
      <c r="E4" s="14">
        <v>0</v>
      </c>
      <c r="G4"/>
      <c r="H4"/>
      <c r="I4"/>
    </row>
    <row r="5" spans="1:9" s="1" customFormat="1" x14ac:dyDescent="0.3">
      <c r="A5" s="6">
        <v>2028</v>
      </c>
      <c r="B5" s="6">
        <v>0</v>
      </c>
      <c r="C5" s="1">
        <v>0</v>
      </c>
      <c r="D5" s="1">
        <v>0</v>
      </c>
      <c r="E5" s="14">
        <v>0</v>
      </c>
      <c r="G5"/>
      <c r="H5"/>
      <c r="I5"/>
    </row>
    <row r="6" spans="1:9" s="1" customFormat="1" x14ac:dyDescent="0.3">
      <c r="A6" s="8">
        <v>2029</v>
      </c>
      <c r="B6" s="8">
        <v>0</v>
      </c>
      <c r="C6" s="9">
        <v>0</v>
      </c>
      <c r="D6" s="9">
        <v>0</v>
      </c>
      <c r="E6" s="15">
        <v>0</v>
      </c>
      <c r="F6" t="s">
        <v>73</v>
      </c>
      <c r="G6"/>
      <c r="H6"/>
      <c r="I6"/>
    </row>
    <row r="7" spans="1:9" s="1" customFormat="1" x14ac:dyDescent="0.3">
      <c r="A7" s="6">
        <v>2030</v>
      </c>
      <c r="B7" s="6">
        <v>15</v>
      </c>
      <c r="C7" s="1">
        <v>15</v>
      </c>
      <c r="D7" s="1">
        <f>C7*B7</f>
        <v>225</v>
      </c>
      <c r="E7" s="14">
        <f>D7</f>
        <v>225</v>
      </c>
      <c r="F7" t="s">
        <v>75</v>
      </c>
      <c r="G7"/>
      <c r="H7"/>
      <c r="I7"/>
    </row>
    <row r="8" spans="1:9" s="1" customFormat="1" x14ac:dyDescent="0.3">
      <c r="A8" s="6">
        <f t="shared" ref="A8:B23" si="0">A7+1</f>
        <v>2031</v>
      </c>
      <c r="B8" s="6">
        <f>B7+1</f>
        <v>16</v>
      </c>
      <c r="C8" s="1">
        <v>15</v>
      </c>
      <c r="D8" s="1">
        <f t="shared" ref="D8:D26" si="1">C8*B8</f>
        <v>240</v>
      </c>
      <c r="E8" s="14">
        <f>E7+D8</f>
        <v>465</v>
      </c>
      <c r="F8"/>
      <c r="G8"/>
      <c r="H8"/>
      <c r="I8"/>
    </row>
    <row r="9" spans="1:9" s="1" customFormat="1" x14ac:dyDescent="0.3">
      <c r="A9" s="6">
        <f t="shared" si="0"/>
        <v>2032</v>
      </c>
      <c r="B9" s="6">
        <f t="shared" si="0"/>
        <v>17</v>
      </c>
      <c r="C9" s="1">
        <v>15</v>
      </c>
      <c r="D9" s="1">
        <f t="shared" si="1"/>
        <v>255</v>
      </c>
      <c r="E9" s="14">
        <f t="shared" ref="E9:E26" si="2">E8+D9</f>
        <v>720</v>
      </c>
      <c r="F9"/>
      <c r="G9"/>
      <c r="H9"/>
      <c r="I9"/>
    </row>
    <row r="10" spans="1:9" s="1" customFormat="1" x14ac:dyDescent="0.3">
      <c r="A10" s="6">
        <f t="shared" si="0"/>
        <v>2033</v>
      </c>
      <c r="B10" s="6">
        <f t="shared" si="0"/>
        <v>18</v>
      </c>
      <c r="C10" s="1">
        <v>15</v>
      </c>
      <c r="D10" s="1">
        <f t="shared" si="1"/>
        <v>270</v>
      </c>
      <c r="E10" s="14">
        <f t="shared" si="2"/>
        <v>990</v>
      </c>
      <c r="F10"/>
      <c r="G10"/>
      <c r="H10"/>
      <c r="I10"/>
    </row>
    <row r="11" spans="1:9" s="1" customFormat="1" x14ac:dyDescent="0.3">
      <c r="A11" s="6">
        <f t="shared" si="0"/>
        <v>2034</v>
      </c>
      <c r="B11" s="6">
        <f t="shared" si="0"/>
        <v>19</v>
      </c>
      <c r="C11" s="1">
        <v>15</v>
      </c>
      <c r="D11" s="1">
        <f t="shared" si="1"/>
        <v>285</v>
      </c>
      <c r="E11" s="14">
        <f t="shared" si="2"/>
        <v>1275</v>
      </c>
      <c r="F11"/>
      <c r="G11">
        <f>SUM(B7:B11)</f>
        <v>85</v>
      </c>
      <c r="H11"/>
      <c r="I11"/>
    </row>
    <row r="12" spans="1:9" s="1" customFormat="1" x14ac:dyDescent="0.3">
      <c r="A12" s="6">
        <f t="shared" si="0"/>
        <v>2035</v>
      </c>
      <c r="B12" s="6">
        <f t="shared" si="0"/>
        <v>20</v>
      </c>
      <c r="C12" s="1">
        <v>15</v>
      </c>
      <c r="D12" s="1">
        <f t="shared" si="1"/>
        <v>300</v>
      </c>
      <c r="E12" s="14">
        <f t="shared" si="2"/>
        <v>1575</v>
      </c>
      <c r="F12"/>
      <c r="G12"/>
      <c r="H12"/>
      <c r="I12"/>
    </row>
    <row r="13" spans="1:9" s="1" customFormat="1" x14ac:dyDescent="0.3">
      <c r="A13" s="6">
        <f t="shared" si="0"/>
        <v>2036</v>
      </c>
      <c r="B13" s="6">
        <f t="shared" si="0"/>
        <v>21</v>
      </c>
      <c r="C13" s="1">
        <v>15</v>
      </c>
      <c r="D13" s="1">
        <f t="shared" si="1"/>
        <v>315</v>
      </c>
      <c r="E13" s="14">
        <f t="shared" si="2"/>
        <v>1890</v>
      </c>
      <c r="F13"/>
      <c r="G13"/>
      <c r="H13"/>
      <c r="I13"/>
    </row>
    <row r="14" spans="1:9" s="1" customFormat="1" x14ac:dyDescent="0.3">
      <c r="A14" s="6">
        <f t="shared" si="0"/>
        <v>2037</v>
      </c>
      <c r="B14" s="6">
        <f t="shared" si="0"/>
        <v>22</v>
      </c>
      <c r="C14" s="1">
        <v>15</v>
      </c>
      <c r="D14" s="1">
        <f t="shared" si="1"/>
        <v>330</v>
      </c>
      <c r="E14" s="14">
        <f t="shared" si="2"/>
        <v>2220</v>
      </c>
      <c r="F14"/>
      <c r="G14"/>
      <c r="H14"/>
      <c r="I14"/>
    </row>
    <row r="15" spans="1:9" s="1" customFormat="1" x14ac:dyDescent="0.3">
      <c r="A15" s="6">
        <f t="shared" si="0"/>
        <v>2038</v>
      </c>
      <c r="B15" s="6">
        <f t="shared" si="0"/>
        <v>23</v>
      </c>
      <c r="C15" s="1">
        <v>15</v>
      </c>
      <c r="D15" s="1">
        <f t="shared" si="1"/>
        <v>345</v>
      </c>
      <c r="E15" s="14">
        <f t="shared" si="2"/>
        <v>2565</v>
      </c>
      <c r="F15"/>
      <c r="G15"/>
      <c r="H15"/>
      <c r="I15"/>
    </row>
    <row r="16" spans="1:9" s="1" customFormat="1" x14ac:dyDescent="0.3">
      <c r="A16" s="8">
        <f t="shared" si="0"/>
        <v>2039</v>
      </c>
      <c r="B16" s="8">
        <f t="shared" si="0"/>
        <v>24</v>
      </c>
      <c r="C16" s="9">
        <v>15</v>
      </c>
      <c r="D16" s="9">
        <f t="shared" si="1"/>
        <v>360</v>
      </c>
      <c r="E16" s="15">
        <f t="shared" si="2"/>
        <v>2925</v>
      </c>
      <c r="F16"/>
      <c r="G16">
        <f>SUM(B7:B16)</f>
        <v>195</v>
      </c>
      <c r="H16"/>
      <c r="I16"/>
    </row>
    <row r="17" spans="1:9" s="1" customFormat="1" x14ac:dyDescent="0.3">
      <c r="A17" s="6">
        <f t="shared" si="0"/>
        <v>2040</v>
      </c>
      <c r="B17" s="6">
        <v>24</v>
      </c>
      <c r="C17" s="1">
        <v>20</v>
      </c>
      <c r="D17" s="1">
        <f t="shared" si="1"/>
        <v>480</v>
      </c>
      <c r="E17" s="14">
        <f t="shared" si="2"/>
        <v>3405</v>
      </c>
      <c r="F17"/>
      <c r="G17"/>
      <c r="H17"/>
      <c r="I17"/>
    </row>
    <row r="18" spans="1:9" s="1" customFormat="1" x14ac:dyDescent="0.3">
      <c r="A18" s="6">
        <f t="shared" si="0"/>
        <v>2041</v>
      </c>
      <c r="B18" s="6">
        <f>B17+1</f>
        <v>25</v>
      </c>
      <c r="C18" s="1">
        <v>20</v>
      </c>
      <c r="D18" s="1">
        <f t="shared" si="1"/>
        <v>500</v>
      </c>
      <c r="E18" s="14">
        <f t="shared" si="2"/>
        <v>3905</v>
      </c>
      <c r="F18"/>
      <c r="G18"/>
      <c r="H18"/>
      <c r="I18"/>
    </row>
    <row r="19" spans="1:9" s="1" customFormat="1" x14ac:dyDescent="0.3">
      <c r="A19" s="6">
        <f t="shared" si="0"/>
        <v>2042</v>
      </c>
      <c r="B19" s="6">
        <f t="shared" si="0"/>
        <v>26</v>
      </c>
      <c r="C19" s="1">
        <v>20</v>
      </c>
      <c r="D19" s="1">
        <f t="shared" si="1"/>
        <v>520</v>
      </c>
      <c r="E19" s="14">
        <f t="shared" si="2"/>
        <v>4425</v>
      </c>
      <c r="F19"/>
      <c r="G19"/>
      <c r="H19"/>
      <c r="I19"/>
    </row>
    <row r="20" spans="1:9" s="1" customFormat="1" x14ac:dyDescent="0.3">
      <c r="A20" s="6">
        <f t="shared" si="0"/>
        <v>2043</v>
      </c>
      <c r="B20" s="6">
        <f t="shared" si="0"/>
        <v>27</v>
      </c>
      <c r="C20" s="1">
        <v>20</v>
      </c>
      <c r="D20" s="1">
        <f t="shared" si="1"/>
        <v>540</v>
      </c>
      <c r="E20" s="14">
        <f t="shared" si="2"/>
        <v>4965</v>
      </c>
      <c r="F20"/>
      <c r="G20"/>
      <c r="H20"/>
      <c r="I20"/>
    </row>
    <row r="21" spans="1:9" s="1" customFormat="1" x14ac:dyDescent="0.3">
      <c r="A21" s="6">
        <f t="shared" si="0"/>
        <v>2044</v>
      </c>
      <c r="B21" s="6">
        <f t="shared" si="0"/>
        <v>28</v>
      </c>
      <c r="C21" s="1">
        <v>20</v>
      </c>
      <c r="D21" s="1">
        <f t="shared" si="1"/>
        <v>560</v>
      </c>
      <c r="E21" s="14">
        <f t="shared" si="2"/>
        <v>5525</v>
      </c>
      <c r="F21"/>
      <c r="G21"/>
      <c r="H21"/>
      <c r="I21"/>
    </row>
    <row r="22" spans="1:9" s="1" customFormat="1" x14ac:dyDescent="0.3">
      <c r="A22" s="6">
        <f t="shared" si="0"/>
        <v>2045</v>
      </c>
      <c r="B22" s="6">
        <f t="shared" si="0"/>
        <v>29</v>
      </c>
      <c r="C22" s="1">
        <v>20</v>
      </c>
      <c r="D22" s="1">
        <f t="shared" si="1"/>
        <v>580</v>
      </c>
      <c r="E22" s="14">
        <f t="shared" si="2"/>
        <v>6105</v>
      </c>
      <c r="F22"/>
      <c r="G22"/>
      <c r="H22"/>
      <c r="I22"/>
    </row>
    <row r="23" spans="1:9" s="1" customFormat="1" x14ac:dyDescent="0.3">
      <c r="A23" s="6">
        <f t="shared" si="0"/>
        <v>2046</v>
      </c>
      <c r="B23" s="6">
        <f t="shared" si="0"/>
        <v>30</v>
      </c>
      <c r="C23" s="1">
        <v>20</v>
      </c>
      <c r="D23" s="1">
        <f t="shared" si="1"/>
        <v>600</v>
      </c>
      <c r="E23" s="14">
        <f t="shared" si="2"/>
        <v>6705</v>
      </c>
      <c r="F23"/>
      <c r="G23"/>
      <c r="H23"/>
      <c r="I23"/>
    </row>
    <row r="24" spans="1:9" x14ac:dyDescent="0.3">
      <c r="A24" s="6">
        <f t="shared" ref="A24:A26" si="3">A23+1</f>
        <v>2047</v>
      </c>
      <c r="B24" s="6">
        <v>30</v>
      </c>
      <c r="C24" s="1">
        <v>20</v>
      </c>
      <c r="D24" s="1">
        <f t="shared" si="1"/>
        <v>600</v>
      </c>
      <c r="E24" s="14">
        <f t="shared" si="2"/>
        <v>7305</v>
      </c>
      <c r="F24"/>
    </row>
    <row r="25" spans="1:9" x14ac:dyDescent="0.3">
      <c r="A25" s="6">
        <f t="shared" si="3"/>
        <v>2048</v>
      </c>
      <c r="B25" s="6">
        <v>30</v>
      </c>
      <c r="C25" s="1">
        <v>20</v>
      </c>
      <c r="D25" s="1">
        <f t="shared" si="1"/>
        <v>600</v>
      </c>
      <c r="E25" s="14">
        <f t="shared" si="2"/>
        <v>7905</v>
      </c>
      <c r="F25"/>
    </row>
    <row r="26" spans="1:9" x14ac:dyDescent="0.3">
      <c r="A26" s="8">
        <f t="shared" si="3"/>
        <v>2049</v>
      </c>
      <c r="B26" s="8">
        <v>30</v>
      </c>
      <c r="C26" s="9">
        <v>20</v>
      </c>
      <c r="D26" s="9">
        <f t="shared" si="1"/>
        <v>600</v>
      </c>
      <c r="E26" s="118">
        <f t="shared" si="2"/>
        <v>8505</v>
      </c>
      <c r="F26" t="s">
        <v>74</v>
      </c>
      <c r="G26">
        <f>SUM(B7:B26)</f>
        <v>474</v>
      </c>
    </row>
    <row r="27" spans="1:9" x14ac:dyDescent="0.3">
      <c r="F27" t="s">
        <v>76</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4F7A3-EC84-4055-8E5A-15FD27C452F5}">
  <dimension ref="A1:I27"/>
  <sheetViews>
    <sheetView zoomScale="110" zoomScaleNormal="110" workbookViewId="0">
      <selection activeCell="F6" sqref="F6:F27"/>
    </sheetView>
  </sheetViews>
  <sheetFormatPr defaultColWidth="15.6640625" defaultRowHeight="14.4" x14ac:dyDescent="0.3"/>
  <cols>
    <col min="1" max="5" width="10.6640625" style="1" customWidth="1"/>
    <col min="6" max="6" width="14.6640625" style="1" customWidth="1"/>
  </cols>
  <sheetData>
    <row r="1" spans="1:9" s="1" customFormat="1" x14ac:dyDescent="0.3">
      <c r="A1" s="11" t="s">
        <v>0</v>
      </c>
      <c r="B1" s="11" t="s">
        <v>5</v>
      </c>
      <c r="C1" s="12" t="s">
        <v>6</v>
      </c>
      <c r="D1" s="12" t="s">
        <v>2</v>
      </c>
      <c r="E1" s="13" t="s">
        <v>8</v>
      </c>
      <c r="G1" s="1" t="s">
        <v>78</v>
      </c>
      <c r="H1"/>
      <c r="I1"/>
    </row>
    <row r="2" spans="1:9" s="1" customFormat="1" x14ac:dyDescent="0.3">
      <c r="A2" s="3">
        <v>2025</v>
      </c>
      <c r="B2" s="3">
        <v>0</v>
      </c>
      <c r="C2" s="4">
        <v>0</v>
      </c>
      <c r="D2" s="4">
        <v>0</v>
      </c>
      <c r="E2" s="16">
        <v>0</v>
      </c>
      <c r="G2"/>
      <c r="H2"/>
      <c r="I2"/>
    </row>
    <row r="3" spans="1:9" s="1" customFormat="1" x14ac:dyDescent="0.3">
      <c r="A3" s="6">
        <v>2026</v>
      </c>
      <c r="B3" s="6">
        <v>0</v>
      </c>
      <c r="C3" s="1">
        <v>0</v>
      </c>
      <c r="D3" s="1">
        <v>0</v>
      </c>
      <c r="E3" s="14">
        <v>0</v>
      </c>
      <c r="G3"/>
      <c r="H3"/>
      <c r="I3"/>
    </row>
    <row r="4" spans="1:9" s="1" customFormat="1" x14ac:dyDescent="0.3">
      <c r="A4" s="6">
        <v>2027</v>
      </c>
      <c r="B4" s="6">
        <v>0</v>
      </c>
      <c r="C4" s="1">
        <v>0</v>
      </c>
      <c r="D4" s="1">
        <v>0</v>
      </c>
      <c r="E4" s="14">
        <v>0</v>
      </c>
      <c r="G4"/>
      <c r="H4"/>
      <c r="I4"/>
    </row>
    <row r="5" spans="1:9" s="1" customFormat="1" x14ac:dyDescent="0.3">
      <c r="A5" s="6">
        <v>2028</v>
      </c>
      <c r="B5" s="6">
        <v>0</v>
      </c>
      <c r="C5" s="1">
        <v>0</v>
      </c>
      <c r="D5" s="1">
        <v>0</v>
      </c>
      <c r="E5" s="14">
        <v>0</v>
      </c>
      <c r="G5"/>
      <c r="H5"/>
      <c r="I5"/>
    </row>
    <row r="6" spans="1:9" s="1" customFormat="1" x14ac:dyDescent="0.3">
      <c r="A6" s="8">
        <v>2029</v>
      </c>
      <c r="B6" s="8">
        <v>0</v>
      </c>
      <c r="C6" s="9">
        <v>0</v>
      </c>
      <c r="D6" s="9">
        <v>0</v>
      </c>
      <c r="E6" s="15">
        <v>0</v>
      </c>
      <c r="F6" t="s">
        <v>73</v>
      </c>
      <c r="G6"/>
      <c r="H6"/>
      <c r="I6"/>
    </row>
    <row r="7" spans="1:9" s="1" customFormat="1" x14ac:dyDescent="0.3">
      <c r="A7" s="6">
        <v>2030</v>
      </c>
      <c r="B7" s="6">
        <v>0</v>
      </c>
      <c r="C7" s="1">
        <v>0</v>
      </c>
      <c r="D7" s="1">
        <v>0</v>
      </c>
      <c r="E7" s="14">
        <v>0</v>
      </c>
      <c r="F7" t="s">
        <v>75</v>
      </c>
      <c r="G7"/>
      <c r="H7"/>
      <c r="I7"/>
    </row>
    <row r="8" spans="1:9" s="1" customFormat="1" x14ac:dyDescent="0.3">
      <c r="A8" s="6">
        <f t="shared" ref="A8:B23" si="0">A7+1</f>
        <v>2031</v>
      </c>
      <c r="B8" s="6">
        <v>0</v>
      </c>
      <c r="C8" s="1">
        <v>0</v>
      </c>
      <c r="D8" s="1">
        <v>0</v>
      </c>
      <c r="E8" s="14">
        <v>0</v>
      </c>
      <c r="F8"/>
      <c r="G8"/>
      <c r="H8"/>
      <c r="I8"/>
    </row>
    <row r="9" spans="1:9" s="1" customFormat="1" x14ac:dyDescent="0.3">
      <c r="A9" s="6">
        <f t="shared" si="0"/>
        <v>2032</v>
      </c>
      <c r="B9" s="6">
        <v>0</v>
      </c>
      <c r="C9" s="1">
        <v>0</v>
      </c>
      <c r="D9" s="1">
        <v>0</v>
      </c>
      <c r="E9" s="14">
        <v>0</v>
      </c>
      <c r="F9"/>
      <c r="G9"/>
      <c r="H9"/>
      <c r="I9"/>
    </row>
    <row r="10" spans="1:9" s="1" customFormat="1" x14ac:dyDescent="0.3">
      <c r="A10" s="6">
        <f t="shared" si="0"/>
        <v>2033</v>
      </c>
      <c r="B10" s="6">
        <v>0</v>
      </c>
      <c r="C10" s="1">
        <v>0</v>
      </c>
      <c r="D10" s="1">
        <v>0</v>
      </c>
      <c r="E10" s="14">
        <v>0</v>
      </c>
      <c r="F10"/>
      <c r="G10"/>
      <c r="H10"/>
      <c r="I10"/>
    </row>
    <row r="11" spans="1:9" s="1" customFormat="1" x14ac:dyDescent="0.3">
      <c r="A11" s="6">
        <f t="shared" si="0"/>
        <v>2034</v>
      </c>
      <c r="B11" s="6">
        <v>0</v>
      </c>
      <c r="C11" s="1">
        <v>0</v>
      </c>
      <c r="D11" s="1">
        <v>0</v>
      </c>
      <c r="E11" s="14">
        <v>0</v>
      </c>
      <c r="F11"/>
      <c r="G11">
        <f>SUM(B7:B11)</f>
        <v>0</v>
      </c>
      <c r="H11"/>
      <c r="I11"/>
    </row>
    <row r="12" spans="1:9" s="1" customFormat="1" x14ac:dyDescent="0.3">
      <c r="A12" s="6">
        <f t="shared" si="0"/>
        <v>2035</v>
      </c>
      <c r="B12" s="6">
        <v>10</v>
      </c>
      <c r="C12" s="1">
        <v>15</v>
      </c>
      <c r="D12" s="1">
        <f t="shared" ref="D12:D26" si="1">C12*B12</f>
        <v>150</v>
      </c>
      <c r="E12" s="14">
        <f t="shared" ref="E12:E26" si="2">E11+D12</f>
        <v>150</v>
      </c>
      <c r="F12"/>
      <c r="G12"/>
      <c r="H12"/>
      <c r="I12"/>
    </row>
    <row r="13" spans="1:9" s="1" customFormat="1" x14ac:dyDescent="0.3">
      <c r="A13" s="6">
        <f t="shared" si="0"/>
        <v>2036</v>
      </c>
      <c r="B13" s="6">
        <f t="shared" si="0"/>
        <v>11</v>
      </c>
      <c r="C13" s="1">
        <v>15</v>
      </c>
      <c r="D13" s="1">
        <f t="shared" si="1"/>
        <v>165</v>
      </c>
      <c r="E13" s="14">
        <f t="shared" si="2"/>
        <v>315</v>
      </c>
      <c r="F13"/>
      <c r="G13"/>
      <c r="H13"/>
      <c r="I13"/>
    </row>
    <row r="14" spans="1:9" s="1" customFormat="1" x14ac:dyDescent="0.3">
      <c r="A14" s="6">
        <f t="shared" si="0"/>
        <v>2037</v>
      </c>
      <c r="B14" s="6">
        <f t="shared" si="0"/>
        <v>12</v>
      </c>
      <c r="C14" s="1">
        <v>15</v>
      </c>
      <c r="D14" s="1">
        <f t="shared" si="1"/>
        <v>180</v>
      </c>
      <c r="E14" s="14">
        <f t="shared" si="2"/>
        <v>495</v>
      </c>
      <c r="F14"/>
      <c r="G14"/>
      <c r="H14"/>
      <c r="I14"/>
    </row>
    <row r="15" spans="1:9" s="1" customFormat="1" x14ac:dyDescent="0.3">
      <c r="A15" s="6">
        <f t="shared" si="0"/>
        <v>2038</v>
      </c>
      <c r="B15" s="6">
        <f t="shared" si="0"/>
        <v>13</v>
      </c>
      <c r="C15" s="1">
        <v>15</v>
      </c>
      <c r="D15" s="1">
        <f t="shared" si="1"/>
        <v>195</v>
      </c>
      <c r="E15" s="14">
        <f t="shared" si="2"/>
        <v>690</v>
      </c>
      <c r="F15"/>
      <c r="G15"/>
      <c r="H15"/>
      <c r="I15"/>
    </row>
    <row r="16" spans="1:9" s="1" customFormat="1" x14ac:dyDescent="0.3">
      <c r="A16" s="8">
        <f t="shared" si="0"/>
        <v>2039</v>
      </c>
      <c r="B16" s="8">
        <f t="shared" si="0"/>
        <v>14</v>
      </c>
      <c r="C16" s="9">
        <v>15</v>
      </c>
      <c r="D16" s="9">
        <f t="shared" si="1"/>
        <v>210</v>
      </c>
      <c r="E16" s="15">
        <f t="shared" si="2"/>
        <v>900</v>
      </c>
      <c r="F16"/>
      <c r="G16">
        <f>SUM(B7:B16)</f>
        <v>60</v>
      </c>
      <c r="H16"/>
      <c r="I16"/>
    </row>
    <row r="17" spans="1:9" s="1" customFormat="1" x14ac:dyDescent="0.3">
      <c r="A17" s="6">
        <f t="shared" si="0"/>
        <v>2040</v>
      </c>
      <c r="B17" s="3">
        <v>14</v>
      </c>
      <c r="C17" s="4">
        <v>20</v>
      </c>
      <c r="D17" s="5">
        <f t="shared" si="1"/>
        <v>280</v>
      </c>
      <c r="E17" s="14">
        <f t="shared" si="2"/>
        <v>1180</v>
      </c>
      <c r="F17"/>
      <c r="G17"/>
      <c r="H17"/>
      <c r="I17"/>
    </row>
    <row r="18" spans="1:9" s="1" customFormat="1" x14ac:dyDescent="0.3">
      <c r="A18" s="6">
        <f t="shared" si="0"/>
        <v>2041</v>
      </c>
      <c r="B18" s="6">
        <f>B17+1</f>
        <v>15</v>
      </c>
      <c r="C18" s="1">
        <v>20</v>
      </c>
      <c r="D18" s="7">
        <f t="shared" si="1"/>
        <v>300</v>
      </c>
      <c r="E18" s="14">
        <f t="shared" si="2"/>
        <v>1480</v>
      </c>
      <c r="F18"/>
      <c r="G18"/>
      <c r="H18"/>
      <c r="I18"/>
    </row>
    <row r="19" spans="1:9" s="1" customFormat="1" x14ac:dyDescent="0.3">
      <c r="A19" s="6">
        <f t="shared" si="0"/>
        <v>2042</v>
      </c>
      <c r="B19" s="6">
        <f t="shared" si="0"/>
        <v>16</v>
      </c>
      <c r="C19" s="1">
        <v>20</v>
      </c>
      <c r="D19" s="7">
        <f t="shared" si="1"/>
        <v>320</v>
      </c>
      <c r="E19" s="14">
        <f t="shared" si="2"/>
        <v>1800</v>
      </c>
      <c r="F19"/>
      <c r="G19"/>
      <c r="H19"/>
      <c r="I19"/>
    </row>
    <row r="20" spans="1:9" s="1" customFormat="1" x14ac:dyDescent="0.3">
      <c r="A20" s="6">
        <f t="shared" si="0"/>
        <v>2043</v>
      </c>
      <c r="B20" s="6">
        <f t="shared" si="0"/>
        <v>17</v>
      </c>
      <c r="C20" s="1">
        <v>20</v>
      </c>
      <c r="D20" s="7">
        <f t="shared" si="1"/>
        <v>340</v>
      </c>
      <c r="E20" s="14">
        <f t="shared" si="2"/>
        <v>2140</v>
      </c>
      <c r="F20"/>
      <c r="G20"/>
      <c r="H20"/>
      <c r="I20"/>
    </row>
    <row r="21" spans="1:9" s="1" customFormat="1" x14ac:dyDescent="0.3">
      <c r="A21" s="6">
        <f t="shared" si="0"/>
        <v>2044</v>
      </c>
      <c r="B21" s="6">
        <f t="shared" si="0"/>
        <v>18</v>
      </c>
      <c r="C21" s="1">
        <v>20</v>
      </c>
      <c r="D21" s="7">
        <f t="shared" si="1"/>
        <v>360</v>
      </c>
      <c r="E21" s="14">
        <f t="shared" si="2"/>
        <v>2500</v>
      </c>
      <c r="F21"/>
      <c r="G21"/>
      <c r="H21"/>
      <c r="I21"/>
    </row>
    <row r="22" spans="1:9" s="1" customFormat="1" x14ac:dyDescent="0.3">
      <c r="A22" s="6">
        <f t="shared" si="0"/>
        <v>2045</v>
      </c>
      <c r="B22" s="6">
        <f t="shared" si="0"/>
        <v>19</v>
      </c>
      <c r="C22" s="1">
        <v>20</v>
      </c>
      <c r="D22" s="7">
        <f t="shared" si="1"/>
        <v>380</v>
      </c>
      <c r="E22" s="14">
        <f t="shared" si="2"/>
        <v>2880</v>
      </c>
      <c r="F22"/>
      <c r="G22"/>
      <c r="H22"/>
      <c r="I22"/>
    </row>
    <row r="23" spans="1:9" s="1" customFormat="1" x14ac:dyDescent="0.3">
      <c r="A23" s="6">
        <f t="shared" si="0"/>
        <v>2046</v>
      </c>
      <c r="B23" s="6">
        <f t="shared" si="0"/>
        <v>20</v>
      </c>
      <c r="C23" s="1">
        <v>20</v>
      </c>
      <c r="D23" s="7">
        <f t="shared" si="1"/>
        <v>400</v>
      </c>
      <c r="E23" s="14">
        <f t="shared" si="2"/>
        <v>3280</v>
      </c>
      <c r="F23"/>
      <c r="G23"/>
      <c r="H23"/>
      <c r="I23"/>
    </row>
    <row r="24" spans="1:9" x14ac:dyDescent="0.3">
      <c r="A24" s="6">
        <f t="shared" ref="A24:A26" si="3">A23+1</f>
        <v>2047</v>
      </c>
      <c r="B24" s="6">
        <v>20</v>
      </c>
      <c r="C24" s="1">
        <v>20</v>
      </c>
      <c r="D24" s="7">
        <f t="shared" si="1"/>
        <v>400</v>
      </c>
      <c r="E24" s="14">
        <f t="shared" si="2"/>
        <v>3680</v>
      </c>
      <c r="F24"/>
    </row>
    <row r="25" spans="1:9" x14ac:dyDescent="0.3">
      <c r="A25" s="6">
        <f t="shared" si="3"/>
        <v>2048</v>
      </c>
      <c r="B25" s="6">
        <v>20</v>
      </c>
      <c r="C25" s="1">
        <v>20</v>
      </c>
      <c r="D25" s="7">
        <f t="shared" si="1"/>
        <v>400</v>
      </c>
      <c r="E25" s="14">
        <f t="shared" si="2"/>
        <v>4080</v>
      </c>
      <c r="F25"/>
    </row>
    <row r="26" spans="1:9" x14ac:dyDescent="0.3">
      <c r="A26" s="8">
        <f t="shared" si="3"/>
        <v>2049</v>
      </c>
      <c r="B26" s="8">
        <v>20</v>
      </c>
      <c r="C26" s="9">
        <v>20</v>
      </c>
      <c r="D26" s="10">
        <f t="shared" si="1"/>
        <v>400</v>
      </c>
      <c r="E26" s="118">
        <f t="shared" si="2"/>
        <v>4480</v>
      </c>
      <c r="F26" t="s">
        <v>74</v>
      </c>
      <c r="G26">
        <f>SUM(B7:B26)</f>
        <v>239</v>
      </c>
    </row>
    <row r="27" spans="1:9" x14ac:dyDescent="0.3">
      <c r="F27" t="s">
        <v>76</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59FB1-AB00-40C0-8165-3EAFD72AE74E}">
  <dimension ref="A1:J27"/>
  <sheetViews>
    <sheetView zoomScale="110" zoomScaleNormal="110" workbookViewId="0">
      <selection activeCell="F6" sqref="F6:F27"/>
    </sheetView>
  </sheetViews>
  <sheetFormatPr defaultColWidth="15.6640625" defaultRowHeight="14.4" x14ac:dyDescent="0.3"/>
  <cols>
    <col min="1" max="5" width="10.6640625" style="1" customWidth="1"/>
    <col min="6" max="6" width="14.109375" style="1" customWidth="1"/>
  </cols>
  <sheetData>
    <row r="1" spans="1:10" s="1" customFormat="1" x14ac:dyDescent="0.3">
      <c r="A1" s="11" t="s">
        <v>0</v>
      </c>
      <c r="B1" s="11" t="s">
        <v>5</v>
      </c>
      <c r="C1" s="12" t="s">
        <v>6</v>
      </c>
      <c r="D1" s="12" t="s">
        <v>2</v>
      </c>
      <c r="E1" s="13" t="s">
        <v>8</v>
      </c>
      <c r="G1" s="1" t="s">
        <v>78</v>
      </c>
      <c r="H1"/>
      <c r="I1"/>
      <c r="J1"/>
    </row>
    <row r="2" spans="1:10" s="1" customFormat="1" x14ac:dyDescent="0.3">
      <c r="A2" s="3">
        <v>2025</v>
      </c>
      <c r="B2" s="3">
        <v>0</v>
      </c>
      <c r="C2" s="4">
        <v>0</v>
      </c>
      <c r="D2" s="4">
        <v>0</v>
      </c>
      <c r="E2" s="16">
        <v>0</v>
      </c>
      <c r="G2"/>
      <c r="H2"/>
      <c r="I2"/>
      <c r="J2"/>
    </row>
    <row r="3" spans="1:10" s="1" customFormat="1" x14ac:dyDescent="0.3">
      <c r="A3" s="6">
        <v>2026</v>
      </c>
      <c r="B3" s="6">
        <v>0</v>
      </c>
      <c r="C3" s="1">
        <v>0</v>
      </c>
      <c r="D3" s="1">
        <v>0</v>
      </c>
      <c r="E3" s="14">
        <v>0</v>
      </c>
      <c r="G3"/>
      <c r="H3"/>
      <c r="I3"/>
      <c r="J3"/>
    </row>
    <row r="4" spans="1:10" s="1" customFormat="1" x14ac:dyDescent="0.3">
      <c r="A4" s="6">
        <v>2027</v>
      </c>
      <c r="B4" s="6">
        <v>0</v>
      </c>
      <c r="C4" s="1">
        <v>0</v>
      </c>
      <c r="D4" s="1">
        <v>0</v>
      </c>
      <c r="E4" s="14">
        <v>0</v>
      </c>
      <c r="G4"/>
      <c r="H4"/>
      <c r="I4"/>
      <c r="J4"/>
    </row>
    <row r="5" spans="1:10" s="1" customFormat="1" x14ac:dyDescent="0.3">
      <c r="A5" s="6">
        <v>2028</v>
      </c>
      <c r="B5" s="6">
        <v>0</v>
      </c>
      <c r="C5" s="1">
        <v>0</v>
      </c>
      <c r="D5" s="1">
        <v>0</v>
      </c>
      <c r="E5" s="14">
        <v>0</v>
      </c>
      <c r="G5"/>
      <c r="H5"/>
      <c r="I5"/>
      <c r="J5"/>
    </row>
    <row r="6" spans="1:10" s="1" customFormat="1" x14ac:dyDescent="0.3">
      <c r="A6" s="8">
        <v>2029</v>
      </c>
      <c r="B6" s="8">
        <v>0</v>
      </c>
      <c r="C6" s="9">
        <v>0</v>
      </c>
      <c r="D6" s="9">
        <v>0</v>
      </c>
      <c r="E6" s="15">
        <v>0</v>
      </c>
      <c r="F6" t="s">
        <v>73</v>
      </c>
      <c r="G6"/>
      <c r="H6"/>
      <c r="I6"/>
      <c r="J6"/>
    </row>
    <row r="7" spans="1:10" s="1" customFormat="1" x14ac:dyDescent="0.3">
      <c r="A7" s="3">
        <v>2030</v>
      </c>
      <c r="B7" s="3">
        <v>0</v>
      </c>
      <c r="C7" s="4">
        <v>0</v>
      </c>
      <c r="D7" s="4">
        <v>0</v>
      </c>
      <c r="E7" s="16">
        <v>0</v>
      </c>
      <c r="F7" t="s">
        <v>75</v>
      </c>
      <c r="G7"/>
      <c r="H7"/>
      <c r="I7"/>
      <c r="J7"/>
    </row>
    <row r="8" spans="1:10" s="1" customFormat="1" x14ac:dyDescent="0.3">
      <c r="A8" s="6">
        <f t="shared" ref="A8:B23" si="0">A7+1</f>
        <v>2031</v>
      </c>
      <c r="B8" s="6">
        <v>0</v>
      </c>
      <c r="C8" s="1">
        <v>0</v>
      </c>
      <c r="D8" s="1">
        <v>0</v>
      </c>
      <c r="E8" s="14">
        <v>0</v>
      </c>
      <c r="F8"/>
      <c r="G8"/>
      <c r="H8"/>
      <c r="I8"/>
      <c r="J8"/>
    </row>
    <row r="9" spans="1:10" s="1" customFormat="1" x14ac:dyDescent="0.3">
      <c r="A9" s="6">
        <f t="shared" si="0"/>
        <v>2032</v>
      </c>
      <c r="B9" s="6">
        <v>0</v>
      </c>
      <c r="C9" s="1">
        <v>0</v>
      </c>
      <c r="D9" s="1">
        <v>0</v>
      </c>
      <c r="E9" s="14">
        <v>0</v>
      </c>
      <c r="F9"/>
      <c r="G9"/>
      <c r="H9"/>
      <c r="I9"/>
      <c r="J9"/>
    </row>
    <row r="10" spans="1:10" s="1" customFormat="1" x14ac:dyDescent="0.3">
      <c r="A10" s="6">
        <f t="shared" si="0"/>
        <v>2033</v>
      </c>
      <c r="B10" s="6">
        <v>0</v>
      </c>
      <c r="C10" s="1">
        <v>0</v>
      </c>
      <c r="D10" s="1">
        <v>0</v>
      </c>
      <c r="E10" s="14">
        <v>0</v>
      </c>
      <c r="F10"/>
      <c r="G10"/>
      <c r="H10"/>
      <c r="I10"/>
      <c r="J10"/>
    </row>
    <row r="11" spans="1:10" s="1" customFormat="1" x14ac:dyDescent="0.3">
      <c r="A11" s="8">
        <f t="shared" si="0"/>
        <v>2034</v>
      </c>
      <c r="B11" s="8">
        <v>0</v>
      </c>
      <c r="C11" s="9">
        <v>0</v>
      </c>
      <c r="D11" s="9">
        <v>0</v>
      </c>
      <c r="E11" s="15">
        <v>0</v>
      </c>
      <c r="F11"/>
      <c r="G11">
        <f>SUM(B7:B11)</f>
        <v>0</v>
      </c>
      <c r="H11"/>
      <c r="I11"/>
      <c r="J11"/>
    </row>
    <row r="12" spans="1:10" s="1" customFormat="1" x14ac:dyDescent="0.3">
      <c r="A12" s="6">
        <f t="shared" si="0"/>
        <v>2035</v>
      </c>
      <c r="B12" s="6">
        <v>15</v>
      </c>
      <c r="C12" s="1">
        <v>15</v>
      </c>
      <c r="D12" s="1">
        <f t="shared" ref="D12:D26" si="1">C12*B12</f>
        <v>225</v>
      </c>
      <c r="E12" s="14">
        <f t="shared" ref="E12:E26" si="2">E11+D12</f>
        <v>225</v>
      </c>
      <c r="F12"/>
      <c r="G12"/>
      <c r="H12"/>
      <c r="I12"/>
      <c r="J12"/>
    </row>
    <row r="13" spans="1:10" s="1" customFormat="1" x14ac:dyDescent="0.3">
      <c r="A13" s="6">
        <f t="shared" si="0"/>
        <v>2036</v>
      </c>
      <c r="B13" s="6">
        <f t="shared" si="0"/>
        <v>16</v>
      </c>
      <c r="C13" s="1">
        <v>15</v>
      </c>
      <c r="D13" s="1">
        <f t="shared" si="1"/>
        <v>240</v>
      </c>
      <c r="E13" s="14">
        <f t="shared" si="2"/>
        <v>465</v>
      </c>
      <c r="F13"/>
      <c r="G13"/>
      <c r="H13"/>
      <c r="I13"/>
      <c r="J13"/>
    </row>
    <row r="14" spans="1:10" s="1" customFormat="1" x14ac:dyDescent="0.3">
      <c r="A14" s="6">
        <f t="shared" si="0"/>
        <v>2037</v>
      </c>
      <c r="B14" s="6">
        <f t="shared" si="0"/>
        <v>17</v>
      </c>
      <c r="C14" s="1">
        <v>15</v>
      </c>
      <c r="D14" s="1">
        <f t="shared" si="1"/>
        <v>255</v>
      </c>
      <c r="E14" s="14">
        <f t="shared" si="2"/>
        <v>720</v>
      </c>
      <c r="F14"/>
      <c r="G14"/>
      <c r="H14"/>
      <c r="I14"/>
      <c r="J14"/>
    </row>
    <row r="15" spans="1:10" s="1" customFormat="1" x14ac:dyDescent="0.3">
      <c r="A15" s="6">
        <f t="shared" si="0"/>
        <v>2038</v>
      </c>
      <c r="B15" s="6">
        <f t="shared" si="0"/>
        <v>18</v>
      </c>
      <c r="C15" s="1">
        <v>15</v>
      </c>
      <c r="D15" s="1">
        <f t="shared" si="1"/>
        <v>270</v>
      </c>
      <c r="E15" s="14">
        <f t="shared" si="2"/>
        <v>990</v>
      </c>
      <c r="F15"/>
      <c r="G15"/>
      <c r="H15"/>
      <c r="I15"/>
      <c r="J15"/>
    </row>
    <row r="16" spans="1:10" s="1" customFormat="1" x14ac:dyDescent="0.3">
      <c r="A16" s="8">
        <f t="shared" si="0"/>
        <v>2039</v>
      </c>
      <c r="B16" s="8">
        <f t="shared" si="0"/>
        <v>19</v>
      </c>
      <c r="C16" s="9">
        <v>15</v>
      </c>
      <c r="D16" s="9">
        <f t="shared" si="1"/>
        <v>285</v>
      </c>
      <c r="E16" s="15">
        <f t="shared" si="2"/>
        <v>1275</v>
      </c>
      <c r="F16"/>
      <c r="G16">
        <f>SUM(B7:B16)</f>
        <v>85</v>
      </c>
      <c r="H16"/>
      <c r="I16"/>
      <c r="J16"/>
    </row>
    <row r="17" spans="1:10" s="1" customFormat="1" x14ac:dyDescent="0.3">
      <c r="A17" s="6">
        <f t="shared" si="0"/>
        <v>2040</v>
      </c>
      <c r="B17" s="3">
        <v>19</v>
      </c>
      <c r="C17" s="4">
        <v>20</v>
      </c>
      <c r="D17" s="4">
        <f t="shared" si="1"/>
        <v>380</v>
      </c>
      <c r="E17" s="16">
        <f t="shared" si="2"/>
        <v>1655</v>
      </c>
      <c r="F17"/>
      <c r="G17"/>
      <c r="H17"/>
      <c r="I17"/>
      <c r="J17"/>
    </row>
    <row r="18" spans="1:10" s="1" customFormat="1" x14ac:dyDescent="0.3">
      <c r="A18" s="6">
        <f t="shared" si="0"/>
        <v>2041</v>
      </c>
      <c r="B18" s="6">
        <f t="shared" ref="B18:B26" si="3">B17+1</f>
        <v>20</v>
      </c>
      <c r="C18" s="1">
        <v>20</v>
      </c>
      <c r="D18" s="1">
        <f t="shared" si="1"/>
        <v>400</v>
      </c>
      <c r="E18" s="14">
        <f t="shared" si="2"/>
        <v>2055</v>
      </c>
      <c r="F18"/>
      <c r="G18"/>
      <c r="H18"/>
      <c r="I18"/>
      <c r="J18"/>
    </row>
    <row r="19" spans="1:10" s="1" customFormat="1" x14ac:dyDescent="0.3">
      <c r="A19" s="6">
        <f t="shared" si="0"/>
        <v>2042</v>
      </c>
      <c r="B19" s="6">
        <f t="shared" si="3"/>
        <v>21</v>
      </c>
      <c r="C19" s="1">
        <v>20</v>
      </c>
      <c r="D19" s="1">
        <f t="shared" si="1"/>
        <v>420</v>
      </c>
      <c r="E19" s="14">
        <f t="shared" si="2"/>
        <v>2475</v>
      </c>
      <c r="F19"/>
      <c r="G19"/>
      <c r="H19"/>
      <c r="I19"/>
      <c r="J19"/>
    </row>
    <row r="20" spans="1:10" s="1" customFormat="1" x14ac:dyDescent="0.3">
      <c r="A20" s="6">
        <f t="shared" si="0"/>
        <v>2043</v>
      </c>
      <c r="B20" s="6">
        <f t="shared" si="3"/>
        <v>22</v>
      </c>
      <c r="C20" s="1">
        <v>20</v>
      </c>
      <c r="D20" s="1">
        <f t="shared" si="1"/>
        <v>440</v>
      </c>
      <c r="E20" s="14">
        <f t="shared" si="2"/>
        <v>2915</v>
      </c>
      <c r="F20"/>
      <c r="G20"/>
      <c r="H20"/>
      <c r="I20"/>
      <c r="J20"/>
    </row>
    <row r="21" spans="1:10" s="1" customFormat="1" x14ac:dyDescent="0.3">
      <c r="A21" s="6">
        <f t="shared" si="0"/>
        <v>2044</v>
      </c>
      <c r="B21" s="6">
        <f t="shared" si="3"/>
        <v>23</v>
      </c>
      <c r="C21" s="1">
        <v>20</v>
      </c>
      <c r="D21" s="1">
        <f t="shared" si="1"/>
        <v>460</v>
      </c>
      <c r="E21" s="14">
        <f t="shared" si="2"/>
        <v>3375</v>
      </c>
      <c r="F21"/>
      <c r="G21"/>
      <c r="H21"/>
      <c r="I21"/>
      <c r="J21"/>
    </row>
    <row r="22" spans="1:10" s="1" customFormat="1" x14ac:dyDescent="0.3">
      <c r="A22" s="6">
        <f t="shared" si="0"/>
        <v>2045</v>
      </c>
      <c r="B22" s="6">
        <f t="shared" si="3"/>
        <v>24</v>
      </c>
      <c r="C22" s="1">
        <v>20</v>
      </c>
      <c r="D22" s="1">
        <f t="shared" si="1"/>
        <v>480</v>
      </c>
      <c r="E22" s="14">
        <f t="shared" si="2"/>
        <v>3855</v>
      </c>
      <c r="F22"/>
      <c r="G22"/>
      <c r="H22"/>
      <c r="I22"/>
      <c r="J22"/>
    </row>
    <row r="23" spans="1:10" s="1" customFormat="1" x14ac:dyDescent="0.3">
      <c r="A23" s="6">
        <f t="shared" si="0"/>
        <v>2046</v>
      </c>
      <c r="B23" s="6">
        <f t="shared" si="3"/>
        <v>25</v>
      </c>
      <c r="C23" s="1">
        <v>20</v>
      </c>
      <c r="D23" s="1">
        <f t="shared" si="1"/>
        <v>500</v>
      </c>
      <c r="E23" s="14">
        <f t="shared" si="2"/>
        <v>4355</v>
      </c>
      <c r="F23"/>
      <c r="G23"/>
      <c r="H23"/>
      <c r="I23"/>
      <c r="J23"/>
    </row>
    <row r="24" spans="1:10" x14ac:dyDescent="0.3">
      <c r="A24" s="6">
        <f t="shared" ref="A24:A26" si="4">A23+1</f>
        <v>2047</v>
      </c>
      <c r="B24" s="6">
        <f t="shared" si="3"/>
        <v>26</v>
      </c>
      <c r="C24" s="1">
        <v>20</v>
      </c>
      <c r="D24" s="1">
        <f t="shared" si="1"/>
        <v>520</v>
      </c>
      <c r="E24" s="14">
        <f t="shared" si="2"/>
        <v>4875</v>
      </c>
      <c r="F24"/>
    </row>
    <row r="25" spans="1:10" x14ac:dyDescent="0.3">
      <c r="A25" s="6">
        <f t="shared" si="4"/>
        <v>2048</v>
      </c>
      <c r="B25" s="6">
        <f t="shared" si="3"/>
        <v>27</v>
      </c>
      <c r="C25" s="1">
        <v>20</v>
      </c>
      <c r="D25" s="1">
        <f t="shared" si="1"/>
        <v>540</v>
      </c>
      <c r="E25" s="14">
        <f t="shared" si="2"/>
        <v>5415</v>
      </c>
      <c r="F25"/>
    </row>
    <row r="26" spans="1:10" x14ac:dyDescent="0.3">
      <c r="A26" s="8">
        <f t="shared" si="4"/>
        <v>2049</v>
      </c>
      <c r="B26" s="8">
        <f t="shared" si="3"/>
        <v>28</v>
      </c>
      <c r="C26" s="9">
        <v>20</v>
      </c>
      <c r="D26" s="9">
        <f t="shared" si="1"/>
        <v>560</v>
      </c>
      <c r="E26" s="118">
        <f t="shared" si="2"/>
        <v>5975</v>
      </c>
      <c r="F26" t="s">
        <v>74</v>
      </c>
      <c r="G26">
        <f>SUM(B7:B26)</f>
        <v>320</v>
      </c>
    </row>
    <row r="27" spans="1:10" x14ac:dyDescent="0.3">
      <c r="F27" t="s">
        <v>76</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4614F-58AD-4F2E-A3AA-CBFA943FCFBD}">
  <dimension ref="A1:J27"/>
  <sheetViews>
    <sheetView zoomScale="110" zoomScaleNormal="110" workbookViewId="0">
      <selection activeCell="F6" sqref="F6:F27"/>
    </sheetView>
  </sheetViews>
  <sheetFormatPr defaultColWidth="15.6640625" defaultRowHeight="14.4" x14ac:dyDescent="0.3"/>
  <cols>
    <col min="1" max="5" width="10.6640625" style="1" customWidth="1"/>
    <col min="6" max="6" width="15.33203125" style="1" customWidth="1"/>
  </cols>
  <sheetData>
    <row r="1" spans="1:10" s="1" customFormat="1" x14ac:dyDescent="0.3">
      <c r="A1" s="11" t="s">
        <v>0</v>
      </c>
      <c r="B1" s="11" t="s">
        <v>5</v>
      </c>
      <c r="C1" s="12" t="s">
        <v>6</v>
      </c>
      <c r="D1" s="12" t="s">
        <v>2</v>
      </c>
      <c r="E1" s="13" t="s">
        <v>4</v>
      </c>
      <c r="G1" s="1" t="s">
        <v>78</v>
      </c>
      <c r="H1"/>
      <c r="I1"/>
      <c r="J1"/>
    </row>
    <row r="2" spans="1:10" s="1" customFormat="1" x14ac:dyDescent="0.3">
      <c r="A2" s="3">
        <v>2025</v>
      </c>
      <c r="B2" s="3">
        <v>0</v>
      </c>
      <c r="C2" s="4">
        <v>0</v>
      </c>
      <c r="D2" s="4">
        <v>0</v>
      </c>
      <c r="E2" s="16">
        <v>0</v>
      </c>
      <c r="G2"/>
      <c r="H2"/>
      <c r="I2"/>
      <c r="J2"/>
    </row>
    <row r="3" spans="1:10" s="1" customFormat="1" x14ac:dyDescent="0.3">
      <c r="A3" s="6">
        <v>2026</v>
      </c>
      <c r="B3" s="6">
        <v>0</v>
      </c>
      <c r="C3" s="1">
        <v>0</v>
      </c>
      <c r="D3" s="1">
        <v>0</v>
      </c>
      <c r="E3" s="14">
        <v>0</v>
      </c>
      <c r="G3"/>
      <c r="H3"/>
      <c r="I3"/>
      <c r="J3"/>
    </row>
    <row r="4" spans="1:10" s="1" customFormat="1" x14ac:dyDescent="0.3">
      <c r="A4" s="6">
        <v>2027</v>
      </c>
      <c r="B4" s="6">
        <v>0</v>
      </c>
      <c r="C4" s="1">
        <v>0</v>
      </c>
      <c r="D4" s="1">
        <v>0</v>
      </c>
      <c r="E4" s="14">
        <v>0</v>
      </c>
      <c r="G4"/>
      <c r="H4"/>
      <c r="I4"/>
      <c r="J4"/>
    </row>
    <row r="5" spans="1:10" s="1" customFormat="1" x14ac:dyDescent="0.3">
      <c r="A5" s="6">
        <v>2028</v>
      </c>
      <c r="B5" s="6">
        <v>0</v>
      </c>
      <c r="C5" s="1">
        <v>0</v>
      </c>
      <c r="D5" s="1">
        <v>0</v>
      </c>
      <c r="E5" s="14">
        <v>0</v>
      </c>
      <c r="G5"/>
      <c r="H5"/>
      <c r="I5"/>
      <c r="J5"/>
    </row>
    <row r="6" spans="1:10" s="1" customFormat="1" x14ac:dyDescent="0.3">
      <c r="A6" s="8">
        <v>2029</v>
      </c>
      <c r="B6" s="8">
        <v>0</v>
      </c>
      <c r="C6" s="9">
        <v>0</v>
      </c>
      <c r="D6" s="9">
        <v>0</v>
      </c>
      <c r="E6" s="15">
        <v>0</v>
      </c>
      <c r="F6" t="s">
        <v>73</v>
      </c>
      <c r="G6"/>
      <c r="H6"/>
      <c r="I6"/>
      <c r="J6"/>
    </row>
    <row r="7" spans="1:10" s="1" customFormat="1" x14ac:dyDescent="0.3">
      <c r="A7" s="3">
        <v>2030</v>
      </c>
      <c r="B7" s="3">
        <v>0</v>
      </c>
      <c r="C7" s="4">
        <v>0</v>
      </c>
      <c r="D7" s="4">
        <v>0</v>
      </c>
      <c r="E7" s="16">
        <v>0</v>
      </c>
      <c r="F7" t="s">
        <v>75</v>
      </c>
      <c r="G7"/>
      <c r="H7"/>
      <c r="I7"/>
      <c r="J7"/>
    </row>
    <row r="8" spans="1:10" s="1" customFormat="1" x14ac:dyDescent="0.3">
      <c r="A8" s="6">
        <f t="shared" ref="A8:A23" si="0">A7+1</f>
        <v>2031</v>
      </c>
      <c r="B8" s="6">
        <v>0</v>
      </c>
      <c r="C8" s="1">
        <v>0</v>
      </c>
      <c r="D8" s="1">
        <v>0</v>
      </c>
      <c r="E8" s="14">
        <v>0</v>
      </c>
      <c r="F8"/>
      <c r="G8"/>
      <c r="H8"/>
      <c r="I8"/>
      <c r="J8"/>
    </row>
    <row r="9" spans="1:10" s="1" customFormat="1" x14ac:dyDescent="0.3">
      <c r="A9" s="6">
        <f t="shared" si="0"/>
        <v>2032</v>
      </c>
      <c r="B9" s="6">
        <v>0</v>
      </c>
      <c r="C9" s="1">
        <v>0</v>
      </c>
      <c r="D9" s="1">
        <v>0</v>
      </c>
      <c r="E9" s="14">
        <v>0</v>
      </c>
      <c r="F9"/>
      <c r="G9"/>
      <c r="H9"/>
      <c r="I9"/>
      <c r="J9"/>
    </row>
    <row r="10" spans="1:10" s="1" customFormat="1" x14ac:dyDescent="0.3">
      <c r="A10" s="6">
        <f t="shared" si="0"/>
        <v>2033</v>
      </c>
      <c r="B10" s="6">
        <v>0</v>
      </c>
      <c r="C10" s="1">
        <v>0</v>
      </c>
      <c r="D10" s="1">
        <v>0</v>
      </c>
      <c r="E10" s="14">
        <v>0</v>
      </c>
      <c r="F10"/>
      <c r="G10"/>
      <c r="H10"/>
      <c r="I10"/>
      <c r="J10"/>
    </row>
    <row r="11" spans="1:10" s="1" customFormat="1" x14ac:dyDescent="0.3">
      <c r="A11" s="8">
        <f t="shared" si="0"/>
        <v>2034</v>
      </c>
      <c r="B11" s="8">
        <v>0</v>
      </c>
      <c r="C11" s="9">
        <v>0</v>
      </c>
      <c r="D11" s="9">
        <v>0</v>
      </c>
      <c r="E11" s="15">
        <v>0</v>
      </c>
      <c r="F11"/>
      <c r="G11">
        <f>SUM(B7:B11)</f>
        <v>0</v>
      </c>
      <c r="H11"/>
      <c r="I11"/>
      <c r="J11"/>
    </row>
    <row r="12" spans="1:10" s="1" customFormat="1" x14ac:dyDescent="0.3">
      <c r="A12" s="6">
        <f t="shared" si="0"/>
        <v>2035</v>
      </c>
      <c r="B12" s="3">
        <v>0</v>
      </c>
      <c r="C12" s="4">
        <v>0</v>
      </c>
      <c r="D12" s="4">
        <v>0</v>
      </c>
      <c r="E12" s="16">
        <v>0</v>
      </c>
      <c r="F12"/>
      <c r="G12"/>
      <c r="H12"/>
      <c r="I12"/>
      <c r="J12"/>
    </row>
    <row r="13" spans="1:10" s="1" customFormat="1" x14ac:dyDescent="0.3">
      <c r="A13" s="6">
        <f t="shared" si="0"/>
        <v>2036</v>
      </c>
      <c r="B13" s="6">
        <v>0</v>
      </c>
      <c r="C13" s="1">
        <v>0</v>
      </c>
      <c r="D13" s="1">
        <v>0</v>
      </c>
      <c r="E13" s="14">
        <v>0</v>
      </c>
      <c r="F13"/>
      <c r="G13"/>
      <c r="H13"/>
      <c r="I13"/>
      <c r="J13"/>
    </row>
    <row r="14" spans="1:10" s="1" customFormat="1" x14ac:dyDescent="0.3">
      <c r="A14" s="6">
        <f t="shared" si="0"/>
        <v>2037</v>
      </c>
      <c r="B14" s="6">
        <v>0</v>
      </c>
      <c r="C14" s="1">
        <v>0</v>
      </c>
      <c r="D14" s="1">
        <v>0</v>
      </c>
      <c r="E14" s="14">
        <v>0</v>
      </c>
      <c r="F14"/>
      <c r="G14"/>
      <c r="H14"/>
      <c r="I14"/>
      <c r="J14"/>
    </row>
    <row r="15" spans="1:10" s="1" customFormat="1" x14ac:dyDescent="0.3">
      <c r="A15" s="6">
        <f t="shared" si="0"/>
        <v>2038</v>
      </c>
      <c r="B15" s="6">
        <v>0</v>
      </c>
      <c r="C15" s="1">
        <v>0</v>
      </c>
      <c r="D15" s="1">
        <v>0</v>
      </c>
      <c r="E15" s="14">
        <v>0</v>
      </c>
      <c r="F15"/>
      <c r="G15"/>
      <c r="H15"/>
      <c r="I15"/>
      <c r="J15"/>
    </row>
    <row r="16" spans="1:10" s="1" customFormat="1" x14ac:dyDescent="0.3">
      <c r="A16" s="8">
        <f t="shared" si="0"/>
        <v>2039</v>
      </c>
      <c r="B16" s="8">
        <v>0</v>
      </c>
      <c r="C16" s="9">
        <v>0</v>
      </c>
      <c r="D16" s="9">
        <v>0</v>
      </c>
      <c r="E16" s="15">
        <v>0</v>
      </c>
      <c r="F16"/>
      <c r="G16">
        <f>SUM(B7:B16)</f>
        <v>0</v>
      </c>
      <c r="H16"/>
      <c r="I16"/>
      <c r="J16"/>
    </row>
    <row r="17" spans="1:10" s="1" customFormat="1" x14ac:dyDescent="0.3">
      <c r="A17" s="6">
        <f t="shared" si="0"/>
        <v>2040</v>
      </c>
      <c r="B17" s="3">
        <v>10</v>
      </c>
      <c r="C17" s="4">
        <v>20</v>
      </c>
      <c r="D17" s="4">
        <f t="shared" ref="D17:D26" si="1">C17*B17</f>
        <v>200</v>
      </c>
      <c r="E17" s="16">
        <f t="shared" ref="E17:E26" si="2">E16+D17</f>
        <v>200</v>
      </c>
      <c r="F17"/>
      <c r="G17"/>
      <c r="H17"/>
      <c r="I17"/>
      <c r="J17"/>
    </row>
    <row r="18" spans="1:10" s="1" customFormat="1" x14ac:dyDescent="0.3">
      <c r="A18" s="6">
        <f t="shared" si="0"/>
        <v>2041</v>
      </c>
      <c r="B18" s="6">
        <f t="shared" ref="B18:B26" si="3">B17+1</f>
        <v>11</v>
      </c>
      <c r="C18" s="1">
        <v>20</v>
      </c>
      <c r="D18" s="1">
        <f t="shared" si="1"/>
        <v>220</v>
      </c>
      <c r="E18" s="14">
        <f t="shared" si="2"/>
        <v>420</v>
      </c>
      <c r="F18"/>
      <c r="G18"/>
      <c r="H18"/>
      <c r="I18"/>
      <c r="J18"/>
    </row>
    <row r="19" spans="1:10" s="1" customFormat="1" x14ac:dyDescent="0.3">
      <c r="A19" s="6">
        <f t="shared" si="0"/>
        <v>2042</v>
      </c>
      <c r="B19" s="6">
        <f t="shared" si="3"/>
        <v>12</v>
      </c>
      <c r="C19" s="1">
        <v>20</v>
      </c>
      <c r="D19" s="1">
        <f t="shared" si="1"/>
        <v>240</v>
      </c>
      <c r="E19" s="14">
        <f t="shared" si="2"/>
        <v>660</v>
      </c>
      <c r="F19"/>
      <c r="G19"/>
      <c r="H19"/>
      <c r="I19"/>
      <c r="J19"/>
    </row>
    <row r="20" spans="1:10" s="1" customFormat="1" x14ac:dyDescent="0.3">
      <c r="A20" s="6">
        <f t="shared" si="0"/>
        <v>2043</v>
      </c>
      <c r="B20" s="6">
        <f t="shared" si="3"/>
        <v>13</v>
      </c>
      <c r="C20" s="1">
        <v>20</v>
      </c>
      <c r="D20" s="1">
        <f t="shared" si="1"/>
        <v>260</v>
      </c>
      <c r="E20" s="14">
        <f t="shared" si="2"/>
        <v>920</v>
      </c>
      <c r="F20"/>
      <c r="G20"/>
      <c r="H20"/>
      <c r="I20"/>
      <c r="J20"/>
    </row>
    <row r="21" spans="1:10" s="1" customFormat="1" x14ac:dyDescent="0.3">
      <c r="A21" s="6">
        <f t="shared" si="0"/>
        <v>2044</v>
      </c>
      <c r="B21" s="6">
        <f t="shared" si="3"/>
        <v>14</v>
      </c>
      <c r="C21" s="1">
        <v>20</v>
      </c>
      <c r="D21" s="1">
        <f t="shared" si="1"/>
        <v>280</v>
      </c>
      <c r="E21" s="14">
        <f t="shared" si="2"/>
        <v>1200</v>
      </c>
      <c r="F21"/>
      <c r="G21"/>
      <c r="H21"/>
      <c r="I21"/>
      <c r="J21"/>
    </row>
    <row r="22" spans="1:10" s="1" customFormat="1" x14ac:dyDescent="0.3">
      <c r="A22" s="6">
        <f t="shared" si="0"/>
        <v>2045</v>
      </c>
      <c r="B22" s="6">
        <f t="shared" si="3"/>
        <v>15</v>
      </c>
      <c r="C22" s="1">
        <v>20</v>
      </c>
      <c r="D22" s="1">
        <f t="shared" si="1"/>
        <v>300</v>
      </c>
      <c r="E22" s="14">
        <f t="shared" si="2"/>
        <v>1500</v>
      </c>
      <c r="F22"/>
      <c r="G22"/>
      <c r="H22"/>
      <c r="I22"/>
      <c r="J22"/>
    </row>
    <row r="23" spans="1:10" s="1" customFormat="1" x14ac:dyDescent="0.3">
      <c r="A23" s="6">
        <f t="shared" si="0"/>
        <v>2046</v>
      </c>
      <c r="B23" s="6">
        <f t="shared" si="3"/>
        <v>16</v>
      </c>
      <c r="C23" s="1">
        <v>20</v>
      </c>
      <c r="D23" s="1">
        <f t="shared" si="1"/>
        <v>320</v>
      </c>
      <c r="E23" s="14">
        <f t="shared" si="2"/>
        <v>1820</v>
      </c>
      <c r="F23"/>
      <c r="G23"/>
      <c r="H23"/>
      <c r="I23"/>
      <c r="J23"/>
    </row>
    <row r="24" spans="1:10" x14ac:dyDescent="0.3">
      <c r="A24" s="6">
        <f t="shared" ref="A24:A26" si="4">A23+1</f>
        <v>2047</v>
      </c>
      <c r="B24" s="6">
        <f t="shared" si="3"/>
        <v>17</v>
      </c>
      <c r="C24" s="1">
        <v>20</v>
      </c>
      <c r="D24" s="1">
        <f t="shared" si="1"/>
        <v>340</v>
      </c>
      <c r="E24" s="14">
        <f t="shared" si="2"/>
        <v>2160</v>
      </c>
      <c r="F24"/>
    </row>
    <row r="25" spans="1:10" x14ac:dyDescent="0.3">
      <c r="A25" s="6">
        <f t="shared" si="4"/>
        <v>2048</v>
      </c>
      <c r="B25" s="6">
        <f t="shared" si="3"/>
        <v>18</v>
      </c>
      <c r="C25" s="1">
        <v>20</v>
      </c>
      <c r="D25" s="1">
        <f t="shared" si="1"/>
        <v>360</v>
      </c>
      <c r="E25" s="14">
        <f t="shared" si="2"/>
        <v>2520</v>
      </c>
      <c r="F25"/>
    </row>
    <row r="26" spans="1:10" x14ac:dyDescent="0.3">
      <c r="A26" s="8">
        <f t="shared" si="4"/>
        <v>2049</v>
      </c>
      <c r="B26" s="8">
        <f t="shared" si="3"/>
        <v>19</v>
      </c>
      <c r="C26" s="9">
        <v>20</v>
      </c>
      <c r="D26" s="9">
        <f t="shared" si="1"/>
        <v>380</v>
      </c>
      <c r="E26" s="118">
        <f t="shared" si="2"/>
        <v>2900</v>
      </c>
      <c r="F26" t="s">
        <v>74</v>
      </c>
      <c r="G26">
        <f>SUM(B7:B26)</f>
        <v>145</v>
      </c>
    </row>
    <row r="27" spans="1:10" x14ac:dyDescent="0.3">
      <c r="F27" t="s">
        <v>76</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5F3F5-2AED-433B-892C-6C3A0583D897}">
  <dimension ref="A1:H27"/>
  <sheetViews>
    <sheetView zoomScale="115" zoomScaleNormal="115" workbookViewId="0">
      <selection activeCell="J26" sqref="J26"/>
    </sheetView>
  </sheetViews>
  <sheetFormatPr defaultColWidth="10.6640625" defaultRowHeight="14.4" x14ac:dyDescent="0.3"/>
  <cols>
    <col min="8" max="8" width="15.6640625" customWidth="1"/>
  </cols>
  <sheetData>
    <row r="1" spans="1:8" x14ac:dyDescent="0.3">
      <c r="A1" s="13" t="s">
        <v>0</v>
      </c>
      <c r="B1" s="11" t="s">
        <v>9</v>
      </c>
      <c r="C1" s="17" t="s">
        <v>10</v>
      </c>
      <c r="D1" s="18" t="s">
        <v>13</v>
      </c>
      <c r="E1" s="17" t="s">
        <v>11</v>
      </c>
      <c r="F1" s="17" t="s">
        <v>12</v>
      </c>
      <c r="G1" s="18" t="s">
        <v>14</v>
      </c>
    </row>
    <row r="2" spans="1:8" x14ac:dyDescent="0.3">
      <c r="A2" s="14">
        <v>2025</v>
      </c>
      <c r="B2" s="6">
        <f>'2_Sears+EPA_Floating'!E2</f>
        <v>0</v>
      </c>
      <c r="C2" s="1">
        <f>'3_Salem+EPA_Floating'!E2</f>
        <v>0</v>
      </c>
      <c r="D2" s="7">
        <f>B2+C2</f>
        <v>0</v>
      </c>
      <c r="E2" s="1">
        <f>'4_Sears-EPA_Floating'!E2</f>
        <v>0</v>
      </c>
      <c r="F2" s="1">
        <f>'5_Salem-EPA_Floating'!E2</f>
        <v>0</v>
      </c>
      <c r="G2" s="7">
        <f>E2+F2</f>
        <v>0</v>
      </c>
    </row>
    <row r="3" spans="1:8" x14ac:dyDescent="0.3">
      <c r="A3" s="14">
        <v>2026</v>
      </c>
      <c r="B3" s="6">
        <f>'2_Sears+EPA_Floating'!E3</f>
        <v>0</v>
      </c>
      <c r="C3" s="1">
        <f>'3_Salem+EPA_Floating'!E3</f>
        <v>0</v>
      </c>
      <c r="D3" s="7">
        <f t="shared" ref="D3:D26" si="0">B3+C3</f>
        <v>0</v>
      </c>
      <c r="E3" s="1">
        <f>'4_Sears-EPA_Floating'!E3</f>
        <v>0</v>
      </c>
      <c r="F3" s="1">
        <f>'5_Salem-EPA_Floating'!E3</f>
        <v>0</v>
      </c>
      <c r="G3" s="7">
        <f t="shared" ref="G3:G26" si="1">E3+F3</f>
        <v>0</v>
      </c>
    </row>
    <row r="4" spans="1:8" x14ac:dyDescent="0.3">
      <c r="A4" s="14">
        <v>2027</v>
      </c>
      <c r="B4" s="6">
        <f>'2_Sears+EPA_Floating'!E4</f>
        <v>0</v>
      </c>
      <c r="C4" s="1">
        <f>'3_Salem+EPA_Floating'!E4</f>
        <v>0</v>
      </c>
      <c r="D4" s="7">
        <f t="shared" si="0"/>
        <v>0</v>
      </c>
      <c r="E4" s="1">
        <f>'4_Sears-EPA_Floating'!E4</f>
        <v>0</v>
      </c>
      <c r="F4" s="1">
        <f>'5_Salem-EPA_Floating'!E4</f>
        <v>0</v>
      </c>
      <c r="G4" s="7">
        <f t="shared" si="1"/>
        <v>0</v>
      </c>
    </row>
    <row r="5" spans="1:8" x14ac:dyDescent="0.3">
      <c r="A5" s="14">
        <v>2028</v>
      </c>
      <c r="B5" s="6">
        <f>'1_Sears+EPA_Fixed'!E5</f>
        <v>150</v>
      </c>
      <c r="C5" s="1">
        <f>'3_Salem+EPA_Floating'!E5</f>
        <v>0</v>
      </c>
      <c r="D5" s="7">
        <f t="shared" si="0"/>
        <v>150</v>
      </c>
      <c r="E5" s="1">
        <f>'4_Sears-EPA_Floating'!E5</f>
        <v>0</v>
      </c>
      <c r="F5" s="1">
        <f>'5_Salem-EPA_Floating'!E5</f>
        <v>0</v>
      </c>
      <c r="G5" s="7">
        <f t="shared" si="1"/>
        <v>0</v>
      </c>
    </row>
    <row r="6" spans="1:8" x14ac:dyDescent="0.3">
      <c r="A6" s="14">
        <v>2029</v>
      </c>
      <c r="B6" s="6">
        <f>'1_Sears+EPA_Fixed'!E6</f>
        <v>345</v>
      </c>
      <c r="C6" s="1">
        <f>'3_Salem+EPA_Floating'!E6</f>
        <v>0</v>
      </c>
      <c r="D6" s="7">
        <f t="shared" si="0"/>
        <v>345</v>
      </c>
      <c r="E6" s="1">
        <f>'4_Sears-EPA_Floating'!E6</f>
        <v>0</v>
      </c>
      <c r="F6" s="1">
        <f>'5_Salem-EPA_Floating'!E6</f>
        <v>0</v>
      </c>
      <c r="G6" s="7">
        <f t="shared" si="1"/>
        <v>0</v>
      </c>
      <c r="H6" t="s">
        <v>73</v>
      </c>
    </row>
    <row r="7" spans="1:8" x14ac:dyDescent="0.3">
      <c r="A7" s="16">
        <v>2030</v>
      </c>
      <c r="B7" s="3">
        <f>'2_Sears+EPA_Floating'!E7+345</f>
        <v>570</v>
      </c>
      <c r="C7" s="4">
        <f>'3_Salem+EPA_Floating'!E7</f>
        <v>0</v>
      </c>
      <c r="D7" s="5">
        <f t="shared" si="0"/>
        <v>570</v>
      </c>
      <c r="E7" s="4">
        <f>'4_Sears-EPA_Floating'!E7</f>
        <v>0</v>
      </c>
      <c r="F7" s="4">
        <f>'5_Salem-EPA_Floating'!E7</f>
        <v>0</v>
      </c>
      <c r="G7" s="5">
        <f t="shared" si="1"/>
        <v>0</v>
      </c>
      <c r="H7" t="s">
        <v>75</v>
      </c>
    </row>
    <row r="8" spans="1:8" x14ac:dyDescent="0.3">
      <c r="A8" s="14">
        <f t="shared" ref="A8:A23" si="2">A7+1</f>
        <v>2031</v>
      </c>
      <c r="B8" s="6">
        <f>'2_Sears+EPA_Floating'!E8+345</f>
        <v>810</v>
      </c>
      <c r="C8" s="1">
        <f>'3_Salem+EPA_Floating'!E8</f>
        <v>0</v>
      </c>
      <c r="D8" s="7">
        <f t="shared" si="0"/>
        <v>810</v>
      </c>
      <c r="E8" s="1">
        <f>'4_Sears-EPA_Floating'!E8</f>
        <v>0</v>
      </c>
      <c r="F8" s="1">
        <f>'5_Salem-EPA_Floating'!E8</f>
        <v>0</v>
      </c>
      <c r="G8" s="7">
        <f t="shared" si="1"/>
        <v>0</v>
      </c>
    </row>
    <row r="9" spans="1:8" x14ac:dyDescent="0.3">
      <c r="A9" s="14">
        <f t="shared" si="2"/>
        <v>2032</v>
      </c>
      <c r="B9" s="6">
        <f>'2_Sears+EPA_Floating'!E9+345</f>
        <v>1065</v>
      </c>
      <c r="C9" s="1">
        <f>'3_Salem+EPA_Floating'!E9</f>
        <v>0</v>
      </c>
      <c r="D9" s="7">
        <f t="shared" si="0"/>
        <v>1065</v>
      </c>
      <c r="E9" s="1">
        <f>'4_Sears-EPA_Floating'!E9</f>
        <v>0</v>
      </c>
      <c r="F9" s="1">
        <f>'5_Salem-EPA_Floating'!E9</f>
        <v>0</v>
      </c>
      <c r="G9" s="7">
        <f t="shared" si="1"/>
        <v>0</v>
      </c>
    </row>
    <row r="10" spans="1:8" x14ac:dyDescent="0.3">
      <c r="A10" s="14">
        <f t="shared" si="2"/>
        <v>2033</v>
      </c>
      <c r="B10" s="6">
        <f>'2_Sears+EPA_Floating'!E10+345</f>
        <v>1335</v>
      </c>
      <c r="C10" s="1">
        <f>'3_Salem+EPA_Floating'!E10</f>
        <v>0</v>
      </c>
      <c r="D10" s="7">
        <f t="shared" si="0"/>
        <v>1335</v>
      </c>
      <c r="E10" s="1">
        <f>'4_Sears-EPA_Floating'!E10</f>
        <v>0</v>
      </c>
      <c r="F10" s="1">
        <f>'5_Salem-EPA_Floating'!E10</f>
        <v>0</v>
      </c>
      <c r="G10" s="7">
        <f t="shared" si="1"/>
        <v>0</v>
      </c>
    </row>
    <row r="11" spans="1:8" x14ac:dyDescent="0.3">
      <c r="A11" s="14">
        <f t="shared" si="2"/>
        <v>2034</v>
      </c>
      <c r="B11" s="6">
        <f>'2_Sears+EPA_Floating'!E11+345</f>
        <v>1620</v>
      </c>
      <c r="C11" s="1">
        <f>'3_Salem+EPA_Floating'!E11</f>
        <v>0</v>
      </c>
      <c r="D11" s="7">
        <f t="shared" si="0"/>
        <v>1620</v>
      </c>
      <c r="E11" s="1">
        <f>'4_Sears-EPA_Floating'!E11</f>
        <v>0</v>
      </c>
      <c r="F11" s="1">
        <f>'5_Salem-EPA_Floating'!E11</f>
        <v>0</v>
      </c>
      <c r="G11" s="7">
        <f t="shared" si="1"/>
        <v>0</v>
      </c>
    </row>
    <row r="12" spans="1:8" x14ac:dyDescent="0.3">
      <c r="A12" s="14">
        <f t="shared" si="2"/>
        <v>2035</v>
      </c>
      <c r="B12" s="6">
        <f>'2_Sears+EPA_Floating'!E12+345</f>
        <v>1920</v>
      </c>
      <c r="C12" s="1">
        <f>'3_Salem+EPA_Floating'!E12</f>
        <v>150</v>
      </c>
      <c r="D12" s="7">
        <f t="shared" si="0"/>
        <v>2070</v>
      </c>
      <c r="E12" s="1">
        <f>'4_Sears-EPA_Floating'!E12</f>
        <v>225</v>
      </c>
      <c r="F12" s="1">
        <f>'5_Salem-EPA_Floating'!E12</f>
        <v>0</v>
      </c>
      <c r="G12" s="7">
        <f t="shared" si="1"/>
        <v>225</v>
      </c>
    </row>
    <row r="13" spans="1:8" x14ac:dyDescent="0.3">
      <c r="A13" s="14">
        <f t="shared" si="2"/>
        <v>2036</v>
      </c>
      <c r="B13" s="6">
        <f>'2_Sears+EPA_Floating'!E13+345</f>
        <v>2235</v>
      </c>
      <c r="C13" s="1">
        <f>'3_Salem+EPA_Floating'!E13</f>
        <v>315</v>
      </c>
      <c r="D13" s="7">
        <f t="shared" si="0"/>
        <v>2550</v>
      </c>
      <c r="E13" s="1">
        <f>'4_Sears-EPA_Floating'!E13</f>
        <v>465</v>
      </c>
      <c r="F13" s="1">
        <f>'5_Salem-EPA_Floating'!E13</f>
        <v>0</v>
      </c>
      <c r="G13" s="7">
        <f t="shared" si="1"/>
        <v>465</v>
      </c>
    </row>
    <row r="14" spans="1:8" x14ac:dyDescent="0.3">
      <c r="A14" s="14">
        <f t="shared" si="2"/>
        <v>2037</v>
      </c>
      <c r="B14" s="6">
        <f>'2_Sears+EPA_Floating'!E14+345</f>
        <v>2565</v>
      </c>
      <c r="C14" s="1">
        <f>'3_Salem+EPA_Floating'!E14</f>
        <v>495</v>
      </c>
      <c r="D14" s="7">
        <f t="shared" si="0"/>
        <v>3060</v>
      </c>
      <c r="E14" s="1">
        <f>'4_Sears-EPA_Floating'!E14</f>
        <v>720</v>
      </c>
      <c r="F14" s="1">
        <f>'5_Salem-EPA_Floating'!E14</f>
        <v>0</v>
      </c>
      <c r="G14" s="7">
        <f t="shared" si="1"/>
        <v>720</v>
      </c>
    </row>
    <row r="15" spans="1:8" x14ac:dyDescent="0.3">
      <c r="A15" s="14">
        <f t="shared" si="2"/>
        <v>2038</v>
      </c>
      <c r="B15" s="6">
        <f>'2_Sears+EPA_Floating'!E15+345</f>
        <v>2910</v>
      </c>
      <c r="C15" s="1">
        <f>'3_Salem+EPA_Floating'!E15</f>
        <v>690</v>
      </c>
      <c r="D15" s="7">
        <f t="shared" si="0"/>
        <v>3600</v>
      </c>
      <c r="E15" s="1">
        <f>'4_Sears-EPA_Floating'!E15</f>
        <v>990</v>
      </c>
      <c r="F15" s="1">
        <f>'5_Salem-EPA_Floating'!E15</f>
        <v>0</v>
      </c>
      <c r="G15" s="7">
        <f t="shared" si="1"/>
        <v>990</v>
      </c>
    </row>
    <row r="16" spans="1:8" x14ac:dyDescent="0.3">
      <c r="A16" s="15">
        <f t="shared" si="2"/>
        <v>2039</v>
      </c>
      <c r="B16" s="8">
        <f>'2_Sears+EPA_Floating'!E16+345</f>
        <v>3270</v>
      </c>
      <c r="C16" s="9">
        <f>'3_Salem+EPA_Floating'!E16</f>
        <v>900</v>
      </c>
      <c r="D16" s="10">
        <f t="shared" si="0"/>
        <v>4170</v>
      </c>
      <c r="E16" s="9">
        <f>'4_Sears-EPA_Floating'!E16</f>
        <v>1275</v>
      </c>
      <c r="F16" s="9">
        <f>'5_Salem-EPA_Floating'!E16</f>
        <v>0</v>
      </c>
      <c r="G16" s="10">
        <f t="shared" si="1"/>
        <v>1275</v>
      </c>
    </row>
    <row r="17" spans="1:8" x14ac:dyDescent="0.3">
      <c r="A17" s="14">
        <f t="shared" si="2"/>
        <v>2040</v>
      </c>
      <c r="B17" s="3">
        <f>'2_Sears+EPA_Floating'!E17+345</f>
        <v>3750</v>
      </c>
      <c r="C17" s="4">
        <f>'3_Salem+EPA_Floating'!E17</f>
        <v>1180</v>
      </c>
      <c r="D17" s="5">
        <f t="shared" si="0"/>
        <v>4930</v>
      </c>
      <c r="E17" s="1">
        <f>'4_Sears-EPA_Floating'!E17</f>
        <v>1655</v>
      </c>
      <c r="F17" s="1">
        <f>'5_Salem-EPA_Floating'!E17</f>
        <v>200</v>
      </c>
      <c r="G17" s="7">
        <f t="shared" si="1"/>
        <v>1855</v>
      </c>
    </row>
    <row r="18" spans="1:8" x14ac:dyDescent="0.3">
      <c r="A18" s="14">
        <f t="shared" si="2"/>
        <v>2041</v>
      </c>
      <c r="B18" s="6">
        <f>'2_Sears+EPA_Floating'!E18+345</f>
        <v>4250</v>
      </c>
      <c r="C18" s="1">
        <f>'3_Salem+EPA_Floating'!E18</f>
        <v>1480</v>
      </c>
      <c r="D18" s="7">
        <f t="shared" si="0"/>
        <v>5730</v>
      </c>
      <c r="E18" s="1">
        <f>'4_Sears-EPA_Floating'!E18</f>
        <v>2055</v>
      </c>
      <c r="F18" s="1">
        <f>'5_Salem-EPA_Floating'!E18</f>
        <v>420</v>
      </c>
      <c r="G18" s="7">
        <f t="shared" si="1"/>
        <v>2475</v>
      </c>
    </row>
    <row r="19" spans="1:8" x14ac:dyDescent="0.3">
      <c r="A19" s="14">
        <f t="shared" si="2"/>
        <v>2042</v>
      </c>
      <c r="B19" s="6">
        <f>'2_Sears+EPA_Floating'!E19+345</f>
        <v>4770</v>
      </c>
      <c r="C19" s="1">
        <f>'3_Salem+EPA_Floating'!E19</f>
        <v>1800</v>
      </c>
      <c r="D19" s="7">
        <f t="shared" si="0"/>
        <v>6570</v>
      </c>
      <c r="E19" s="1">
        <f>'4_Sears-EPA_Floating'!E19</f>
        <v>2475</v>
      </c>
      <c r="F19" s="1">
        <f>'5_Salem-EPA_Floating'!E19</f>
        <v>660</v>
      </c>
      <c r="G19" s="7">
        <f t="shared" si="1"/>
        <v>3135</v>
      </c>
    </row>
    <row r="20" spans="1:8" x14ac:dyDescent="0.3">
      <c r="A20" s="14">
        <f t="shared" si="2"/>
        <v>2043</v>
      </c>
      <c r="B20" s="6">
        <f>'2_Sears+EPA_Floating'!E20+345</f>
        <v>5310</v>
      </c>
      <c r="C20" s="1">
        <f>'3_Salem+EPA_Floating'!E20</f>
        <v>2140</v>
      </c>
      <c r="D20" s="7">
        <f t="shared" si="0"/>
        <v>7450</v>
      </c>
      <c r="E20" s="1">
        <f>'4_Sears-EPA_Floating'!E20</f>
        <v>2915</v>
      </c>
      <c r="F20" s="1">
        <f>'5_Salem-EPA_Floating'!E20</f>
        <v>920</v>
      </c>
      <c r="G20" s="7">
        <f t="shared" si="1"/>
        <v>3835</v>
      </c>
    </row>
    <row r="21" spans="1:8" x14ac:dyDescent="0.3">
      <c r="A21" s="14">
        <f t="shared" si="2"/>
        <v>2044</v>
      </c>
      <c r="B21" s="6">
        <f>'2_Sears+EPA_Floating'!E21+345</f>
        <v>5870</v>
      </c>
      <c r="C21" s="1">
        <f>'3_Salem+EPA_Floating'!E21</f>
        <v>2500</v>
      </c>
      <c r="D21" s="7">
        <f t="shared" si="0"/>
        <v>8370</v>
      </c>
      <c r="E21" s="1">
        <f>'4_Sears-EPA_Floating'!E21</f>
        <v>3375</v>
      </c>
      <c r="F21" s="1">
        <f>'5_Salem-EPA_Floating'!E21</f>
        <v>1200</v>
      </c>
      <c r="G21" s="7">
        <f t="shared" si="1"/>
        <v>4575</v>
      </c>
    </row>
    <row r="22" spans="1:8" x14ac:dyDescent="0.3">
      <c r="A22" s="14">
        <f t="shared" si="2"/>
        <v>2045</v>
      </c>
      <c r="B22" s="6">
        <f>'2_Sears+EPA_Floating'!E22+345</f>
        <v>6450</v>
      </c>
      <c r="C22" s="1">
        <f>'3_Salem+EPA_Floating'!E22</f>
        <v>2880</v>
      </c>
      <c r="D22" s="7">
        <f t="shared" si="0"/>
        <v>9330</v>
      </c>
      <c r="E22" s="1">
        <f>'4_Sears-EPA_Floating'!E22</f>
        <v>3855</v>
      </c>
      <c r="F22" s="1">
        <f>'5_Salem-EPA_Floating'!E22</f>
        <v>1500</v>
      </c>
      <c r="G22" s="7">
        <f t="shared" si="1"/>
        <v>5355</v>
      </c>
    </row>
    <row r="23" spans="1:8" x14ac:dyDescent="0.3">
      <c r="A23" s="14">
        <f t="shared" si="2"/>
        <v>2046</v>
      </c>
      <c r="B23" s="6">
        <f>'2_Sears+EPA_Floating'!E23+345</f>
        <v>7050</v>
      </c>
      <c r="C23" s="1">
        <f>'3_Salem+EPA_Floating'!E23</f>
        <v>3280</v>
      </c>
      <c r="D23" s="7">
        <f t="shared" si="0"/>
        <v>10330</v>
      </c>
      <c r="E23" s="1">
        <f>'4_Sears-EPA_Floating'!E23</f>
        <v>4355</v>
      </c>
      <c r="F23" s="1">
        <f>'5_Salem-EPA_Floating'!E23</f>
        <v>1820</v>
      </c>
      <c r="G23" s="7">
        <f t="shared" si="1"/>
        <v>6175</v>
      </c>
    </row>
    <row r="24" spans="1:8" x14ac:dyDescent="0.3">
      <c r="A24" s="14">
        <f t="shared" ref="A24:A26" si="3">A23+1</f>
        <v>2047</v>
      </c>
      <c r="B24" s="6">
        <f>'2_Sears+EPA_Floating'!E24+345</f>
        <v>7650</v>
      </c>
      <c r="C24" s="1">
        <f>'3_Salem+EPA_Floating'!E24</f>
        <v>3680</v>
      </c>
      <c r="D24" s="7">
        <f t="shared" si="0"/>
        <v>11330</v>
      </c>
      <c r="E24" s="1">
        <f>'4_Sears-EPA_Floating'!E24</f>
        <v>4875</v>
      </c>
      <c r="F24" s="1">
        <f>'5_Salem-EPA_Floating'!E24</f>
        <v>2160</v>
      </c>
      <c r="G24" s="7">
        <f t="shared" si="1"/>
        <v>7035</v>
      </c>
    </row>
    <row r="25" spans="1:8" x14ac:dyDescent="0.3">
      <c r="A25" s="14">
        <f t="shared" si="3"/>
        <v>2048</v>
      </c>
      <c r="B25" s="6">
        <f>'2_Sears+EPA_Floating'!E25+345</f>
        <v>8250</v>
      </c>
      <c r="C25" s="1">
        <f>'3_Salem+EPA_Floating'!E25</f>
        <v>4080</v>
      </c>
      <c r="D25" s="7">
        <f t="shared" si="0"/>
        <v>12330</v>
      </c>
      <c r="E25" s="1">
        <f>'4_Sears-EPA_Floating'!E25</f>
        <v>5415</v>
      </c>
      <c r="F25" s="1">
        <f>'5_Salem-EPA_Floating'!E25</f>
        <v>2520</v>
      </c>
      <c r="G25" s="7">
        <f t="shared" si="1"/>
        <v>7935</v>
      </c>
    </row>
    <row r="26" spans="1:8" x14ac:dyDescent="0.3">
      <c r="A26" s="15">
        <f t="shared" si="3"/>
        <v>2049</v>
      </c>
      <c r="B26" s="8">
        <f>'2_Sears+EPA_Floating'!E26+345</f>
        <v>8850</v>
      </c>
      <c r="C26" s="9">
        <f>'3_Salem+EPA_Floating'!E26</f>
        <v>4480</v>
      </c>
      <c r="D26" s="10">
        <f t="shared" si="0"/>
        <v>13330</v>
      </c>
      <c r="E26" s="9">
        <f>'4_Sears-EPA_Floating'!E26</f>
        <v>5975</v>
      </c>
      <c r="F26" s="9">
        <f>'5_Salem-EPA_Floating'!E26</f>
        <v>2900</v>
      </c>
      <c r="G26" s="10">
        <f t="shared" si="1"/>
        <v>8875</v>
      </c>
      <c r="H26" t="s">
        <v>74</v>
      </c>
    </row>
    <row r="27" spans="1:8" x14ac:dyDescent="0.3">
      <c r="H27" t="s">
        <v>76</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0F1D2-D297-4DA5-B3DC-67B089860A89}">
  <dimension ref="A1:K28"/>
  <sheetViews>
    <sheetView zoomScale="115" zoomScaleNormal="115" workbookViewId="0">
      <selection activeCell="I7" sqref="I7:I28"/>
    </sheetView>
  </sheetViews>
  <sheetFormatPr defaultColWidth="10.6640625" defaultRowHeight="14.4" x14ac:dyDescent="0.3"/>
  <cols>
    <col min="2" max="2" width="20.6640625" customWidth="1"/>
    <col min="3" max="3" width="12.6640625" style="1" customWidth="1"/>
    <col min="4" max="4" width="12.6640625" style="102" customWidth="1"/>
    <col min="5" max="8" width="12.6640625" style="19" customWidth="1"/>
    <col min="9" max="9" width="15.44140625" customWidth="1"/>
    <col min="10" max="10" width="10.6640625" style="2"/>
  </cols>
  <sheetData>
    <row r="1" spans="1:11" x14ac:dyDescent="0.3">
      <c r="A1" s="3" t="s">
        <v>0</v>
      </c>
      <c r="B1" s="25" t="s">
        <v>15</v>
      </c>
      <c r="C1" s="16" t="s">
        <v>16</v>
      </c>
      <c r="D1" s="99" t="s">
        <v>58</v>
      </c>
      <c r="E1" s="20" t="s">
        <v>46</v>
      </c>
      <c r="F1" s="33" t="s">
        <v>17</v>
      </c>
      <c r="G1" s="33" t="s">
        <v>18</v>
      </c>
      <c r="H1" s="21" t="s">
        <v>21</v>
      </c>
    </row>
    <row r="2" spans="1:11" x14ac:dyDescent="0.3">
      <c r="A2" s="8"/>
      <c r="B2" s="26" t="s">
        <v>1</v>
      </c>
      <c r="C2" s="15"/>
      <c r="D2" s="100"/>
      <c r="E2" s="23" t="s">
        <v>20</v>
      </c>
      <c r="F2" s="34" t="s">
        <v>20</v>
      </c>
      <c r="G2" s="34" t="s">
        <v>20</v>
      </c>
      <c r="H2" s="24" t="s">
        <v>20</v>
      </c>
    </row>
    <row r="3" spans="1:11" x14ac:dyDescent="0.3">
      <c r="A3" s="16">
        <v>2025</v>
      </c>
      <c r="B3" s="16">
        <f>'6_Sears_Salem_Fx_Flt'!D2-'6_Sears_Salem_Fx_Flt'!G2</f>
        <v>0</v>
      </c>
      <c r="C3" s="47">
        <f>B3*0.5*8760/1000</f>
        <v>0</v>
      </c>
      <c r="D3" s="99">
        <v>0</v>
      </c>
      <c r="E3" s="48">
        <f>$C3*'8_Emissions_Coefficients'!I6</f>
        <v>0</v>
      </c>
      <c r="F3" s="49">
        <f>$C3*'8_Emissions_Coefficients'!J6</f>
        <v>0</v>
      </c>
      <c r="G3" s="48">
        <f>$C3*'8_Emissions_Coefficients'!K6</f>
        <v>0</v>
      </c>
      <c r="H3" s="50">
        <f>$C3*'8_Emissions_Coefficients'!L6</f>
        <v>0</v>
      </c>
    </row>
    <row r="4" spans="1:11" x14ac:dyDescent="0.3">
      <c r="A4" s="14">
        <v>2026</v>
      </c>
      <c r="B4" s="14">
        <f>'6_Sears_Salem_Fx_Flt'!D3-'6_Sears_Salem_Fx_Flt'!G3</f>
        <v>0</v>
      </c>
      <c r="C4" s="27">
        <f t="shared" ref="C4:C27" si="0">B4*0.5*8760/1000</f>
        <v>0</v>
      </c>
      <c r="D4" s="101">
        <f t="shared" ref="D4:D5" si="1">(C4-C3)/($C$28)</f>
        <v>0</v>
      </c>
      <c r="E4" s="35">
        <f>$C4*'8_Emissions_Coefficients'!I7</f>
        <v>0</v>
      </c>
      <c r="F4" s="32">
        <f>$C4*'8_Emissions_Coefficients'!J7</f>
        <v>0</v>
      </c>
      <c r="G4" s="35">
        <f>$C4*'8_Emissions_Coefficients'!K7</f>
        <v>0</v>
      </c>
      <c r="H4" s="22">
        <f>$C4*'8_Emissions_Coefficients'!L7</f>
        <v>0</v>
      </c>
    </row>
    <row r="5" spans="1:11" x14ac:dyDescent="0.3">
      <c r="A5" s="14">
        <v>2027</v>
      </c>
      <c r="B5" s="14">
        <f>'6_Sears_Salem_Fx_Flt'!D4-'6_Sears_Salem_Fx_Flt'!G4</f>
        <v>0</v>
      </c>
      <c r="C5" s="27">
        <f t="shared" si="0"/>
        <v>0</v>
      </c>
      <c r="D5" s="101">
        <f t="shared" si="1"/>
        <v>0</v>
      </c>
      <c r="E5" s="35">
        <f>$C5*'8_Emissions_Coefficients'!I8</f>
        <v>0</v>
      </c>
      <c r="F5" s="32">
        <f>$C5*'8_Emissions_Coefficients'!J8</f>
        <v>0</v>
      </c>
      <c r="G5" s="35">
        <f>$C5*'8_Emissions_Coefficients'!K8</f>
        <v>0</v>
      </c>
      <c r="H5" s="22">
        <f>$C5*'8_Emissions_Coefficients'!L8</f>
        <v>0</v>
      </c>
    </row>
    <row r="6" spans="1:11" x14ac:dyDescent="0.3">
      <c r="A6" s="14">
        <v>2028</v>
      </c>
      <c r="B6" s="14">
        <f>'6_Sears_Salem_Fx_Flt'!D5-'6_Sears_Salem_Fx_Flt'!G5</f>
        <v>150</v>
      </c>
      <c r="C6" s="27">
        <f>B6*0.5*8760/1000</f>
        <v>657</v>
      </c>
      <c r="D6" s="101">
        <f>(C6-C5)/($C$27)</f>
        <v>3.3670033670033669E-2</v>
      </c>
      <c r="E6" s="35">
        <f>$C6*'8_Emissions_Coefficients'!I9</f>
        <v>159932.74632908305</v>
      </c>
      <c r="F6" s="32">
        <f>$C6*'8_Emissions_Coefficients'!J9</f>
        <v>36.099528311097373</v>
      </c>
      <c r="G6" s="35">
        <f>$C6*'8_Emissions_Coefficients'!K9</f>
        <v>91.432411869910581</v>
      </c>
      <c r="H6" s="22">
        <f>$C6*'8_Emissions_Coefficients'!L9</f>
        <v>83.73906977082423</v>
      </c>
      <c r="J6" s="37"/>
      <c r="K6" s="37"/>
    </row>
    <row r="7" spans="1:11" x14ac:dyDescent="0.3">
      <c r="A7" s="15">
        <v>2029</v>
      </c>
      <c r="B7" s="15">
        <f>'6_Sears_Salem_Fx_Flt'!D6-'6_Sears_Salem_Fx_Flt'!G6</f>
        <v>345</v>
      </c>
      <c r="C7" s="51">
        <f t="shared" si="0"/>
        <v>1511.1</v>
      </c>
      <c r="D7" s="100">
        <f t="shared" ref="D7:D27" si="2">(C7-C6)/($C$27)</f>
        <v>4.3771043771043766E-2</v>
      </c>
      <c r="E7" s="52">
        <f>$C7*'8_Emissions_Coefficients'!I10</f>
        <v>364430.88201667496</v>
      </c>
      <c r="F7" s="53">
        <f>$C7*'8_Emissions_Coefficients'!J10</f>
        <v>82.258219437621349</v>
      </c>
      <c r="G7" s="52">
        <f>$C7*'8_Emissions_Coefficients'!K10</f>
        <v>208.34253939528688</v>
      </c>
      <c r="H7" s="54">
        <f>$C7*'8_Emissions_Coefficients'!L10</f>
        <v>190.81209918726921</v>
      </c>
      <c r="I7" t="s">
        <v>73</v>
      </c>
      <c r="J7" s="37"/>
      <c r="K7" s="37"/>
    </row>
    <row r="8" spans="1:11" x14ac:dyDescent="0.3">
      <c r="A8" s="16">
        <v>2030</v>
      </c>
      <c r="B8" s="16">
        <f>'6_Sears_Salem_Fx_Flt'!D7-'6_Sears_Salem_Fx_Flt'!G7</f>
        <v>570</v>
      </c>
      <c r="C8" s="47">
        <f t="shared" si="0"/>
        <v>2496.6</v>
      </c>
      <c r="D8" s="99">
        <f t="shared" si="2"/>
        <v>5.0505050505050504E-2</v>
      </c>
      <c r="E8" s="48">
        <f>$C8*'8_Emissions_Coefficients'!I11</f>
        <v>595594.07367329206</v>
      </c>
      <c r="F8" s="49">
        <f>$C8*'8_Emissions_Coefficients'!J11</f>
        <v>134.43566510294468</v>
      </c>
      <c r="G8" s="48">
        <f>$C8*'8_Emissions_Coefficients'!K11</f>
        <v>340.49688948204846</v>
      </c>
      <c r="H8" s="50">
        <f>$C8*'8_Emissions_Coefficients'!L11</f>
        <v>311.84666577158487</v>
      </c>
      <c r="I8" t="s">
        <v>75</v>
      </c>
      <c r="J8" s="37"/>
      <c r="K8" s="37"/>
    </row>
    <row r="9" spans="1:11" x14ac:dyDescent="0.3">
      <c r="A9" s="14">
        <f t="shared" ref="A9:A27" si="3">A8+1</f>
        <v>2031</v>
      </c>
      <c r="B9" s="14">
        <f>'6_Sears_Salem_Fx_Flt'!D8-'6_Sears_Salem_Fx_Flt'!G8</f>
        <v>810</v>
      </c>
      <c r="C9" s="27">
        <f t="shared" si="0"/>
        <v>3547.8</v>
      </c>
      <c r="D9" s="101">
        <f t="shared" si="2"/>
        <v>5.3872053872053884E-2</v>
      </c>
      <c r="E9" s="35">
        <f>$C9*'8_Emissions_Coefficients'!I12</f>
        <v>836504.06607151905</v>
      </c>
      <c r="F9" s="32">
        <f>$C9*'8_Emissions_Coefficients'!J12</f>
        <v>188.81312869699411</v>
      </c>
      <c r="G9" s="35">
        <f>$C9*'8_Emissions_Coefficients'!K12</f>
        <v>478.2234161259932</v>
      </c>
      <c r="H9" s="22">
        <f>$C9*'8_Emissions_Coefficients'!L12</f>
        <v>437.98455263319119</v>
      </c>
      <c r="J9" s="37"/>
      <c r="K9" s="37"/>
    </row>
    <row r="10" spans="1:11" x14ac:dyDescent="0.3">
      <c r="A10" s="14">
        <f t="shared" si="3"/>
        <v>2032</v>
      </c>
      <c r="B10" s="14">
        <f>'6_Sears_Salem_Fx_Flt'!D9-'6_Sears_Salem_Fx_Flt'!G9</f>
        <v>1065</v>
      </c>
      <c r="C10" s="27">
        <f t="shared" si="0"/>
        <v>4664.7</v>
      </c>
      <c r="D10" s="101">
        <f t="shared" si="2"/>
        <v>5.7239057239057214E-2</v>
      </c>
      <c r="E10" s="35">
        <f>$C10*'8_Emissions_Coefficients'!I13</f>
        <v>1086064.5859141632</v>
      </c>
      <c r="F10" s="32">
        <f>$C10*'8_Emissions_Coefficients'!J13</f>
        <v>245.14316277803488</v>
      </c>
      <c r="G10" s="35">
        <f>$C10*'8_Emissions_Coefficients'!K13</f>
        <v>620.89538769190801</v>
      </c>
      <c r="H10" s="22">
        <f>$C10*'8_Emissions_Coefficients'!L13</f>
        <v>568.65176283757285</v>
      </c>
      <c r="J10" s="37"/>
      <c r="K10" s="37"/>
    </row>
    <row r="11" spans="1:11" x14ac:dyDescent="0.3">
      <c r="A11" s="14">
        <f t="shared" si="3"/>
        <v>2033</v>
      </c>
      <c r="B11" s="14">
        <f>'6_Sears_Salem_Fx_Flt'!D10-'6_Sears_Salem_Fx_Flt'!G10</f>
        <v>1335</v>
      </c>
      <c r="C11" s="27">
        <f t="shared" si="0"/>
        <v>5847.3</v>
      </c>
      <c r="D11" s="101">
        <f t="shared" si="2"/>
        <v>6.0606060606060622E-2</v>
      </c>
      <c r="E11" s="35">
        <f>$C11*'8_Emissions_Coefficients'!I14</f>
        <v>1343110.8428229564</v>
      </c>
      <c r="F11" s="32">
        <f>$C11*'8_Emissions_Coefficients'!J14</f>
        <v>303.16285443922413</v>
      </c>
      <c r="G11" s="35">
        <f>$C11*'8_Emissions_Coefficients'!K14</f>
        <v>767.84690181737915</v>
      </c>
      <c r="H11" s="22">
        <f>$C11*'8_Emissions_Coefficients'!L14</f>
        <v>703.23842464180677</v>
      </c>
      <c r="J11" s="37"/>
      <c r="K11" s="37"/>
    </row>
    <row r="12" spans="1:11" x14ac:dyDescent="0.3">
      <c r="A12" s="14">
        <f t="shared" si="3"/>
        <v>2034</v>
      </c>
      <c r="B12" s="14">
        <f>'6_Sears_Salem_Fx_Flt'!D11-'6_Sears_Salem_Fx_Flt'!G11</f>
        <v>1620</v>
      </c>
      <c r="C12" s="27">
        <f t="shared" si="0"/>
        <v>7095.6</v>
      </c>
      <c r="D12" s="101">
        <f t="shared" si="2"/>
        <v>6.3973063973063973E-2</v>
      </c>
      <c r="E12" s="35">
        <f>$C12*'8_Emissions_Coefficients'!I15</f>
        <v>1606409.529338557</v>
      </c>
      <c r="F12" s="32">
        <f>$C12*'8_Emissions_Coefficients'!J15</f>
        <v>362.59382530861029</v>
      </c>
      <c r="G12" s="35">
        <f>$C12*'8_Emissions_Coefficients'!K15</f>
        <v>918.37288541279167</v>
      </c>
      <c r="H12" s="22">
        <f>$C12*'8_Emissions_Coefficients'!L15</f>
        <v>841.0987914945631</v>
      </c>
      <c r="J12" s="37"/>
      <c r="K12" s="37"/>
    </row>
    <row r="13" spans="1:11" x14ac:dyDescent="0.3">
      <c r="A13" s="14">
        <f t="shared" si="3"/>
        <v>2035</v>
      </c>
      <c r="B13" s="14">
        <f>'6_Sears_Salem_Fx_Flt'!D12-'6_Sears_Salem_Fx_Flt'!G12</f>
        <v>1845</v>
      </c>
      <c r="C13" s="27">
        <f t="shared" si="0"/>
        <v>8081.1</v>
      </c>
      <c r="D13" s="101">
        <f t="shared" si="2"/>
        <v>5.0505050505050504E-2</v>
      </c>
      <c r="E13" s="35">
        <f>$C13*'8_Emissions_Coefficients'!I16</f>
        <v>1808452.961538482</v>
      </c>
      <c r="F13" s="32">
        <f>$C13*'8_Emissions_Coefficients'!J16</f>
        <v>408.19844830285797</v>
      </c>
      <c r="G13" s="35">
        <f>$C13*'8_Emissions_Coefficients'!K16</f>
        <v>1033.8796764392057</v>
      </c>
      <c r="H13" s="22">
        <f>$C13*'8_Emissions_Coefficients'!L16</f>
        <v>946.8865645058097</v>
      </c>
      <c r="J13" s="37"/>
      <c r="K13" s="37"/>
    </row>
    <row r="14" spans="1:11" x14ac:dyDescent="0.3">
      <c r="A14" s="14">
        <f t="shared" si="3"/>
        <v>2036</v>
      </c>
      <c r="B14" s="14">
        <f>'6_Sears_Salem_Fx_Flt'!D13-'6_Sears_Salem_Fx_Flt'!G13</f>
        <v>2085</v>
      </c>
      <c r="C14" s="27">
        <f t="shared" si="0"/>
        <v>9132.2999999999993</v>
      </c>
      <c r="D14" s="101">
        <f t="shared" si="2"/>
        <v>5.3872053872053814E-2</v>
      </c>
      <c r="E14" s="35">
        <f>$C14*'8_Emissions_Coefficients'!I17</f>
        <v>2018301.8771829044</v>
      </c>
      <c r="F14" s="32">
        <f>$C14*'8_Emissions_Coefficients'!J17</f>
        <v>455.5649010477598</v>
      </c>
      <c r="G14" s="35">
        <f>$C14*'8_Emissions_Coefficients'!K17</f>
        <v>1153.8488067521128</v>
      </c>
      <c r="H14" s="22">
        <f>$C14*'8_Emissions_Coefficients'!L17</f>
        <v>1056.7612048894755</v>
      </c>
      <c r="J14" s="37"/>
      <c r="K14" s="37"/>
    </row>
    <row r="15" spans="1:11" x14ac:dyDescent="0.3">
      <c r="A15" s="14">
        <f t="shared" si="3"/>
        <v>2037</v>
      </c>
      <c r="B15" s="14">
        <f>'6_Sears_Salem_Fx_Flt'!D14-'6_Sears_Salem_Fx_Flt'!G14</f>
        <v>2340</v>
      </c>
      <c r="C15" s="27">
        <f t="shared" si="0"/>
        <v>10249.200000000001</v>
      </c>
      <c r="D15" s="101">
        <f t="shared" si="2"/>
        <v>5.7239057239057312E-2</v>
      </c>
      <c r="E15" s="35">
        <f>$C15*'8_Emissions_Coefficients'!I18</f>
        <v>2234860.0029746308</v>
      </c>
      <c r="F15" s="32">
        <f>$C15*'8_Emissions_Coefficients'!J18</f>
        <v>504.44573610158153</v>
      </c>
      <c r="G15" s="35">
        <f>$C15*'8_Emissions_Coefficients'!K18</f>
        <v>1277.6535447163005</v>
      </c>
      <c r="H15" s="22">
        <f>$C15*'8_Emissions_Coefficients'!L18</f>
        <v>1170.1487157110457</v>
      </c>
      <c r="J15" s="37"/>
      <c r="K15" s="37"/>
    </row>
    <row r="16" spans="1:11" x14ac:dyDescent="0.3">
      <c r="A16" s="14">
        <f t="shared" si="3"/>
        <v>2038</v>
      </c>
      <c r="B16" s="14">
        <f>'6_Sears_Salem_Fx_Flt'!D15-'6_Sears_Salem_Fx_Flt'!G15</f>
        <v>2610</v>
      </c>
      <c r="C16" s="27">
        <f t="shared" si="0"/>
        <v>11431.8</v>
      </c>
      <c r="D16" s="101">
        <f t="shared" si="2"/>
        <v>6.0606060606060524E-2</v>
      </c>
      <c r="E16" s="35">
        <f>$C16*'8_Emissions_Coefficients'!I19</f>
        <v>2456962.5485353936</v>
      </c>
      <c r="F16" s="32">
        <f>$C16*'8_Emissions_Coefficients'!J19</f>
        <v>554.57804055747977</v>
      </c>
      <c r="G16" s="35">
        <f>$C16*'8_Emissions_Coefficients'!K19</f>
        <v>1404.6279879693545</v>
      </c>
      <c r="H16" s="22">
        <f>$C16*'8_Emissions_Coefficients'!L19</f>
        <v>1286.4392252275966</v>
      </c>
      <c r="J16" s="37"/>
      <c r="K16" s="37"/>
    </row>
    <row r="17" spans="1:11" x14ac:dyDescent="0.3">
      <c r="A17" s="15">
        <f t="shared" si="3"/>
        <v>2039</v>
      </c>
      <c r="B17" s="15">
        <f>'6_Sears_Salem_Fx_Flt'!D16-'6_Sears_Salem_Fx_Flt'!G16</f>
        <v>2895</v>
      </c>
      <c r="C17" s="51">
        <f t="shared" si="0"/>
        <v>12680.1</v>
      </c>
      <c r="D17" s="100">
        <f t="shared" si="2"/>
        <v>6.3973063973064029E-2</v>
      </c>
      <c r="E17" s="52">
        <f>$C17*'8_Emissions_Coefficients'!I20</f>
        <v>2683376.2064058511</v>
      </c>
      <c r="F17" s="53">
        <f>$C17*'8_Emissions_Coefficients'!J20</f>
        <v>605.68343604350343</v>
      </c>
      <c r="G17" s="52">
        <f>$C17*'8_Emissions_Coefficients'!K20</f>
        <v>1534.0670634216601</v>
      </c>
      <c r="H17" s="54">
        <f>$C17*'8_Emissions_Coefficients'!L20</f>
        <v>1404.986986887799</v>
      </c>
      <c r="J17" s="37"/>
      <c r="K17" s="37"/>
    </row>
    <row r="18" spans="1:11" x14ac:dyDescent="0.3">
      <c r="A18" s="16">
        <f t="shared" si="3"/>
        <v>2040</v>
      </c>
      <c r="B18" s="16">
        <f>'6_Sears_Salem_Fx_Flt'!D17-'6_Sears_Salem_Fx_Flt'!G17</f>
        <v>3075</v>
      </c>
      <c r="C18" s="27">
        <f t="shared" si="0"/>
        <v>13468.5</v>
      </c>
      <c r="D18" s="101">
        <f t="shared" si="2"/>
        <v>4.040404040404038E-2</v>
      </c>
      <c r="E18" s="48">
        <f>$C18*'8_Emissions_Coefficients'!I21</f>
        <v>2822126.2470868849</v>
      </c>
      <c r="F18" s="49">
        <f>$C18*'8_Emissions_Coefficients'!J21</f>
        <v>637.00166909269149</v>
      </c>
      <c r="G18" s="48">
        <f>$C18*'8_Emissions_Coefficients'!K21</f>
        <v>1613.3894733577183</v>
      </c>
      <c r="H18" s="50">
        <f>$C18*'8_Emissions_Coefficients'!L21</f>
        <v>1477.6350192887844</v>
      </c>
      <c r="J18" s="37"/>
      <c r="K18" s="37"/>
    </row>
    <row r="19" spans="1:11" x14ac:dyDescent="0.3">
      <c r="A19" s="14">
        <f t="shared" si="3"/>
        <v>2041</v>
      </c>
      <c r="B19" s="14">
        <f>'6_Sears_Salem_Fx_Flt'!D18-'6_Sears_Salem_Fx_Flt'!G18</f>
        <v>3255</v>
      </c>
      <c r="C19" s="27">
        <f t="shared" si="0"/>
        <v>14256.9</v>
      </c>
      <c r="D19" s="101">
        <f t="shared" si="2"/>
        <v>4.040404040404038E-2</v>
      </c>
      <c r="E19" s="35">
        <f>$C19*'8_Emissions_Coefficients'!I22</f>
        <v>2957587.4678763393</v>
      </c>
      <c r="F19" s="32">
        <f>$C19*'8_Emissions_Coefficients'!J22</f>
        <v>667.57755981667549</v>
      </c>
      <c r="G19" s="35">
        <f>$C19*'8_Emissions_Coefficients'!K22</f>
        <v>1690.8316883881371</v>
      </c>
      <c r="H19" s="22">
        <f>$C19*'8_Emissions_Coefficients'!L22</f>
        <v>1548.561060886223</v>
      </c>
      <c r="J19" s="37"/>
      <c r="K19" s="37"/>
    </row>
    <row r="20" spans="1:11" x14ac:dyDescent="0.3">
      <c r="A20" s="14">
        <f t="shared" si="3"/>
        <v>2042</v>
      </c>
      <c r="B20" s="14">
        <f>'6_Sears_Salem_Fx_Flt'!D19-'6_Sears_Salem_Fx_Flt'!G19</f>
        <v>3435</v>
      </c>
      <c r="C20" s="27">
        <f t="shared" si="0"/>
        <v>15045.3</v>
      </c>
      <c r="D20" s="101">
        <f t="shared" si="2"/>
        <v>4.040404040404038E-2</v>
      </c>
      <c r="E20" s="35">
        <f>$C20*'8_Emissions_Coefficients'!I23</f>
        <v>3089759.8687742148</v>
      </c>
      <c r="F20" s="32">
        <f>$C20*'8_Emissions_Coefficients'!J23</f>
        <v>697.4111082154559</v>
      </c>
      <c r="G20" s="35">
        <f>$C20*'8_Emissions_Coefficients'!K23</f>
        <v>1766.3937085129169</v>
      </c>
      <c r="H20" s="22">
        <f>$C20*'8_Emissions_Coefficients'!L23</f>
        <v>1617.7651116801151</v>
      </c>
      <c r="J20" s="37"/>
      <c r="K20" s="37"/>
    </row>
    <row r="21" spans="1:11" x14ac:dyDescent="0.3">
      <c r="A21" s="14">
        <f t="shared" si="3"/>
        <v>2043</v>
      </c>
      <c r="B21" s="14">
        <f>'6_Sears_Salem_Fx_Flt'!D20-'6_Sears_Salem_Fx_Flt'!G20</f>
        <v>3615</v>
      </c>
      <c r="C21" s="27">
        <f t="shared" si="0"/>
        <v>15833.7</v>
      </c>
      <c r="D21" s="101">
        <f t="shared" si="2"/>
        <v>4.0404040404040477E-2</v>
      </c>
      <c r="E21" s="35">
        <f>$C21*'8_Emissions_Coefficients'!I24</f>
        <v>3218643.4497805107</v>
      </c>
      <c r="F21" s="32">
        <f>$C21*'8_Emissions_Coefficients'!J24</f>
        <v>726.50231428903248</v>
      </c>
      <c r="G21" s="35">
        <f>$C21*'8_Emissions_Coefficients'!K24</f>
        <v>1840.0755337320575</v>
      </c>
      <c r="H21" s="22">
        <f>$C21*'8_Emissions_Coefficients'!L24</f>
        <v>1685.2471716704606</v>
      </c>
      <c r="J21" s="37"/>
      <c r="K21" s="37"/>
    </row>
    <row r="22" spans="1:11" x14ac:dyDescent="0.3">
      <c r="A22" s="14">
        <f t="shared" si="3"/>
        <v>2044</v>
      </c>
      <c r="B22" s="14">
        <f>'6_Sears_Salem_Fx_Flt'!D21-'6_Sears_Salem_Fx_Flt'!G21</f>
        <v>3795</v>
      </c>
      <c r="C22" s="27">
        <f t="shared" si="0"/>
        <v>16622.099999999999</v>
      </c>
      <c r="D22" s="101">
        <f t="shared" si="2"/>
        <v>4.040404040404029E-2</v>
      </c>
      <c r="E22" s="35">
        <f>$C22*'8_Emissions_Coefficients'!I25</f>
        <v>3344238.2108952273</v>
      </c>
      <c r="F22" s="32">
        <f>$C22*'8_Emissions_Coefficients'!J25</f>
        <v>754.85117803740502</v>
      </c>
      <c r="G22" s="35">
        <f>$C22*'8_Emissions_Coefficients'!K25</f>
        <v>1911.8771640455584</v>
      </c>
      <c r="H22" s="22">
        <f>$C22*'8_Emissions_Coefficients'!L25</f>
        <v>1751.0072408572594</v>
      </c>
      <c r="J22" s="37"/>
      <c r="K22" s="37"/>
    </row>
    <row r="23" spans="1:11" x14ac:dyDescent="0.3">
      <c r="A23" s="14">
        <f t="shared" si="3"/>
        <v>2045</v>
      </c>
      <c r="B23" s="14">
        <f>'6_Sears_Salem_Fx_Flt'!D22-'6_Sears_Salem_Fx_Flt'!G22</f>
        <v>3975</v>
      </c>
      <c r="C23" s="27">
        <f t="shared" si="0"/>
        <v>17410.5</v>
      </c>
      <c r="D23" s="101">
        <f t="shared" si="2"/>
        <v>4.0404040404040477E-2</v>
      </c>
      <c r="E23" s="35">
        <f>$C23*'8_Emissions_Coefficients'!I26</f>
        <v>3466544.1521183643</v>
      </c>
      <c r="F23" s="32">
        <f>$C23*'8_Emissions_Coefficients'!J26</f>
        <v>782.45769946057385</v>
      </c>
      <c r="G23" s="35">
        <f>$C23*'8_Emissions_Coefficients'!K26</f>
        <v>1981.7985994534204</v>
      </c>
      <c r="H23" s="22">
        <f>$C23*'8_Emissions_Coefficients'!L26</f>
        <v>1815.0453192405121</v>
      </c>
      <c r="J23" s="37"/>
      <c r="K23" s="37"/>
    </row>
    <row r="24" spans="1:11" x14ac:dyDescent="0.3">
      <c r="A24" s="14">
        <f t="shared" si="3"/>
        <v>2046</v>
      </c>
      <c r="B24" s="14">
        <f>'6_Sears_Salem_Fx_Flt'!D23-'6_Sears_Salem_Fx_Flt'!G23</f>
        <v>4155</v>
      </c>
      <c r="C24" s="27">
        <f t="shared" si="0"/>
        <v>18198.900000000001</v>
      </c>
      <c r="D24" s="101">
        <f t="shared" si="2"/>
        <v>4.0404040404040477E-2</v>
      </c>
      <c r="E24" s="35">
        <f>$C24*'8_Emissions_Coefficients'!I27</f>
        <v>3585561.273449922</v>
      </c>
      <c r="F24" s="32">
        <f>$C24*'8_Emissions_Coefficients'!J27</f>
        <v>809.32187855853886</v>
      </c>
      <c r="G24" s="35">
        <f>$C24*'8_Emissions_Coefficients'!K27</f>
        <v>2049.8398399556431</v>
      </c>
      <c r="H24" s="22">
        <f>$C24*'8_Emissions_Coefficients'!L27</f>
        <v>1877.3614068202178</v>
      </c>
      <c r="J24" s="37"/>
      <c r="K24" s="37"/>
    </row>
    <row r="25" spans="1:11" x14ac:dyDescent="0.3">
      <c r="A25" s="14">
        <f t="shared" si="3"/>
        <v>2047</v>
      </c>
      <c r="B25" s="14">
        <f>'6_Sears_Salem_Fx_Flt'!D24-'6_Sears_Salem_Fx_Flt'!G24</f>
        <v>4295</v>
      </c>
      <c r="C25" s="27">
        <f t="shared" si="0"/>
        <v>18812.099999999999</v>
      </c>
      <c r="D25" s="101">
        <f t="shared" si="2"/>
        <v>3.1425364758697942E-2</v>
      </c>
      <c r="E25" s="35">
        <f>$C25*'8_Emissions_Coefficients'!I28</f>
        <v>3675856.3935728809</v>
      </c>
      <c r="F25" s="32">
        <f>$C25*'8_Emissions_Coefficients'!J28</f>
        <v>829.7030157555804</v>
      </c>
      <c r="G25" s="35">
        <f>$C25*'8_Emissions_Coefficients'!K28</f>
        <v>2101.4609169547075</v>
      </c>
      <c r="H25" s="22">
        <f>$C25*'8_Emissions_Coefficients'!L28</f>
        <v>1924.6389627772894</v>
      </c>
      <c r="J25" s="37"/>
      <c r="K25" s="37"/>
    </row>
    <row r="26" spans="1:11" x14ac:dyDescent="0.3">
      <c r="A26" s="14">
        <f t="shared" si="3"/>
        <v>2048</v>
      </c>
      <c r="B26" s="14">
        <f>'6_Sears_Salem_Fx_Flt'!D25-'6_Sears_Salem_Fx_Flt'!G25</f>
        <v>4395</v>
      </c>
      <c r="C26" s="27">
        <f t="shared" si="0"/>
        <v>19250.099999999999</v>
      </c>
      <c r="D26" s="101">
        <f t="shared" si="2"/>
        <v>2.2446689113355778E-2</v>
      </c>
      <c r="E26" s="35">
        <f>$C26*'8_Emissions_Coefficients'!I29</f>
        <v>3739134.8265050971</v>
      </c>
      <c r="F26" s="32">
        <f>$C26*'8_Emissions_Coefficients'!J29</f>
        <v>843.9860292943971</v>
      </c>
      <c r="G26" s="35">
        <f>$C26*'8_Emissions_Coefficients'!K29</f>
        <v>2137.6367463276124</v>
      </c>
      <c r="H26" s="22">
        <f>$C26*'8_Emissions_Coefficients'!L29</f>
        <v>1957.7708712320857</v>
      </c>
      <c r="J26" s="37"/>
      <c r="K26" s="37"/>
    </row>
    <row r="27" spans="1:11" x14ac:dyDescent="0.3">
      <c r="A27" s="15">
        <f t="shared" si="3"/>
        <v>2049</v>
      </c>
      <c r="B27" s="15">
        <f>'6_Sears_Salem_Fx_Flt'!D26-'6_Sears_Salem_Fx_Flt'!G26</f>
        <v>4455</v>
      </c>
      <c r="C27" s="27">
        <f t="shared" si="0"/>
        <v>19512.900000000001</v>
      </c>
      <c r="D27" s="101">
        <f t="shared" si="2"/>
        <v>1.3468013468013617E-2</v>
      </c>
      <c r="E27" s="52">
        <f>$C27*'8_Emissions_Coefficients'!I30</f>
        <v>3776614.6536878976</v>
      </c>
      <c r="F27" s="32">
        <f>$C27*'8_Emissions_Coefficients'!J30</f>
        <v>852.44586077691633</v>
      </c>
      <c r="G27" s="35">
        <f>$C27*'8_Emissions_Coefficients'!K30</f>
        <v>2159.0636965579274</v>
      </c>
      <c r="H27" s="22">
        <f>$C27*'8_Emissions_Coefficients'!L30</f>
        <v>1977.3949065562899</v>
      </c>
      <c r="I27" t="s">
        <v>74</v>
      </c>
      <c r="J27" s="37"/>
      <c r="K27" s="37"/>
    </row>
    <row r="28" spans="1:11" x14ac:dyDescent="0.3">
      <c r="A28" s="28"/>
      <c r="B28" s="36" t="s">
        <v>19</v>
      </c>
      <c r="C28" s="29">
        <f t="shared" ref="C28:H28" si="4">SUM(C3:C27)</f>
        <v>245805.6</v>
      </c>
      <c r="D28" s="103">
        <f t="shared" si="4"/>
        <v>0.99999999999999978</v>
      </c>
      <c r="E28" s="119">
        <f t="shared" si="4"/>
        <v>50870066.866550833</v>
      </c>
      <c r="F28" s="96">
        <f t="shared" si="4"/>
        <v>11482.235259424975</v>
      </c>
      <c r="G28" s="98">
        <f t="shared" si="4"/>
        <v>29082.054878379651</v>
      </c>
      <c r="H28" s="97">
        <f t="shared" si="4"/>
        <v>26635.021134567771</v>
      </c>
      <c r="I28" t="s">
        <v>76</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B9FF3-2726-457D-971A-3CA29F7B20BF}">
  <dimension ref="A1:R31"/>
  <sheetViews>
    <sheetView topLeftCell="A4" zoomScale="115" zoomScaleNormal="115" workbookViewId="0">
      <selection activeCell="M10" sqref="M10:M31"/>
    </sheetView>
  </sheetViews>
  <sheetFormatPr defaultRowHeight="14.4" x14ac:dyDescent="0.3"/>
  <cols>
    <col min="1" max="6" width="10.6640625" style="1" customWidth="1"/>
    <col min="7" max="7" width="4.6640625" customWidth="1"/>
    <col min="8" max="12" width="10.6640625" customWidth="1"/>
    <col min="13" max="13" width="15" customWidth="1"/>
    <col min="14" max="18" width="10.6640625" customWidth="1"/>
  </cols>
  <sheetData>
    <row r="1" spans="1:18" x14ac:dyDescent="0.3">
      <c r="A1" s="3" t="s">
        <v>0</v>
      </c>
      <c r="B1" s="16" t="s">
        <v>46</v>
      </c>
      <c r="C1" s="3" t="s">
        <v>17</v>
      </c>
      <c r="D1" s="16" t="s">
        <v>18</v>
      </c>
      <c r="E1" s="5" t="s">
        <v>21</v>
      </c>
      <c r="F1" s="5" t="s">
        <v>58</v>
      </c>
      <c r="H1" s="3" t="s">
        <v>0</v>
      </c>
      <c r="I1" s="16" t="s">
        <v>50</v>
      </c>
      <c r="J1" s="16" t="s">
        <v>17</v>
      </c>
      <c r="K1" s="16" t="s">
        <v>18</v>
      </c>
      <c r="L1" s="16" t="s">
        <v>21</v>
      </c>
      <c r="N1" s="2" t="s">
        <v>24</v>
      </c>
    </row>
    <row r="2" spans="1:18" x14ac:dyDescent="0.3">
      <c r="A2" s="8"/>
      <c r="B2" s="15" t="s">
        <v>23</v>
      </c>
      <c r="C2" s="8" t="s">
        <v>23</v>
      </c>
      <c r="D2" s="15" t="s">
        <v>23</v>
      </c>
      <c r="E2" s="10" t="s">
        <v>23</v>
      </c>
      <c r="F2" s="10"/>
      <c r="H2" s="8"/>
      <c r="I2" s="15" t="s">
        <v>22</v>
      </c>
      <c r="J2" s="15" t="s">
        <v>22</v>
      </c>
      <c r="K2" s="15" t="s">
        <v>22</v>
      </c>
      <c r="L2" s="15" t="s">
        <v>22</v>
      </c>
      <c r="N2" s="2" t="s">
        <v>25</v>
      </c>
    </row>
    <row r="3" spans="1:18" x14ac:dyDescent="0.3">
      <c r="A3" s="3">
        <v>2022</v>
      </c>
      <c r="B3" s="123">
        <f>O7</f>
        <v>540.5</v>
      </c>
      <c r="C3" s="45">
        <f>P7</f>
        <v>0.122</v>
      </c>
      <c r="D3" s="45">
        <f>Q7</f>
        <v>0.309</v>
      </c>
      <c r="E3" s="45">
        <f>R7</f>
        <v>0.28299999999999997</v>
      </c>
      <c r="F3" s="46">
        <v>0</v>
      </c>
      <c r="H3" s="3">
        <v>2022</v>
      </c>
      <c r="I3" s="44">
        <f t="shared" ref="I3:I31" si="0">B3*1000/2204.62</f>
        <v>245.16696754996326</v>
      </c>
      <c r="J3" s="45">
        <f t="shared" ref="J3:J31" si="1">C3*1000/2204.62</f>
        <v>5.5338334951148045E-2</v>
      </c>
      <c r="K3" s="45">
        <f t="shared" ref="K3:K31" si="2">D3*1000/2204.62</f>
        <v>0.14016020901561269</v>
      </c>
      <c r="L3" s="45">
        <f t="shared" ref="L3:L31" si="3">E3*1000/2204.62</f>
        <v>0.12836679337028603</v>
      </c>
      <c r="N3" s="2"/>
    </row>
    <row r="4" spans="1:18" x14ac:dyDescent="0.3">
      <c r="A4" s="6">
        <v>2023</v>
      </c>
      <c r="B4" s="88">
        <f t="shared" ref="B4:B30" si="4">B3-(O$9*$F4)</f>
        <v>540.5</v>
      </c>
      <c r="C4" s="42">
        <f t="shared" ref="C4:C30" si="5">C3-(P$9*$F4)</f>
        <v>0.122</v>
      </c>
      <c r="D4" s="42">
        <f t="shared" ref="D4:D30" si="6">D3-(Q$9*$F4)</f>
        <v>0.309</v>
      </c>
      <c r="E4" s="42">
        <f t="shared" ref="E4:E30" si="7">E3-(R$9*$F4)</f>
        <v>0.28299999999999997</v>
      </c>
      <c r="F4" s="38">
        <v>0</v>
      </c>
      <c r="H4" s="6">
        <v>2023</v>
      </c>
      <c r="I4" s="40">
        <f t="shared" si="0"/>
        <v>245.16696754996326</v>
      </c>
      <c r="J4" s="42">
        <f t="shared" si="1"/>
        <v>5.5338334951148045E-2</v>
      </c>
      <c r="K4" s="42">
        <f t="shared" si="2"/>
        <v>0.14016020901561269</v>
      </c>
      <c r="L4" s="42">
        <f t="shared" si="3"/>
        <v>0.12836679337028603</v>
      </c>
      <c r="N4" s="120" t="s">
        <v>59</v>
      </c>
    </row>
    <row r="5" spans="1:18" x14ac:dyDescent="0.3">
      <c r="A5" s="8">
        <v>2024</v>
      </c>
      <c r="B5" s="91">
        <f t="shared" si="4"/>
        <v>540.5</v>
      </c>
      <c r="C5" s="43">
        <f t="shared" si="5"/>
        <v>0.122</v>
      </c>
      <c r="D5" s="43">
        <f t="shared" si="6"/>
        <v>0.309</v>
      </c>
      <c r="E5" s="43">
        <f t="shared" si="7"/>
        <v>0.28299999999999997</v>
      </c>
      <c r="F5" s="39">
        <v>0</v>
      </c>
      <c r="H5" s="8">
        <v>2024</v>
      </c>
      <c r="I5" s="41">
        <f t="shared" si="0"/>
        <v>245.16696754996326</v>
      </c>
      <c r="J5" s="43">
        <f t="shared" si="1"/>
        <v>5.5338334951148045E-2</v>
      </c>
      <c r="K5" s="43">
        <f t="shared" si="2"/>
        <v>0.14016020901561269</v>
      </c>
      <c r="L5" s="43">
        <f t="shared" si="3"/>
        <v>0.12836679337028603</v>
      </c>
      <c r="N5" s="16"/>
      <c r="O5" s="16" t="s">
        <v>46</v>
      </c>
      <c r="P5" s="4" t="s">
        <v>17</v>
      </c>
      <c r="Q5" s="3" t="s">
        <v>18</v>
      </c>
      <c r="R5" s="5" t="s">
        <v>21</v>
      </c>
    </row>
    <row r="6" spans="1:18" x14ac:dyDescent="0.3">
      <c r="A6" s="3">
        <v>2025</v>
      </c>
      <c r="B6" s="90">
        <f t="shared" si="4"/>
        <v>540.5</v>
      </c>
      <c r="C6" s="45">
        <f t="shared" si="5"/>
        <v>0.122</v>
      </c>
      <c r="D6" s="45">
        <f t="shared" si="6"/>
        <v>0.309</v>
      </c>
      <c r="E6" s="45">
        <f t="shared" si="7"/>
        <v>0.28299999999999997</v>
      </c>
      <c r="F6" s="46">
        <f>'7_+EPA-EPA_Emissions'!D3</f>
        <v>0</v>
      </c>
      <c r="H6" s="3">
        <v>2025</v>
      </c>
      <c r="I6" s="55">
        <f t="shared" si="0"/>
        <v>245.16696754996326</v>
      </c>
      <c r="J6" s="45">
        <f t="shared" si="1"/>
        <v>5.5338334951148045E-2</v>
      </c>
      <c r="K6" s="45">
        <f t="shared" si="2"/>
        <v>0.14016020901561269</v>
      </c>
      <c r="L6" s="45">
        <f t="shared" si="3"/>
        <v>0.12836679337028603</v>
      </c>
      <c r="N6" s="15"/>
      <c r="O6" s="10" t="s">
        <v>23</v>
      </c>
      <c r="P6" s="10" t="s">
        <v>23</v>
      </c>
      <c r="Q6" s="8" t="s">
        <v>23</v>
      </c>
      <c r="R6" s="10" t="s">
        <v>23</v>
      </c>
    </row>
    <row r="7" spans="1:18" x14ac:dyDescent="0.3">
      <c r="A7" s="6">
        <v>2026</v>
      </c>
      <c r="B7" s="88">
        <f t="shared" si="4"/>
        <v>540.5</v>
      </c>
      <c r="C7" s="42">
        <f t="shared" si="5"/>
        <v>0.122</v>
      </c>
      <c r="D7" s="42">
        <f t="shared" si="6"/>
        <v>0.309</v>
      </c>
      <c r="E7" s="42">
        <f t="shared" si="7"/>
        <v>0.28299999999999997</v>
      </c>
      <c r="F7" s="38">
        <f>'7_+EPA-EPA_Emissions'!D4</f>
        <v>0</v>
      </c>
      <c r="H7" s="6">
        <v>2026</v>
      </c>
      <c r="I7" s="56">
        <f t="shared" si="0"/>
        <v>245.16696754996326</v>
      </c>
      <c r="J7" s="42">
        <f t="shared" si="1"/>
        <v>5.5338334951148045E-2</v>
      </c>
      <c r="K7" s="42">
        <f t="shared" si="2"/>
        <v>0.14016020901561269</v>
      </c>
      <c r="L7" s="42">
        <f t="shared" si="3"/>
        <v>0.12836679337028603</v>
      </c>
      <c r="N7" s="14">
        <v>2022</v>
      </c>
      <c r="O7" s="122">
        <f>540.5</f>
        <v>540.5</v>
      </c>
      <c r="P7" s="42">
        <v>0.122</v>
      </c>
      <c r="Q7" s="58">
        <v>0.309</v>
      </c>
      <c r="R7" s="38">
        <v>0.28299999999999997</v>
      </c>
    </row>
    <row r="8" spans="1:18" x14ac:dyDescent="0.3">
      <c r="A8" s="6">
        <v>2027</v>
      </c>
      <c r="B8" s="88">
        <f t="shared" si="4"/>
        <v>540.5</v>
      </c>
      <c r="C8" s="42">
        <f t="shared" si="5"/>
        <v>0.122</v>
      </c>
      <c r="D8" s="42">
        <f t="shared" si="6"/>
        <v>0.309</v>
      </c>
      <c r="E8" s="42">
        <f t="shared" si="7"/>
        <v>0.28299999999999997</v>
      </c>
      <c r="F8" s="38">
        <f>'7_+EPA-EPA_Emissions'!D5</f>
        <v>0</v>
      </c>
      <c r="H8" s="6">
        <v>2027</v>
      </c>
      <c r="I8" s="56">
        <f t="shared" si="0"/>
        <v>245.16696754996326</v>
      </c>
      <c r="J8" s="42">
        <f t="shared" si="1"/>
        <v>5.5338334951148045E-2</v>
      </c>
      <c r="K8" s="42">
        <f t="shared" si="2"/>
        <v>0.14016020901561269</v>
      </c>
      <c r="L8" s="42">
        <f t="shared" si="3"/>
        <v>0.12836679337028603</v>
      </c>
      <c r="N8" s="14">
        <v>2049</v>
      </c>
      <c r="O8" s="122">
        <f>O7*$P$22</f>
        <v>426.6920958859734</v>
      </c>
      <c r="P8" s="42">
        <f>P7*$P$22</f>
        <v>9.6311629413670219E-2</v>
      </c>
      <c r="Q8" s="58">
        <f>Q7*$P$22</f>
        <v>0.24393683187560739</v>
      </c>
      <c r="R8" s="38">
        <f>R7*$P$22</f>
        <v>0.22341140265630058</v>
      </c>
    </row>
    <row r="9" spans="1:18" x14ac:dyDescent="0.3">
      <c r="A9" s="6">
        <v>2028</v>
      </c>
      <c r="B9" s="88">
        <f t="shared" si="4"/>
        <v>536.66808403656478</v>
      </c>
      <c r="C9" s="42">
        <f t="shared" si="5"/>
        <v>0.12113507169742997</v>
      </c>
      <c r="D9" s="42">
        <f t="shared" si="6"/>
        <v>0.30680932093857266</v>
      </c>
      <c r="E9" s="42">
        <f t="shared" si="7"/>
        <v>0.28099364992108755</v>
      </c>
      <c r="F9" s="38">
        <f>'7_+EPA-EPA_Emissions'!D6</f>
        <v>3.3670033670033669E-2</v>
      </c>
      <c r="H9" s="6">
        <v>2028</v>
      </c>
      <c r="I9" s="56">
        <f t="shared" si="0"/>
        <v>243.42883763939582</v>
      </c>
      <c r="J9" s="42">
        <f t="shared" si="1"/>
        <v>5.4946009605932079E-2</v>
      </c>
      <c r="K9" s="42">
        <f t="shared" si="2"/>
        <v>0.13916653252650013</v>
      </c>
      <c r="L9" s="42">
        <f t="shared" si="3"/>
        <v>0.12745672720064571</v>
      </c>
      <c r="N9" s="13" t="s">
        <v>58</v>
      </c>
      <c r="O9" s="123">
        <f>O7-O8</f>
        <v>113.8079041140266</v>
      </c>
      <c r="P9" s="87">
        <f>P7-P8</f>
        <v>2.5688370586329778E-2</v>
      </c>
      <c r="Q9" s="92">
        <f>Q7-Q8</f>
        <v>6.5063168124392612E-2</v>
      </c>
      <c r="R9" s="93">
        <f>R7-R8</f>
        <v>5.9588597343699395E-2</v>
      </c>
    </row>
    <row r="10" spans="1:18" x14ac:dyDescent="0.3">
      <c r="A10" s="8">
        <v>2029</v>
      </c>
      <c r="B10" s="91">
        <f t="shared" si="4"/>
        <v>531.68659328409899</v>
      </c>
      <c r="C10" s="43">
        <f t="shared" si="5"/>
        <v>0.12001066490408893</v>
      </c>
      <c r="D10" s="43">
        <f t="shared" si="6"/>
        <v>0.30396143815871707</v>
      </c>
      <c r="E10" s="43">
        <f t="shared" si="7"/>
        <v>0.27838539481850139</v>
      </c>
      <c r="F10" s="39">
        <f>'7_+EPA-EPA_Emissions'!D7</f>
        <v>4.3771043771043766E-2</v>
      </c>
      <c r="H10" s="8">
        <v>2029</v>
      </c>
      <c r="I10" s="57">
        <f t="shared" si="0"/>
        <v>241.16926875565812</v>
      </c>
      <c r="J10" s="43">
        <f t="shared" si="1"/>
        <v>5.4435986657151318E-2</v>
      </c>
      <c r="K10" s="43">
        <f t="shared" si="2"/>
        <v>0.13787475309065375</v>
      </c>
      <c r="L10" s="43">
        <f t="shared" si="3"/>
        <v>0.12627364118011331</v>
      </c>
      <c r="M10" t="s">
        <v>73</v>
      </c>
    </row>
    <row r="11" spans="1:18" x14ac:dyDescent="0.3">
      <c r="A11" s="3">
        <v>2030</v>
      </c>
      <c r="B11" s="90">
        <f t="shared" si="4"/>
        <v>525.93871933894616</v>
      </c>
      <c r="C11" s="45">
        <f t="shared" si="5"/>
        <v>0.11871327245023389</v>
      </c>
      <c r="D11" s="45">
        <f t="shared" si="6"/>
        <v>0.30067541956657601</v>
      </c>
      <c r="E11" s="45">
        <f t="shared" si="7"/>
        <v>0.27537586970013272</v>
      </c>
      <c r="F11" s="46">
        <f>'7_+EPA-EPA_Emissions'!D8</f>
        <v>5.0505050505050504E-2</v>
      </c>
      <c r="H11" s="3">
        <v>2030</v>
      </c>
      <c r="I11" s="55">
        <f t="shared" si="0"/>
        <v>238.56207388980695</v>
      </c>
      <c r="J11" s="45">
        <f t="shared" si="1"/>
        <v>5.3847498639327362E-2</v>
      </c>
      <c r="K11" s="45">
        <f t="shared" si="2"/>
        <v>0.13638423835698488</v>
      </c>
      <c r="L11" s="45">
        <f t="shared" si="3"/>
        <v>0.12490854192565283</v>
      </c>
      <c r="M11" t="s">
        <v>75</v>
      </c>
      <c r="N11" s="120" t="s">
        <v>60</v>
      </c>
    </row>
    <row r="12" spans="1:18" x14ac:dyDescent="0.3">
      <c r="A12" s="6">
        <v>2031</v>
      </c>
      <c r="B12" s="88">
        <f t="shared" si="4"/>
        <v>519.8076537974498</v>
      </c>
      <c r="C12" s="42">
        <f t="shared" si="5"/>
        <v>0.11732938716612185</v>
      </c>
      <c r="D12" s="42">
        <f t="shared" si="6"/>
        <v>0.29717033306829221</v>
      </c>
      <c r="E12" s="42">
        <f t="shared" si="7"/>
        <v>0.27216570957387282</v>
      </c>
      <c r="F12" s="38">
        <f>'7_+EPA-EPA_Emissions'!D9</f>
        <v>5.3872053872053884E-2</v>
      </c>
      <c r="H12" s="6">
        <v>2031</v>
      </c>
      <c r="I12" s="56">
        <f t="shared" si="0"/>
        <v>235.78106603289899</v>
      </c>
      <c r="J12" s="42">
        <f t="shared" si="1"/>
        <v>5.321977808698182E-2</v>
      </c>
      <c r="K12" s="42">
        <f t="shared" si="2"/>
        <v>0.13479435597440476</v>
      </c>
      <c r="L12" s="42">
        <f t="shared" si="3"/>
        <v>0.1234524360542283</v>
      </c>
      <c r="N12" s="16"/>
      <c r="O12" s="16" t="s">
        <v>46</v>
      </c>
      <c r="P12" s="4" t="s">
        <v>17</v>
      </c>
      <c r="Q12" s="3" t="s">
        <v>18</v>
      </c>
      <c r="R12" s="5" t="s">
        <v>21</v>
      </c>
    </row>
    <row r="13" spans="1:18" x14ac:dyDescent="0.3">
      <c r="A13" s="6">
        <v>2032</v>
      </c>
      <c r="B13" s="88">
        <f t="shared" si="4"/>
        <v>513.29339665960993</v>
      </c>
      <c r="C13" s="42">
        <f t="shared" si="5"/>
        <v>0.1158590090517528</v>
      </c>
      <c r="D13" s="42">
        <f t="shared" si="6"/>
        <v>0.29344617866386569</v>
      </c>
      <c r="E13" s="42">
        <f t="shared" si="7"/>
        <v>0.26875491443972166</v>
      </c>
      <c r="F13" s="38">
        <f>'7_+EPA-EPA_Emissions'!D10</f>
        <v>5.7239057239057214E-2</v>
      </c>
      <c r="H13" s="6">
        <v>2032</v>
      </c>
      <c r="I13" s="56">
        <f t="shared" si="0"/>
        <v>232.82624518493435</v>
      </c>
      <c r="J13" s="42">
        <f t="shared" si="1"/>
        <v>5.255282500011467E-2</v>
      </c>
      <c r="K13" s="42">
        <f t="shared" si="2"/>
        <v>0.13310510594291339</v>
      </c>
      <c r="L13" s="42">
        <f t="shared" si="3"/>
        <v>0.12190532356583979</v>
      </c>
      <c r="N13" s="15"/>
      <c r="O13" s="10" t="s">
        <v>23</v>
      </c>
      <c r="P13" s="10" t="s">
        <v>23</v>
      </c>
      <c r="Q13" s="8" t="s">
        <v>23</v>
      </c>
      <c r="R13" s="10" t="s">
        <v>23</v>
      </c>
    </row>
    <row r="14" spans="1:18" x14ac:dyDescent="0.3">
      <c r="A14" s="6">
        <v>2033</v>
      </c>
      <c r="B14" s="88">
        <f t="shared" si="4"/>
        <v>506.39594792542647</v>
      </c>
      <c r="C14" s="42">
        <f t="shared" si="5"/>
        <v>0.11430213810712675</v>
      </c>
      <c r="D14" s="42">
        <f t="shared" si="6"/>
        <v>0.28950295635329643</v>
      </c>
      <c r="E14" s="42">
        <f t="shared" si="7"/>
        <v>0.26514348429767925</v>
      </c>
      <c r="F14" s="38">
        <f>'7_+EPA-EPA_Emissions'!D11</f>
        <v>6.0606060606060622E-2</v>
      </c>
      <c r="H14" s="6">
        <v>2033</v>
      </c>
      <c r="I14" s="56">
        <f t="shared" si="0"/>
        <v>229.69761134591289</v>
      </c>
      <c r="J14" s="42">
        <f t="shared" si="1"/>
        <v>5.1846639378725926E-2</v>
      </c>
      <c r="K14" s="42">
        <f t="shared" si="2"/>
        <v>0.13131648826251074</v>
      </c>
      <c r="L14" s="42">
        <f t="shared" si="3"/>
        <v>0.12026720446048719</v>
      </c>
      <c r="N14" s="14">
        <v>2022</v>
      </c>
      <c r="O14" s="88">
        <v>928.1</v>
      </c>
      <c r="P14" s="42">
        <v>0.249</v>
      </c>
      <c r="Q14" s="58">
        <v>0.45700000000000002</v>
      </c>
      <c r="R14" s="38">
        <v>0.32900000000000001</v>
      </c>
    </row>
    <row r="15" spans="1:18" x14ac:dyDescent="0.3">
      <c r="A15" s="6">
        <v>2034</v>
      </c>
      <c r="B15" s="88">
        <f t="shared" si="4"/>
        <v>499.11530759489949</v>
      </c>
      <c r="C15" s="42">
        <f t="shared" si="5"/>
        <v>0.11265877433224369</v>
      </c>
      <c r="D15" s="42">
        <f t="shared" si="6"/>
        <v>0.28534066613658443</v>
      </c>
      <c r="E15" s="42">
        <f t="shared" si="7"/>
        <v>0.2613314191477456</v>
      </c>
      <c r="F15" s="38">
        <f>'7_+EPA-EPA_Emissions'!D12</f>
        <v>6.3973063973063973E-2</v>
      </c>
      <c r="H15" s="6">
        <v>2034</v>
      </c>
      <c r="I15" s="56">
        <f t="shared" si="0"/>
        <v>226.39516451583472</v>
      </c>
      <c r="J15" s="42">
        <f t="shared" si="1"/>
        <v>5.1101221222815588E-2</v>
      </c>
      <c r="K15" s="42">
        <f t="shared" si="2"/>
        <v>0.12942850293319685</v>
      </c>
      <c r="L15" s="42">
        <f t="shared" si="3"/>
        <v>0.11853807873817057</v>
      </c>
      <c r="N15" s="14">
        <v>2049</v>
      </c>
      <c r="O15" s="88">
        <f>O14*$P$22</f>
        <v>732.67887917071585</v>
      </c>
      <c r="P15" s="42">
        <f>P14*$P$22</f>
        <v>0.19657045675413021</v>
      </c>
      <c r="Q15" s="58">
        <f>Q14*$P$22</f>
        <v>0.36077389050858438</v>
      </c>
      <c r="R15" s="38">
        <f>R14*$P$22</f>
        <v>0.25972562358276646</v>
      </c>
    </row>
    <row r="16" spans="1:18" x14ac:dyDescent="0.3">
      <c r="A16" s="6">
        <v>2035</v>
      </c>
      <c r="B16" s="88">
        <f t="shared" si="4"/>
        <v>493.36743364974666</v>
      </c>
      <c r="C16" s="42">
        <f t="shared" si="5"/>
        <v>0.11136138187838865</v>
      </c>
      <c r="D16" s="42">
        <f t="shared" si="6"/>
        <v>0.28205464754444337</v>
      </c>
      <c r="E16" s="42">
        <f t="shared" si="7"/>
        <v>0.25832189402937694</v>
      </c>
      <c r="F16" s="38">
        <f>'7_+EPA-EPA_Emissions'!D13</f>
        <v>5.0505050505050504E-2</v>
      </c>
      <c r="H16" s="6">
        <v>2035</v>
      </c>
      <c r="I16" s="56">
        <f t="shared" si="0"/>
        <v>223.78796964998352</v>
      </c>
      <c r="J16" s="42">
        <f t="shared" si="1"/>
        <v>5.0512733204991639E-2</v>
      </c>
      <c r="K16" s="42">
        <f t="shared" si="2"/>
        <v>0.12793798819952798</v>
      </c>
      <c r="L16" s="42">
        <f t="shared" si="3"/>
        <v>0.1171729794837101</v>
      </c>
      <c r="N16" s="13" t="s">
        <v>58</v>
      </c>
      <c r="O16" s="89">
        <f>O14-O15</f>
        <v>195.42112082928418</v>
      </c>
      <c r="P16" s="87">
        <f>P14-P15</f>
        <v>5.2429543245869792E-2</v>
      </c>
      <c r="Q16" s="92">
        <f>Q14-Q15</f>
        <v>9.6226109491415635E-2</v>
      </c>
      <c r="R16" s="93">
        <f>R14-R15</f>
        <v>6.9274376417233552E-2</v>
      </c>
    </row>
    <row r="17" spans="1:18" x14ac:dyDescent="0.3">
      <c r="A17" s="6">
        <v>2036</v>
      </c>
      <c r="B17" s="88">
        <f t="shared" si="4"/>
        <v>487.2363681082503</v>
      </c>
      <c r="C17" s="42">
        <f t="shared" si="5"/>
        <v>0.10997749659427661</v>
      </c>
      <c r="D17" s="42">
        <f t="shared" si="6"/>
        <v>0.27854956104615958</v>
      </c>
      <c r="E17" s="42">
        <f t="shared" si="7"/>
        <v>0.25511173390311703</v>
      </c>
      <c r="F17" s="38">
        <f>'7_+EPA-EPA_Emissions'!D14</f>
        <v>5.3872053872053814E-2</v>
      </c>
      <c r="H17" s="6">
        <v>2036</v>
      </c>
      <c r="I17" s="56">
        <f t="shared" si="0"/>
        <v>221.00696179307562</v>
      </c>
      <c r="J17" s="42">
        <f t="shared" si="1"/>
        <v>4.9885012652646082E-2</v>
      </c>
      <c r="K17" s="42">
        <f t="shared" si="2"/>
        <v>0.12634810581694786</v>
      </c>
      <c r="L17" s="42">
        <f t="shared" si="3"/>
        <v>0.11571687361228558</v>
      </c>
    </row>
    <row r="18" spans="1:18" x14ac:dyDescent="0.3">
      <c r="A18" s="6">
        <v>2037</v>
      </c>
      <c r="B18" s="88">
        <f t="shared" si="4"/>
        <v>480.72211097041037</v>
      </c>
      <c r="C18" s="42">
        <f t="shared" si="5"/>
        <v>0.10850711847990756</v>
      </c>
      <c r="D18" s="42">
        <f t="shared" si="6"/>
        <v>0.27482540664173305</v>
      </c>
      <c r="E18" s="42">
        <f t="shared" si="7"/>
        <v>0.25170093876896588</v>
      </c>
      <c r="F18" s="38">
        <f>'7_+EPA-EPA_Emissions'!D15</f>
        <v>5.7239057239057312E-2</v>
      </c>
      <c r="H18" s="6">
        <v>2037</v>
      </c>
      <c r="I18" s="56">
        <f t="shared" si="0"/>
        <v>218.05214094511089</v>
      </c>
      <c r="J18" s="42">
        <f t="shared" si="1"/>
        <v>4.9218059565778939E-2</v>
      </c>
      <c r="K18" s="42">
        <f t="shared" si="2"/>
        <v>0.12465885578545646</v>
      </c>
      <c r="L18" s="42">
        <f t="shared" si="3"/>
        <v>0.11416976112389704</v>
      </c>
      <c r="N18" s="121" t="s">
        <v>61</v>
      </c>
    </row>
    <row r="19" spans="1:18" x14ac:dyDescent="0.3">
      <c r="A19" s="6">
        <v>2038</v>
      </c>
      <c r="B19" s="88">
        <f t="shared" si="4"/>
        <v>473.82466223622697</v>
      </c>
      <c r="C19" s="42">
        <f t="shared" si="5"/>
        <v>0.10695024753528151</v>
      </c>
      <c r="D19" s="42">
        <f t="shared" si="6"/>
        <v>0.27088218433116379</v>
      </c>
      <c r="E19" s="42">
        <f t="shared" si="7"/>
        <v>0.2480895086269235</v>
      </c>
      <c r="F19" s="38">
        <f>'7_+EPA-EPA_Emissions'!D16</f>
        <v>6.0606060606060524E-2</v>
      </c>
      <c r="H19" s="6">
        <v>2038</v>
      </c>
      <c r="I19" s="56">
        <f t="shared" si="0"/>
        <v>214.92350710608949</v>
      </c>
      <c r="J19" s="42">
        <f t="shared" si="1"/>
        <v>4.8511873944390195E-2</v>
      </c>
      <c r="K19" s="42">
        <f t="shared" si="2"/>
        <v>0.12287023810505385</v>
      </c>
      <c r="L19" s="42">
        <f t="shared" si="3"/>
        <v>0.11253164201854447</v>
      </c>
      <c r="N19" s="11" t="s">
        <v>47</v>
      </c>
      <c r="O19" s="13" t="s">
        <v>55</v>
      </c>
      <c r="P19" s="84" t="s">
        <v>48</v>
      </c>
    </row>
    <row r="20" spans="1:18" x14ac:dyDescent="0.3">
      <c r="A20" s="8">
        <v>2039</v>
      </c>
      <c r="B20" s="91">
        <f t="shared" si="4"/>
        <v>466.54402190569999</v>
      </c>
      <c r="C20" s="43">
        <f t="shared" si="5"/>
        <v>0.10530688376039846</v>
      </c>
      <c r="D20" s="43">
        <f t="shared" si="6"/>
        <v>0.26671989411445179</v>
      </c>
      <c r="E20" s="43">
        <f t="shared" si="7"/>
        <v>0.24427744347698988</v>
      </c>
      <c r="F20" s="39">
        <f>'7_+EPA-EPA_Emissions'!D17</f>
        <v>6.3973063973064029E-2</v>
      </c>
      <c r="H20" s="8">
        <v>2039</v>
      </c>
      <c r="I20" s="56">
        <f t="shared" si="0"/>
        <v>211.62106027601129</v>
      </c>
      <c r="J20" s="42">
        <f t="shared" si="1"/>
        <v>4.7766455788479857E-2</v>
      </c>
      <c r="K20" s="42">
        <f t="shared" si="2"/>
        <v>0.12098225277573994</v>
      </c>
      <c r="L20" s="42">
        <f t="shared" si="3"/>
        <v>0.11080251629622787</v>
      </c>
      <c r="N20" s="3" t="s">
        <v>44</v>
      </c>
      <c r="O20" s="90">
        <f>Q26</f>
        <v>270.4212</v>
      </c>
      <c r="P20" s="95">
        <f>O20/O20</f>
        <v>1</v>
      </c>
    </row>
    <row r="21" spans="1:18" x14ac:dyDescent="0.3">
      <c r="A21" s="3">
        <v>2040</v>
      </c>
      <c r="B21" s="90">
        <f t="shared" si="4"/>
        <v>461.94572274957773</v>
      </c>
      <c r="C21" s="45">
        <f t="shared" si="5"/>
        <v>0.10426896979731443</v>
      </c>
      <c r="D21" s="45">
        <f t="shared" si="6"/>
        <v>0.26409107924073894</v>
      </c>
      <c r="E21" s="45">
        <f t="shared" si="7"/>
        <v>0.24186982338229496</v>
      </c>
      <c r="F21" s="46">
        <f>'7_+EPA-EPA_Emissions'!D18</f>
        <v>4.040404040404038E-2</v>
      </c>
      <c r="H21" s="6">
        <v>2040</v>
      </c>
      <c r="I21" s="55">
        <f t="shared" si="0"/>
        <v>209.53530438333036</v>
      </c>
      <c r="J21" s="45">
        <f t="shared" si="1"/>
        <v>4.7295665374220697E-2</v>
      </c>
      <c r="K21" s="45">
        <f t="shared" si="2"/>
        <v>0.11978984098880487</v>
      </c>
      <c r="L21" s="45">
        <f t="shared" si="3"/>
        <v>0.1097104368926595</v>
      </c>
      <c r="N21" s="117" t="s">
        <v>45</v>
      </c>
      <c r="O21" s="91">
        <f>Q29</f>
        <v>56.94</v>
      </c>
      <c r="P21" s="125">
        <f>O21/O20</f>
        <v>0.21056041464204728</v>
      </c>
    </row>
    <row r="22" spans="1:18" x14ac:dyDescent="0.3">
      <c r="A22" s="6">
        <v>2041</v>
      </c>
      <c r="B22" s="88">
        <f t="shared" si="4"/>
        <v>457.34742359345546</v>
      </c>
      <c r="C22" s="42">
        <f t="shared" si="5"/>
        <v>0.1032310558342304</v>
      </c>
      <c r="D22" s="42">
        <f t="shared" si="6"/>
        <v>0.26146226436702613</v>
      </c>
      <c r="E22" s="42">
        <f t="shared" si="7"/>
        <v>0.23946220328760004</v>
      </c>
      <c r="F22" s="38">
        <f>'7_+EPA-EPA_Emissions'!D19</f>
        <v>4.040404040404038E-2</v>
      </c>
      <c r="H22" s="6">
        <v>2041</v>
      </c>
      <c r="I22" s="56">
        <f t="shared" si="0"/>
        <v>207.44954849064939</v>
      </c>
      <c r="J22" s="42">
        <f t="shared" si="1"/>
        <v>4.6824874959961529E-2</v>
      </c>
      <c r="K22" s="42">
        <f t="shared" si="2"/>
        <v>0.11859742920186978</v>
      </c>
      <c r="L22" s="42">
        <f t="shared" si="3"/>
        <v>0.10861835748909111</v>
      </c>
      <c r="N22" s="8" t="s">
        <v>49</v>
      </c>
      <c r="O22" s="91">
        <f>O20-O21</f>
        <v>213.4812</v>
      </c>
      <c r="P22" s="94">
        <f>O22/O20</f>
        <v>0.78943958535795267</v>
      </c>
    </row>
    <row r="23" spans="1:18" x14ac:dyDescent="0.3">
      <c r="A23" s="6">
        <v>2042</v>
      </c>
      <c r="B23" s="88">
        <f t="shared" si="4"/>
        <v>452.74912443733319</v>
      </c>
      <c r="C23" s="42">
        <f t="shared" si="5"/>
        <v>0.10219314187114636</v>
      </c>
      <c r="D23" s="42">
        <f t="shared" si="6"/>
        <v>0.25883344949331333</v>
      </c>
      <c r="E23" s="42">
        <f t="shared" si="7"/>
        <v>0.23705458319290512</v>
      </c>
      <c r="F23" s="38">
        <f>'7_+EPA-EPA_Emissions'!D20</f>
        <v>4.040404040404038E-2</v>
      </c>
      <c r="H23" s="6">
        <v>2042</v>
      </c>
      <c r="I23" s="56">
        <f t="shared" si="0"/>
        <v>205.36379259796846</v>
      </c>
      <c r="J23" s="42">
        <f t="shared" si="1"/>
        <v>4.6354084545702376E-2</v>
      </c>
      <c r="K23" s="42">
        <f t="shared" si="2"/>
        <v>0.1174050174149347</v>
      </c>
      <c r="L23" s="42">
        <f t="shared" si="3"/>
        <v>0.10752627808552273</v>
      </c>
    </row>
    <row r="24" spans="1:18" x14ac:dyDescent="0.3">
      <c r="A24" s="6">
        <v>2043</v>
      </c>
      <c r="B24" s="88">
        <f t="shared" si="4"/>
        <v>448.15082528121087</v>
      </c>
      <c r="C24" s="42">
        <f t="shared" si="5"/>
        <v>0.10115522790806233</v>
      </c>
      <c r="D24" s="42">
        <f t="shared" si="6"/>
        <v>0.25620463461960047</v>
      </c>
      <c r="E24" s="42">
        <f t="shared" si="7"/>
        <v>0.2346469630982102</v>
      </c>
      <c r="F24" s="38">
        <f>'7_+EPA-EPA_Emissions'!D21</f>
        <v>4.0404040404040477E-2</v>
      </c>
      <c r="H24" s="6">
        <v>2043</v>
      </c>
      <c r="I24" s="56">
        <f t="shared" si="0"/>
        <v>203.27803670528749</v>
      </c>
      <c r="J24" s="42">
        <f t="shared" si="1"/>
        <v>4.5883294131443216E-2</v>
      </c>
      <c r="K24" s="42">
        <f t="shared" si="2"/>
        <v>0.11621260562799961</v>
      </c>
      <c r="L24" s="42">
        <f t="shared" si="3"/>
        <v>0.10643419868195435</v>
      </c>
      <c r="N24" s="120" t="s">
        <v>62</v>
      </c>
    </row>
    <row r="25" spans="1:18" x14ac:dyDescent="0.3">
      <c r="A25" s="6">
        <v>2044</v>
      </c>
      <c r="B25" s="88">
        <f t="shared" si="4"/>
        <v>443.5525261250886</v>
      </c>
      <c r="C25" s="42">
        <f t="shared" si="5"/>
        <v>0.1001173139449783</v>
      </c>
      <c r="D25" s="42">
        <f t="shared" si="6"/>
        <v>0.25357581974588767</v>
      </c>
      <c r="E25" s="42">
        <f t="shared" si="7"/>
        <v>0.23223934300351529</v>
      </c>
      <c r="F25" s="38">
        <f>'7_+EPA-EPA_Emissions'!D22</f>
        <v>4.040404040404029E-2</v>
      </c>
      <c r="H25" s="6">
        <v>2044</v>
      </c>
      <c r="I25" s="56">
        <f t="shared" si="0"/>
        <v>201.19228081260655</v>
      </c>
      <c r="J25" s="42">
        <f t="shared" si="1"/>
        <v>4.5412503717184055E-2</v>
      </c>
      <c r="K25" s="42">
        <f t="shared" si="2"/>
        <v>0.11502019384106452</v>
      </c>
      <c r="L25" s="42">
        <f t="shared" si="3"/>
        <v>0.10534211927838598</v>
      </c>
      <c r="N25" s="28"/>
      <c r="O25" s="110" t="s">
        <v>43</v>
      </c>
      <c r="P25" s="108" t="s">
        <v>54</v>
      </c>
      <c r="Q25" s="110" t="s">
        <v>55</v>
      </c>
      <c r="R25" s="109" t="s">
        <v>57</v>
      </c>
    </row>
    <row r="26" spans="1:18" x14ac:dyDescent="0.3">
      <c r="A26" s="6">
        <v>2045</v>
      </c>
      <c r="B26" s="88">
        <f t="shared" si="4"/>
        <v>438.95422696896628</v>
      </c>
      <c r="C26" s="42">
        <f t="shared" si="5"/>
        <v>9.9079399981894273E-2</v>
      </c>
      <c r="D26" s="42">
        <f t="shared" si="6"/>
        <v>0.25094700487217481</v>
      </c>
      <c r="E26" s="42">
        <f t="shared" si="7"/>
        <v>0.22983172290882037</v>
      </c>
      <c r="F26" s="38">
        <f>'7_+EPA-EPA_Emissions'!D23</f>
        <v>4.0404040404040477E-2</v>
      </c>
      <c r="H26" s="6">
        <v>2045</v>
      </c>
      <c r="I26" s="56">
        <f t="shared" si="0"/>
        <v>199.10652491992559</v>
      </c>
      <c r="J26" s="42">
        <f t="shared" si="1"/>
        <v>4.4941713302924895E-2</v>
      </c>
      <c r="K26" s="42">
        <f t="shared" si="2"/>
        <v>0.11382778205412943</v>
      </c>
      <c r="L26" s="42">
        <f t="shared" si="3"/>
        <v>0.10425003987481761</v>
      </c>
      <c r="N26" s="11" t="s">
        <v>44</v>
      </c>
      <c r="O26" s="110">
        <f>SUM(O27:O31)</f>
        <v>97.2</v>
      </c>
      <c r="P26" s="114">
        <f>Q26*1000/(O26*8760)</f>
        <v>0.31759259259259259</v>
      </c>
      <c r="Q26" s="115">
        <f>SUM(Q27:Q31)</f>
        <v>270.4212</v>
      </c>
      <c r="R26" s="116">
        <f t="shared" ref="R26:R31" si="8">Q26/$Q$26</f>
        <v>1</v>
      </c>
    </row>
    <row r="27" spans="1:18" x14ac:dyDescent="0.3">
      <c r="A27" s="6">
        <v>2046</v>
      </c>
      <c r="B27" s="88">
        <f t="shared" si="4"/>
        <v>434.35592781284396</v>
      </c>
      <c r="C27" s="42">
        <f t="shared" si="5"/>
        <v>9.8041486018810242E-2</v>
      </c>
      <c r="D27" s="42">
        <f t="shared" si="6"/>
        <v>0.24831818999846197</v>
      </c>
      <c r="E27" s="42">
        <f t="shared" si="7"/>
        <v>0.22742410281412545</v>
      </c>
      <c r="F27" s="38">
        <f>'7_+EPA-EPA_Emissions'!D24</f>
        <v>4.0404040404040477E-2</v>
      </c>
      <c r="H27" s="6">
        <v>2046</v>
      </c>
      <c r="I27" s="56">
        <f t="shared" si="0"/>
        <v>197.0207690272446</v>
      </c>
      <c r="J27" s="42">
        <f t="shared" si="1"/>
        <v>4.4470922888665734E-2</v>
      </c>
      <c r="K27" s="42">
        <f t="shared" si="2"/>
        <v>0.11263537026719433</v>
      </c>
      <c r="L27" s="42">
        <f t="shared" si="3"/>
        <v>0.10315796047124923</v>
      </c>
      <c r="N27" s="6" t="s">
        <v>51</v>
      </c>
      <c r="O27" s="111">
        <v>57</v>
      </c>
      <c r="P27" s="104">
        <v>0.25</v>
      </c>
      <c r="Q27" s="112">
        <f>O27*P27*8760/1000</f>
        <v>124.83</v>
      </c>
      <c r="R27" s="105">
        <f t="shared" si="8"/>
        <v>0.46161321671525751</v>
      </c>
    </row>
    <row r="28" spans="1:18" x14ac:dyDescent="0.3">
      <c r="A28" s="6">
        <v>2047</v>
      </c>
      <c r="B28" s="88">
        <f t="shared" si="4"/>
        <v>430.77947291363773</v>
      </c>
      <c r="C28" s="42">
        <f t="shared" si="5"/>
        <v>9.7234219603078223E-2</v>
      </c>
      <c r="D28" s="42">
        <f t="shared" si="6"/>
        <v>0.24627355620779645</v>
      </c>
      <c r="E28" s="42">
        <f t="shared" si="7"/>
        <v>0.22555150940714053</v>
      </c>
      <c r="F28" s="38">
        <f>'7_+EPA-EPA_Emissions'!D25</f>
        <v>3.1425364758697942E-2</v>
      </c>
      <c r="H28" s="6">
        <v>2047</v>
      </c>
      <c r="I28" s="56">
        <f t="shared" si="0"/>
        <v>195.39851444404832</v>
      </c>
      <c r="J28" s="42">
        <f t="shared" si="1"/>
        <v>4.4104752566464164E-2</v>
      </c>
      <c r="K28" s="42">
        <f t="shared" si="2"/>
        <v>0.11170793887735594</v>
      </c>
      <c r="L28" s="42">
        <f t="shared" si="3"/>
        <v>0.10230856537958492</v>
      </c>
      <c r="N28" s="6" t="s">
        <v>52</v>
      </c>
      <c r="O28" s="111">
        <v>19</v>
      </c>
      <c r="P28" s="104">
        <v>0.45</v>
      </c>
      <c r="Q28" s="112">
        <f t="shared" ref="Q28:Q31" si="9">O28*P28*8760/1000</f>
        <v>74.897999999999996</v>
      </c>
      <c r="R28" s="105">
        <f t="shared" si="8"/>
        <v>0.27696793002915449</v>
      </c>
    </row>
    <row r="29" spans="1:18" x14ac:dyDescent="0.3">
      <c r="A29" s="6">
        <v>2048</v>
      </c>
      <c r="B29" s="88">
        <f t="shared" si="4"/>
        <v>428.22486227134755</v>
      </c>
      <c r="C29" s="42">
        <f t="shared" si="5"/>
        <v>9.6657600734698201E-2</v>
      </c>
      <c r="D29" s="42">
        <f t="shared" si="6"/>
        <v>0.24481310350017821</v>
      </c>
      <c r="E29" s="42">
        <f t="shared" si="7"/>
        <v>0.22421394268786557</v>
      </c>
      <c r="F29" s="38">
        <f>'7_+EPA-EPA_Emissions'!D26</f>
        <v>2.2446689113355778E-2</v>
      </c>
      <c r="H29" s="6">
        <v>2048</v>
      </c>
      <c r="I29" s="56">
        <f t="shared" si="0"/>
        <v>194.23976117033664</v>
      </c>
      <c r="J29" s="42">
        <f t="shared" si="1"/>
        <v>4.3843202336320185E-2</v>
      </c>
      <c r="K29" s="42">
        <f t="shared" si="2"/>
        <v>0.11104548788461423</v>
      </c>
      <c r="L29" s="42">
        <f t="shared" si="3"/>
        <v>0.10170185459982473</v>
      </c>
      <c r="N29" s="117" t="s">
        <v>45</v>
      </c>
      <c r="O29" s="111">
        <v>13</v>
      </c>
      <c r="P29" s="104">
        <v>0.5</v>
      </c>
      <c r="Q29" s="112">
        <f t="shared" si="9"/>
        <v>56.94</v>
      </c>
      <c r="R29" s="126">
        <f t="shared" si="8"/>
        <v>0.21056041464204728</v>
      </c>
    </row>
    <row r="30" spans="1:18" x14ac:dyDescent="0.3">
      <c r="A30" s="8">
        <v>2049</v>
      </c>
      <c r="B30" s="91">
        <f t="shared" si="4"/>
        <v>426.69209588597346</v>
      </c>
      <c r="C30" s="43">
        <f t="shared" si="5"/>
        <v>9.6311629413670191E-2</v>
      </c>
      <c r="D30" s="43">
        <f t="shared" si="6"/>
        <v>0.24393683187560725</v>
      </c>
      <c r="E30" s="43">
        <f t="shared" si="7"/>
        <v>0.22341140265630058</v>
      </c>
      <c r="F30" s="39">
        <f>'7_+EPA-EPA_Emissions'!D27</f>
        <v>1.3468013468013617E-2</v>
      </c>
      <c r="H30" s="8">
        <v>2049</v>
      </c>
      <c r="I30" s="57">
        <f t="shared" si="0"/>
        <v>193.54450920610967</v>
      </c>
      <c r="J30" s="43">
        <f t="shared" si="1"/>
        <v>4.3686272198233796E-2</v>
      </c>
      <c r="K30" s="43">
        <f t="shared" si="2"/>
        <v>0.1106480172889692</v>
      </c>
      <c r="L30" s="43">
        <f t="shared" si="3"/>
        <v>0.10133782813196858</v>
      </c>
      <c r="M30" t="s">
        <v>74</v>
      </c>
      <c r="N30" s="6" t="s">
        <v>56</v>
      </c>
      <c r="O30" s="111">
        <v>3</v>
      </c>
      <c r="P30" s="104">
        <v>0.35</v>
      </c>
      <c r="Q30" s="112">
        <f t="shared" si="9"/>
        <v>9.1979999999999986</v>
      </c>
      <c r="R30" s="105">
        <f t="shared" si="8"/>
        <v>3.4013605442176867E-2</v>
      </c>
    </row>
    <row r="31" spans="1:18" x14ac:dyDescent="0.3">
      <c r="A31" s="13">
        <v>2050</v>
      </c>
      <c r="B31" s="124">
        <f>O8</f>
        <v>426.6920958859734</v>
      </c>
      <c r="C31" s="43">
        <f>P8</f>
        <v>9.6311629413670219E-2</v>
      </c>
      <c r="D31" s="43">
        <f>Q8</f>
        <v>0.24393683187560739</v>
      </c>
      <c r="E31" s="43">
        <f>R8</f>
        <v>0.22341140265630058</v>
      </c>
      <c r="F31" s="39">
        <f>SUM(F3:F30)</f>
        <v>0.99999999999999978</v>
      </c>
      <c r="H31" s="11">
        <v>2050</v>
      </c>
      <c r="I31" s="57">
        <f t="shared" si="0"/>
        <v>193.54450920610964</v>
      </c>
      <c r="J31" s="43">
        <f t="shared" si="1"/>
        <v>4.368627219823381E-2</v>
      </c>
      <c r="K31" s="43">
        <f t="shared" si="2"/>
        <v>0.11064801728896925</v>
      </c>
      <c r="L31" s="43">
        <f t="shared" si="3"/>
        <v>0.10133782813196858</v>
      </c>
      <c r="M31" t="s">
        <v>76</v>
      </c>
      <c r="N31" s="8" t="s">
        <v>53</v>
      </c>
      <c r="O31" s="34">
        <v>5.2</v>
      </c>
      <c r="P31" s="106">
        <v>0.1</v>
      </c>
      <c r="Q31" s="113">
        <f t="shared" si="9"/>
        <v>4.5552000000000001</v>
      </c>
      <c r="R31" s="107">
        <f t="shared" si="8"/>
        <v>1.6844833171363784E-2</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1FA7E-904B-4864-9C70-8C8EADCF6E68}">
  <dimension ref="A1:G28"/>
  <sheetViews>
    <sheetView workbookViewId="0">
      <selection activeCell="F7" sqref="F7:F28"/>
    </sheetView>
  </sheetViews>
  <sheetFormatPr defaultColWidth="10.6640625" defaultRowHeight="14.4" x14ac:dyDescent="0.3"/>
  <cols>
    <col min="2" max="5" width="12.6640625" style="19" customWidth="1"/>
    <col min="6" max="6" width="14.44140625" customWidth="1"/>
  </cols>
  <sheetData>
    <row r="1" spans="1:7" x14ac:dyDescent="0.3">
      <c r="A1" s="3" t="s">
        <v>0</v>
      </c>
      <c r="B1" s="33" t="s">
        <v>26</v>
      </c>
      <c r="C1" s="33" t="s">
        <v>17</v>
      </c>
      <c r="D1" s="30" t="s">
        <v>18</v>
      </c>
      <c r="E1" s="33" t="s">
        <v>27</v>
      </c>
      <c r="F1" s="19"/>
    </row>
    <row r="2" spans="1:7" x14ac:dyDescent="0.3">
      <c r="A2" s="8"/>
      <c r="B2" s="34" t="s">
        <v>20</v>
      </c>
      <c r="C2" s="34" t="s">
        <v>20</v>
      </c>
      <c r="D2" s="31" t="s">
        <v>20</v>
      </c>
      <c r="E2" s="34" t="s">
        <v>20</v>
      </c>
    </row>
    <row r="3" spans="1:7" x14ac:dyDescent="0.3">
      <c r="A3" s="16">
        <v>2025</v>
      </c>
      <c r="B3" s="48">
        <v>0</v>
      </c>
      <c r="C3" s="48">
        <v>0</v>
      </c>
      <c r="D3" s="48">
        <v>0</v>
      </c>
      <c r="E3" s="48">
        <v>0</v>
      </c>
    </row>
    <row r="4" spans="1:7" x14ac:dyDescent="0.3">
      <c r="A4" s="14">
        <v>2026</v>
      </c>
      <c r="B4" s="35">
        <f>B3+(B$18/($A$17-$A$3))</f>
        <v>198.5</v>
      </c>
      <c r="C4" s="63">
        <f>C3+(C$18/($A$17-$A$3))</f>
        <v>0.17214285714285715</v>
      </c>
      <c r="D4" s="62">
        <f>D3+(D$18/($A$17-$A$3))</f>
        <v>4.6269285714285715</v>
      </c>
      <c r="E4" s="70">
        <f>E3+(E$18/($A$17-$A$3))</f>
        <v>6.4428571428571432E-2</v>
      </c>
    </row>
    <row r="5" spans="1:7" x14ac:dyDescent="0.3">
      <c r="A5" s="14">
        <v>2027</v>
      </c>
      <c r="B5" s="35">
        <f t="shared" ref="B5:E17" si="0">B4+(B$18/($A$17-$A$3))</f>
        <v>397</v>
      </c>
      <c r="C5" s="63">
        <f t="shared" si="0"/>
        <v>0.34428571428571431</v>
      </c>
      <c r="D5" s="62">
        <f t="shared" si="0"/>
        <v>9.253857142857143</v>
      </c>
      <c r="E5" s="70">
        <f t="shared" si="0"/>
        <v>0.12885714285714286</v>
      </c>
    </row>
    <row r="6" spans="1:7" x14ac:dyDescent="0.3">
      <c r="A6" s="14">
        <v>2028</v>
      </c>
      <c r="B6" s="35">
        <f t="shared" si="0"/>
        <v>595.5</v>
      </c>
      <c r="C6" s="63">
        <f t="shared" si="0"/>
        <v>0.51642857142857146</v>
      </c>
      <c r="D6" s="62">
        <f t="shared" si="0"/>
        <v>13.880785714285715</v>
      </c>
      <c r="E6" s="70">
        <f t="shared" si="0"/>
        <v>0.19328571428571428</v>
      </c>
    </row>
    <row r="7" spans="1:7" x14ac:dyDescent="0.3">
      <c r="A7" s="15">
        <v>2029</v>
      </c>
      <c r="B7" s="52">
        <f t="shared" si="0"/>
        <v>794</v>
      </c>
      <c r="C7" s="68">
        <f t="shared" si="0"/>
        <v>0.68857142857142861</v>
      </c>
      <c r="D7" s="66">
        <f t="shared" si="0"/>
        <v>18.507714285714286</v>
      </c>
      <c r="E7" s="71">
        <f t="shared" si="0"/>
        <v>0.25771428571428573</v>
      </c>
      <c r="F7" t="s">
        <v>73</v>
      </c>
    </row>
    <row r="8" spans="1:7" x14ac:dyDescent="0.3">
      <c r="A8" s="16">
        <v>2030</v>
      </c>
      <c r="B8" s="35">
        <f t="shared" si="0"/>
        <v>992.5</v>
      </c>
      <c r="C8" s="63">
        <f t="shared" si="0"/>
        <v>0.86071428571428577</v>
      </c>
      <c r="D8" s="62">
        <f t="shared" si="0"/>
        <v>23.134642857142858</v>
      </c>
      <c r="E8" s="70">
        <f t="shared" si="0"/>
        <v>0.32214285714285718</v>
      </c>
      <c r="F8" t="s">
        <v>75</v>
      </c>
    </row>
    <row r="9" spans="1:7" x14ac:dyDescent="0.3">
      <c r="A9" s="14">
        <f t="shared" ref="A9:A27" si="1">A8+1</f>
        <v>2031</v>
      </c>
      <c r="B9" s="35">
        <f t="shared" si="0"/>
        <v>1191</v>
      </c>
      <c r="C9" s="63">
        <f t="shared" si="0"/>
        <v>1.0328571428571429</v>
      </c>
      <c r="D9" s="62">
        <f t="shared" si="0"/>
        <v>27.761571428571429</v>
      </c>
      <c r="E9" s="70">
        <f t="shared" si="0"/>
        <v>0.38657142857142862</v>
      </c>
    </row>
    <row r="10" spans="1:7" x14ac:dyDescent="0.3">
      <c r="A10" s="14">
        <f t="shared" si="1"/>
        <v>2032</v>
      </c>
      <c r="B10" s="35">
        <f t="shared" si="0"/>
        <v>1389.5</v>
      </c>
      <c r="C10" s="63">
        <f t="shared" si="0"/>
        <v>1.2050000000000001</v>
      </c>
      <c r="D10" s="62">
        <f t="shared" si="0"/>
        <v>32.388500000000001</v>
      </c>
      <c r="E10" s="70">
        <f t="shared" si="0"/>
        <v>0.45100000000000007</v>
      </c>
    </row>
    <row r="11" spans="1:7" x14ac:dyDescent="0.3">
      <c r="A11" s="14">
        <f t="shared" si="1"/>
        <v>2033</v>
      </c>
      <c r="B11" s="35">
        <f t="shared" si="0"/>
        <v>1588</v>
      </c>
      <c r="C11" s="63">
        <f t="shared" si="0"/>
        <v>1.3771428571428572</v>
      </c>
      <c r="D11" s="62">
        <f t="shared" si="0"/>
        <v>37.015428571428572</v>
      </c>
      <c r="E11" s="70">
        <f t="shared" si="0"/>
        <v>0.51542857142857146</v>
      </c>
    </row>
    <row r="12" spans="1:7" x14ac:dyDescent="0.3">
      <c r="A12" s="14">
        <f t="shared" si="1"/>
        <v>2034</v>
      </c>
      <c r="B12" s="35">
        <f t="shared" si="0"/>
        <v>1786.5</v>
      </c>
      <c r="C12" s="63">
        <f t="shared" si="0"/>
        <v>1.5492857142857144</v>
      </c>
      <c r="D12" s="62">
        <f t="shared" si="0"/>
        <v>41.642357142857144</v>
      </c>
      <c r="E12" s="70">
        <f t="shared" si="0"/>
        <v>0.57985714285714285</v>
      </c>
    </row>
    <row r="13" spans="1:7" x14ac:dyDescent="0.3">
      <c r="A13" s="14">
        <f t="shared" si="1"/>
        <v>2035</v>
      </c>
      <c r="B13" s="35">
        <f t="shared" si="0"/>
        <v>1985</v>
      </c>
      <c r="C13" s="63">
        <f t="shared" si="0"/>
        <v>1.7214285714285715</v>
      </c>
      <c r="D13" s="62">
        <f t="shared" si="0"/>
        <v>46.269285714285715</v>
      </c>
      <c r="E13" s="70">
        <f t="shared" si="0"/>
        <v>0.64428571428571424</v>
      </c>
    </row>
    <row r="14" spans="1:7" x14ac:dyDescent="0.3">
      <c r="A14" s="14">
        <f t="shared" si="1"/>
        <v>2036</v>
      </c>
      <c r="B14" s="35">
        <f t="shared" si="0"/>
        <v>2183.5</v>
      </c>
      <c r="C14" s="63">
        <f t="shared" si="0"/>
        <v>1.8935714285714287</v>
      </c>
      <c r="D14" s="62">
        <f t="shared" si="0"/>
        <v>50.896214285714287</v>
      </c>
      <c r="E14" s="70">
        <f t="shared" si="0"/>
        <v>0.70871428571428563</v>
      </c>
    </row>
    <row r="15" spans="1:7" x14ac:dyDescent="0.3">
      <c r="A15" s="14">
        <f t="shared" si="1"/>
        <v>2037</v>
      </c>
      <c r="B15" s="35">
        <f t="shared" si="0"/>
        <v>2382</v>
      </c>
      <c r="C15" s="63">
        <f t="shared" si="0"/>
        <v>2.0657142857142858</v>
      </c>
      <c r="D15" s="62">
        <f t="shared" si="0"/>
        <v>55.523142857142858</v>
      </c>
      <c r="E15" s="70">
        <f t="shared" si="0"/>
        <v>0.77314285714285702</v>
      </c>
    </row>
    <row r="16" spans="1:7" x14ac:dyDescent="0.3">
      <c r="A16" s="14">
        <f t="shared" si="1"/>
        <v>2038</v>
      </c>
      <c r="B16" s="35">
        <f t="shared" si="0"/>
        <v>2580.5</v>
      </c>
      <c r="C16" s="63">
        <f t="shared" si="0"/>
        <v>2.237857142857143</v>
      </c>
      <c r="D16" s="62">
        <f t="shared" si="0"/>
        <v>60.15007142857143</v>
      </c>
      <c r="E16" s="70">
        <f t="shared" si="0"/>
        <v>0.83757142857142841</v>
      </c>
      <c r="G16" s="127" t="s">
        <v>63</v>
      </c>
    </row>
    <row r="17" spans="1:7" x14ac:dyDescent="0.3">
      <c r="A17" s="15">
        <f t="shared" si="1"/>
        <v>2039</v>
      </c>
      <c r="B17" s="35">
        <f t="shared" si="0"/>
        <v>2779</v>
      </c>
      <c r="C17" s="63">
        <f t="shared" si="0"/>
        <v>2.41</v>
      </c>
      <c r="D17" s="62">
        <f t="shared" si="0"/>
        <v>64.777000000000001</v>
      </c>
      <c r="E17" s="70">
        <f t="shared" si="0"/>
        <v>0.9019999999999998</v>
      </c>
    </row>
    <row r="18" spans="1:7" x14ac:dyDescent="0.3">
      <c r="A18" s="16">
        <f t="shared" si="1"/>
        <v>2040</v>
      </c>
      <c r="B18" s="49">
        <v>2779</v>
      </c>
      <c r="C18" s="69">
        <v>2.41</v>
      </c>
      <c r="D18" s="73">
        <v>64.777000000000001</v>
      </c>
      <c r="E18" s="72">
        <v>0.90200000000000002</v>
      </c>
    </row>
    <row r="19" spans="1:7" x14ac:dyDescent="0.3">
      <c r="A19" s="14">
        <f t="shared" si="1"/>
        <v>2041</v>
      </c>
      <c r="B19" s="32">
        <v>2779</v>
      </c>
      <c r="C19" s="63">
        <v>2.41</v>
      </c>
      <c r="D19" s="74">
        <v>64.777000000000001</v>
      </c>
      <c r="E19" s="70">
        <v>0.90200000000000002</v>
      </c>
    </row>
    <row r="20" spans="1:7" x14ac:dyDescent="0.3">
      <c r="A20" s="14">
        <f t="shared" si="1"/>
        <v>2042</v>
      </c>
      <c r="B20" s="32">
        <v>2779</v>
      </c>
      <c r="C20" s="63">
        <v>2.41</v>
      </c>
      <c r="D20" s="74">
        <v>64.777000000000001</v>
      </c>
      <c r="E20" s="70">
        <v>0.90200000000000002</v>
      </c>
    </row>
    <row r="21" spans="1:7" x14ac:dyDescent="0.3">
      <c r="A21" s="14">
        <f t="shared" si="1"/>
        <v>2043</v>
      </c>
      <c r="B21" s="32">
        <v>2779</v>
      </c>
      <c r="C21" s="63">
        <v>2.41</v>
      </c>
      <c r="D21" s="74">
        <v>64.777000000000001</v>
      </c>
      <c r="E21" s="70">
        <v>0.90200000000000002</v>
      </c>
    </row>
    <row r="22" spans="1:7" x14ac:dyDescent="0.3">
      <c r="A22" s="14">
        <f t="shared" si="1"/>
        <v>2044</v>
      </c>
      <c r="B22" s="32">
        <v>2779</v>
      </c>
      <c r="C22" s="63">
        <v>2.41</v>
      </c>
      <c r="D22" s="74">
        <v>64.777000000000001</v>
      </c>
      <c r="E22" s="70">
        <v>0.90200000000000002</v>
      </c>
    </row>
    <row r="23" spans="1:7" x14ac:dyDescent="0.3">
      <c r="A23" s="14">
        <f t="shared" si="1"/>
        <v>2045</v>
      </c>
      <c r="B23" s="32">
        <v>2779</v>
      </c>
      <c r="C23" s="63">
        <v>2.41</v>
      </c>
      <c r="D23" s="74">
        <v>64.777000000000001</v>
      </c>
      <c r="E23" s="70">
        <v>0.90200000000000002</v>
      </c>
    </row>
    <row r="24" spans="1:7" x14ac:dyDescent="0.3">
      <c r="A24" s="14">
        <f t="shared" si="1"/>
        <v>2046</v>
      </c>
      <c r="B24" s="32">
        <v>2779</v>
      </c>
      <c r="C24" s="63">
        <v>2.41</v>
      </c>
      <c r="D24" s="74">
        <v>64.777000000000001</v>
      </c>
      <c r="E24" s="70">
        <v>0.90200000000000002</v>
      </c>
    </row>
    <row r="25" spans="1:7" x14ac:dyDescent="0.3">
      <c r="A25" s="14">
        <f t="shared" si="1"/>
        <v>2047</v>
      </c>
      <c r="B25" s="32">
        <v>2779</v>
      </c>
      <c r="C25" s="63">
        <v>2.41</v>
      </c>
      <c r="D25" s="74">
        <v>64.777000000000001</v>
      </c>
      <c r="E25" s="70">
        <v>0.90200000000000002</v>
      </c>
    </row>
    <row r="26" spans="1:7" x14ac:dyDescent="0.3">
      <c r="A26" s="14">
        <f t="shared" si="1"/>
        <v>2048</v>
      </c>
      <c r="B26" s="32">
        <v>2779</v>
      </c>
      <c r="C26" s="63">
        <v>2.41</v>
      </c>
      <c r="D26" s="74">
        <v>64.777000000000001</v>
      </c>
      <c r="E26" s="70">
        <v>0.90200000000000002</v>
      </c>
    </row>
    <row r="27" spans="1:7" x14ac:dyDescent="0.3">
      <c r="A27" s="15">
        <f t="shared" si="1"/>
        <v>2049</v>
      </c>
      <c r="B27" s="53">
        <v>2779</v>
      </c>
      <c r="C27" s="68">
        <v>2.41</v>
      </c>
      <c r="D27" s="75">
        <v>64.777000000000001</v>
      </c>
      <c r="E27" s="71">
        <v>0.90200000000000002</v>
      </c>
      <c r="F27" t="s">
        <v>74</v>
      </c>
    </row>
    <row r="28" spans="1:7" x14ac:dyDescent="0.3">
      <c r="A28" s="28"/>
      <c r="B28" s="61">
        <f>SUM(B3:B27)</f>
        <v>48632.5</v>
      </c>
      <c r="C28" s="76">
        <f>SUM(C3:C27)</f>
        <v>42.174999999999997</v>
      </c>
      <c r="D28" s="60">
        <f>SUM(D3:D27)</f>
        <v>1133.5975000000003</v>
      </c>
      <c r="E28" s="77">
        <f>SUM(E3:E27)</f>
        <v>15.784999999999995</v>
      </c>
      <c r="F28" t="s">
        <v>76</v>
      </c>
      <c r="G28" s="127" t="s">
        <v>64</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d444f0f-23ee-456f-a466-b998a3b365e4">
      <Terms xmlns="http://schemas.microsoft.com/office/infopath/2007/PartnerControls"/>
    </lcf76f155ced4ddcb4097134ff3c332f>
    <TaxCatchAll xmlns="b38f7e8a-b47d-4ece-ab4c-3021a3a5e2e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0E1F99B1E4D5D43A9B094BD141FA5AB" ma:contentTypeVersion="16" ma:contentTypeDescription="Create a new document." ma:contentTypeScope="" ma:versionID="d7aa1737d91309e07f7043dd5e4e2419">
  <xsd:schema xmlns:xsd="http://www.w3.org/2001/XMLSchema" xmlns:xs="http://www.w3.org/2001/XMLSchema" xmlns:p="http://schemas.microsoft.com/office/2006/metadata/properties" xmlns:ns2="fd444f0f-23ee-456f-a466-b998a3b365e4" xmlns:ns3="b38f7e8a-b47d-4ece-ab4c-3021a3a5e2e0" targetNamespace="http://schemas.microsoft.com/office/2006/metadata/properties" ma:root="true" ma:fieldsID="fa86971eaa2ba66c553fa68c58fab2e8" ns2:_="" ns3:_="">
    <xsd:import namespace="fd444f0f-23ee-456f-a466-b998a3b365e4"/>
    <xsd:import namespace="b38f7e8a-b47d-4ece-ab4c-3021a3a5e2e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444f0f-23ee-456f-a466-b998a3b365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8e407dca-7e10-41d8-9780-494ed3966f6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8f7e8a-b47d-4ece-ab4c-3021a3a5e2e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8185af26-51ad-4b49-b07a-625cc2dd8ee9}" ma:internalName="TaxCatchAll" ma:showField="CatchAllData" ma:web="b38f7e8a-b47d-4ece-ab4c-3021a3a5e2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9C4B15-9162-4B35-AE9A-60F50642AE67}">
  <ds:schemaRefs>
    <ds:schemaRef ds:uri="146e0f49-eddf-4084-b9a9-e39ca8bb71eb"/>
    <ds:schemaRef ds:uri="dae7313a-c624-47c2-9646-8dcc6e6d473b"/>
    <ds:schemaRef ds:uri="http://purl.org/dc/dcmitype/"/>
    <ds:schemaRef ds:uri="http://schemas.microsoft.com/office/2006/documentManagement/types"/>
    <ds:schemaRef ds:uri="http://purl.org/dc/terms/"/>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6C85FF0-50AB-40F9-A536-EF3086C2C4A4}"/>
</file>

<file path=customXml/itemProps3.xml><?xml version="1.0" encoding="utf-8"?>
<ds:datastoreItem xmlns:ds="http://schemas.openxmlformats.org/officeDocument/2006/customXml" ds:itemID="{1B5AA2C1-6EB2-4889-BA6B-0548E12334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Charts</vt:lpstr>
      </vt:variant>
      <vt:variant>
        <vt:i4>1</vt:i4>
      </vt:variant>
    </vt:vector>
  </HeadingPairs>
  <TitlesOfParts>
    <vt:vector size="12" baseType="lpstr">
      <vt:lpstr>1_Sears+EPA_Fixed</vt:lpstr>
      <vt:lpstr>2_Sears+EPA_Floating</vt:lpstr>
      <vt:lpstr>3_Salem+EPA_Floating</vt:lpstr>
      <vt:lpstr>4_Sears-EPA_Floating</vt:lpstr>
      <vt:lpstr>5_Salem-EPA_Floating</vt:lpstr>
      <vt:lpstr>6_Sears_Salem_Fx_Flt</vt:lpstr>
      <vt:lpstr>7_+EPA-EPA_Emissions</vt:lpstr>
      <vt:lpstr>8_Emissions_Coefficients</vt:lpstr>
      <vt:lpstr>9_SalemPortElectrification</vt:lpstr>
      <vt:lpstr>10_CanadianMaritimeTraffic</vt:lpstr>
      <vt:lpstr>11_EmissionsSummary</vt:lpstr>
      <vt:lpstr>6_Chart_Floating_OSW_Growth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Hines, Eric M</dc:creator>
  <cp:lastModifiedBy>Tim Profeta</cp:lastModifiedBy>
  <dcterms:created xsi:type="dcterms:W3CDTF">2024-02-23T15:10:24Z</dcterms:created>
  <dcterms:modified xsi:type="dcterms:W3CDTF">2024-03-25T21:09:31Z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0x010100F0E1F99B1E4D5D43A9B094BD141FA5AB</vt:lpwstr>
  </property>
  <property fmtid="{D5CDD505-2E9C-101B-9397-08002B2CF9AE}" pid="3" name="MediaServiceImageTags">
    <vt:lpwstr/>
  </property>
</Properties>
</file>