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massgov.sharepoint.com/sites/ENE-TEAMS-All_DOER/Shared Documents/Federal Funding/CPRG - Climate Pollution Reduction Grants (EPA)/4_Application Documents, Templates, &amp; Instructions/"/>
    </mc:Choice>
  </mc:AlternateContent>
  <xr:revisionPtr revIDLastSave="14" documentId="8_{B827CDF7-0DE0-4E33-A391-A80DB2BB4189}" xr6:coauthVersionLast="47" xr6:coauthVersionMax="47" xr10:uidLastSave="{43F5C6AC-ACE7-4111-A752-43F79305A516}"/>
  <bookViews>
    <workbookView xWindow="-110" yWindow="-110" windowWidth="19420" windowHeight="10300" xr2:uid="{852A2E47-F1FF-4F96-8C4A-B956300965A2}"/>
  </bookViews>
  <sheets>
    <sheet name="Mass. CPRG Budget Tabl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7" i="1" l="1"/>
  <c r="D48" i="1" s="1"/>
  <c r="E46" i="1"/>
  <c r="I45" i="1"/>
  <c r="I44" i="1"/>
  <c r="I39" i="1"/>
  <c r="I36" i="1"/>
  <c r="I35" i="1"/>
  <c r="I34" i="1"/>
  <c r="I33" i="1"/>
  <c r="D33" i="1"/>
  <c r="H32" i="1"/>
  <c r="G32" i="1"/>
  <c r="F32" i="1"/>
  <c r="E32" i="1"/>
  <c r="D32" i="1"/>
  <c r="D38" i="1" s="1"/>
  <c r="I31" i="1"/>
  <c r="D28" i="1"/>
  <c r="D27" i="1" s="1"/>
  <c r="D37" i="1" s="1"/>
  <c r="H27" i="1"/>
  <c r="G27" i="1"/>
  <c r="F27" i="1"/>
  <c r="E27" i="1"/>
  <c r="I26" i="1"/>
  <c r="I25" i="1"/>
  <c r="I24" i="1"/>
  <c r="I23" i="1"/>
  <c r="I22" i="1"/>
  <c r="I21" i="1"/>
  <c r="I20" i="1"/>
  <c r="I19" i="1"/>
  <c r="I18" i="1"/>
  <c r="H17" i="1"/>
  <c r="G17" i="1"/>
  <c r="F17" i="1"/>
  <c r="E17" i="1"/>
  <c r="D17" i="1"/>
  <c r="I17" i="1" s="1"/>
  <c r="I8" i="1" s="1"/>
  <c r="I16" i="1"/>
  <c r="I15" i="1"/>
  <c r="I14" i="1"/>
  <c r="I13" i="1"/>
  <c r="I12" i="1"/>
  <c r="I11" i="1"/>
  <c r="I10" i="1"/>
  <c r="I9" i="1"/>
  <c r="H8" i="1"/>
  <c r="G8" i="1"/>
  <c r="F8" i="1"/>
  <c r="E8" i="1"/>
  <c r="D8" i="1"/>
  <c r="I7" i="1"/>
  <c r="I6" i="1"/>
  <c r="I5" i="1"/>
  <c r="D4" i="1"/>
  <c r="E3" i="1"/>
  <c r="E38" i="1" s="1"/>
  <c r="E40" i="1" s="1"/>
  <c r="D40" i="1" l="1"/>
  <c r="D41" i="1" s="1"/>
  <c r="I47" i="1"/>
  <c r="E4" i="1"/>
  <c r="I32" i="1"/>
  <c r="E47" i="1"/>
  <c r="F47" i="1" s="1"/>
  <c r="G47" i="1" s="1"/>
  <c r="H47" i="1" s="1"/>
  <c r="F3" i="1"/>
  <c r="I28" i="1"/>
  <c r="I27" i="1" s="1"/>
  <c r="E48" i="1"/>
  <c r="F46" i="1"/>
  <c r="G46" i="1" l="1"/>
  <c r="F48" i="1"/>
  <c r="E37" i="1"/>
  <c r="E41" i="1" s="1"/>
  <c r="F4" i="1"/>
  <c r="F37" i="1" s="1"/>
  <c r="G3" i="1"/>
  <c r="F38" i="1"/>
  <c r="F40" i="1" l="1"/>
  <c r="F41" i="1" s="1"/>
  <c r="G38" i="1"/>
  <c r="G40" i="1" s="1"/>
  <c r="G4" i="1"/>
  <c r="H3" i="1"/>
  <c r="I3" i="1"/>
  <c r="G37" i="1"/>
  <c r="G48" i="1"/>
  <c r="H46" i="1"/>
  <c r="H48" i="1" l="1"/>
  <c r="I48" i="1" s="1"/>
  <c r="I46" i="1"/>
  <c r="H38" i="1"/>
  <c r="H40" i="1" s="1"/>
  <c r="H4" i="1"/>
  <c r="I4" i="1" s="1"/>
  <c r="I37" i="1" s="1"/>
  <c r="H37" i="1"/>
  <c r="G41" i="1"/>
  <c r="I38" i="1"/>
  <c r="I40" i="1" s="1"/>
  <c r="I41" i="1" l="1"/>
  <c r="H41" i="1"/>
</calcChain>
</file>

<file path=xl/sharedStrings.xml><?xml version="1.0" encoding="utf-8"?>
<sst xmlns="http://schemas.openxmlformats.org/spreadsheetml/2006/main" count="63" uniqueCount="51">
  <si>
    <t>CPRG Budget Proposal: Commonwealth Fleet Electrification Initiative (CFEI)</t>
  </si>
  <si>
    <t>DIRECT COSTS</t>
  </si>
  <si>
    <t>YEAR 1: 2025</t>
  </si>
  <si>
    <t>YEAR 2: 2026</t>
  </si>
  <si>
    <t>YEAR 3: 2027</t>
  </si>
  <si>
    <t>YEAR 4: 2028</t>
  </si>
  <si>
    <t>YEAR 5: 2029</t>
  </si>
  <si>
    <t>TOTAL</t>
  </si>
  <si>
    <r>
      <rPr>
        <b/>
        <sz val="11"/>
        <color theme="1"/>
        <rFont val="Calibri"/>
        <family val="2"/>
        <scheme val="minor"/>
      </rPr>
      <t>Personnel Costs</t>
    </r>
    <r>
      <rPr>
        <sz val="11"/>
        <color theme="1"/>
        <rFont val="Calibri"/>
        <family val="2"/>
        <scheme val="minor"/>
      </rPr>
      <t xml:space="preserve">
2.0 FTE with 4% annual cost of living adjustment + 5%  annual step adjustment starting Y2
Y1 salary: $92,407 each FTE</t>
    </r>
  </si>
  <si>
    <r>
      <rPr>
        <b/>
        <sz val="11"/>
        <color theme="1"/>
        <rFont val="Calibri"/>
        <family val="2"/>
        <scheme val="minor"/>
      </rPr>
      <t>Fringe Benefits plus Payroll Tax</t>
    </r>
    <r>
      <rPr>
        <sz val="11"/>
        <color theme="1"/>
        <rFont val="Calibri"/>
        <family val="2"/>
        <scheme val="minor"/>
      </rPr>
      <t xml:space="preserve">
45.31% of annual personnel costs</t>
    </r>
  </si>
  <si>
    <r>
      <t xml:space="preserve">Travel Costs
</t>
    </r>
    <r>
      <rPr>
        <sz val="11"/>
        <color theme="1"/>
        <rFont val="Calibri"/>
        <family val="2"/>
        <scheme val="minor"/>
      </rPr>
      <t>Included in contractual</t>
    </r>
  </si>
  <si>
    <r>
      <t xml:space="preserve">Equipment Costs
</t>
    </r>
    <r>
      <rPr>
        <sz val="11"/>
        <color theme="1"/>
        <rFont val="Calibri"/>
        <family val="2"/>
        <scheme val="minor"/>
      </rPr>
      <t>Included in contractual</t>
    </r>
  </si>
  <si>
    <r>
      <t xml:space="preserve">Supply Costs
</t>
    </r>
    <r>
      <rPr>
        <sz val="11"/>
        <color theme="1"/>
        <rFont val="Calibri"/>
        <family val="2"/>
        <scheme val="minor"/>
      </rPr>
      <t>Included in contractual</t>
    </r>
  </si>
  <si>
    <t>Contractual Costs</t>
  </si>
  <si>
    <t>Contractual Cost Subtotal</t>
  </si>
  <si>
    <t>Expanded Fleet Advisory Services</t>
  </si>
  <si>
    <t>Administrative/Personnel Costs</t>
  </si>
  <si>
    <t>Fleet Technical and Procurement Assistance</t>
  </si>
  <si>
    <t>Outreach and Marketing</t>
  </si>
  <si>
    <t>Portal Creation and Maintenance</t>
  </si>
  <si>
    <t xml:space="preserve">Hotline </t>
  </si>
  <si>
    <t>Driver/Mechanic Workshops</t>
  </si>
  <si>
    <t>Dealer Training</t>
  </si>
  <si>
    <t>Revised Vehicle Rebate Program</t>
  </si>
  <si>
    <t>Vehicle Rebate Payments Issued</t>
  </si>
  <si>
    <t>Misc. Costs</t>
  </si>
  <si>
    <t>Charging Infrastructure Deployment Funding</t>
  </si>
  <si>
    <t>EVSE Rebates Issued</t>
  </si>
  <si>
    <t>Outreach &amp; Compensation for Knowledge</t>
  </si>
  <si>
    <t>Program &amp; Materials Costs</t>
  </si>
  <si>
    <t>Other Costs</t>
  </si>
  <si>
    <t>Other Cost Subtotal</t>
  </si>
  <si>
    <t xml:space="preserve">Education and Workforce Development: LIDAC Career Technical Education </t>
  </si>
  <si>
    <t>Program Costs</t>
  </si>
  <si>
    <t>Education and Workforce Development: Community College</t>
  </si>
  <si>
    <t>Travel</t>
  </si>
  <si>
    <t>Indirect Costs
42.2% x Salaries &amp; Fringe</t>
  </si>
  <si>
    <t>Public Health Benefits Analysis</t>
  </si>
  <si>
    <t>TOTAL DIRECT COSTS</t>
  </si>
  <si>
    <t>INDIRECT COSTS</t>
  </si>
  <si>
    <r>
      <rPr>
        <b/>
        <sz val="11"/>
        <color theme="1"/>
        <rFont val="Calibri"/>
        <family val="2"/>
        <scheme val="minor"/>
      </rPr>
      <t>Indirect Staffing Costs</t>
    </r>
    <r>
      <rPr>
        <sz val="11"/>
        <color theme="1"/>
        <rFont val="Calibri"/>
        <family val="2"/>
        <scheme val="minor"/>
      </rPr>
      <t xml:space="preserve"> 
23.84% of MA DOER personnel costs and contractual/other personnel costs</t>
    </r>
  </si>
  <si>
    <r>
      <rPr>
        <b/>
        <sz val="11"/>
        <color theme="1"/>
        <rFont val="Calibri"/>
        <family val="2"/>
        <scheme val="minor"/>
      </rPr>
      <t xml:space="preserve">Contingency Costs </t>
    </r>
    <r>
      <rPr>
        <sz val="11"/>
        <color theme="1"/>
        <rFont val="Calibri"/>
        <family val="2"/>
        <scheme val="minor"/>
      </rPr>
      <t xml:space="preserve">
~1.3% of total CPRG request</t>
    </r>
  </si>
  <si>
    <t>TOTAL INDIRECT COSTS</t>
  </si>
  <si>
    <t>TOTAL PROGRAM COSTS (i.e., CPRG request)</t>
  </si>
  <si>
    <t>State: Existing MOR-EV Funds</t>
  </si>
  <si>
    <t>State: Existing MFA Funds (2025-2026)</t>
  </si>
  <si>
    <t>State: Existing MassEVIP Fleets Funds (vehicles)</t>
  </si>
  <si>
    <t>State: Utility Funds (IOUs)</t>
  </si>
  <si>
    <t xml:space="preserve">Total Estimated Ancillary State Funding </t>
  </si>
  <si>
    <t>The following existing state programs are likely to have some amount of funding to contribute to the CFEI effort; these estimates were created in order to prorate the relative emissions impacts from existing state funds versus potential CPRG funding. These state program funding estimates are based on historic data, which may not be indicative of future spending during the performance period, and/or are not guaranteed to be available throughout the performance period. See Budget Narrative for details (file name: Budget_MA-DOER.pdf).</t>
  </si>
  <si>
    <t>Estimated Existing State Program Funding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</si>
</sst>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quot;$&quot;* #,##0_);_(&quot;$&quot;* \(#,##0\);_(&quot;$&quot;* &quot;-&quot;??_);_(@_)"/>
  </numFmts>
  <fonts count="15"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2"/>
      <color theme="1"/>
      <name val="Calibri"/>
      <family val="2"/>
      <scheme val="minor"/>
    </font>
    <font>
      <sz val="11"/>
      <color rgb="FF000000"/>
      <name val="Calibri"/>
      <family val="2"/>
      <scheme val="minor"/>
    </font>
    <font>
      <b/>
      <sz val="11"/>
      <color rgb="FF000000"/>
      <name val="Calibri"/>
      <family val="2"/>
      <scheme val="minor"/>
    </font>
    <font>
      <b/>
      <sz val="9"/>
      <color theme="1"/>
      <name val="Calibri"/>
      <family val="2"/>
      <scheme val="minor"/>
    </font>
    <font>
      <i/>
      <sz val="8"/>
      <color theme="1" tint="0.34998626667073579"/>
      <name val="Calibri"/>
      <family val="2"/>
      <scheme val="minor"/>
    </font>
    <font>
      <b/>
      <sz val="9"/>
      <color rgb="FFFF0000"/>
      <name val="Calibri"/>
      <family val="2"/>
      <scheme val="minor"/>
    </font>
    <font>
      <b/>
      <sz val="8"/>
      <color rgb="FFFF0000"/>
      <name val="Calibri"/>
      <family val="2"/>
      <scheme val="minor"/>
    </font>
    <font>
      <b/>
      <sz val="8"/>
      <color theme="1"/>
      <name val="Calibri"/>
      <family val="2"/>
      <scheme val="minor"/>
    </font>
    <font>
      <b/>
      <sz val="12"/>
      <color theme="0"/>
      <name val="Calibri"/>
      <family val="2"/>
      <scheme val="minor"/>
    </font>
    <font>
      <b/>
      <sz val="12"/>
      <color theme="1"/>
      <name val="Calibri"/>
      <family val="2"/>
      <scheme val="minor"/>
    </font>
    <font>
      <b/>
      <sz val="14"/>
      <color theme="9" tint="-0.249977111117893"/>
      <name val="Calibri"/>
      <family val="2"/>
      <scheme val="minor"/>
    </font>
  </fonts>
  <fills count="12">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theme="4"/>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5" tint="0.39997558519241921"/>
        <bgColor indexed="64"/>
      </patternFill>
    </fill>
    <fill>
      <patternFill patternType="solid">
        <fgColor theme="7"/>
        <bgColor indexed="64"/>
      </patternFill>
    </fill>
    <fill>
      <patternFill patternType="solid">
        <fgColor theme="7" tint="0.79998168889431442"/>
        <bgColor indexed="64"/>
      </patternFill>
    </fill>
    <fill>
      <patternFill patternType="solid">
        <fgColor theme="9" tint="-0.249977111117893"/>
        <bgColor indexed="64"/>
      </patternFill>
    </fill>
    <fill>
      <patternFill patternType="solid">
        <fgColor theme="5" tint="0.79998168889431442"/>
        <bgColor indexed="64"/>
      </patternFill>
    </fill>
  </fills>
  <borders count="4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diagonal/>
    </border>
    <border>
      <left style="thin">
        <color indexed="64"/>
      </left>
      <right style="thin">
        <color indexed="64"/>
      </right>
      <top style="thin">
        <color indexed="64"/>
      </top>
      <bottom style="thin">
        <color rgb="FF000000"/>
      </bottom>
      <diagonal/>
    </border>
    <border>
      <left style="medium">
        <color indexed="64"/>
      </left>
      <right style="thin">
        <color indexed="64"/>
      </right>
      <top/>
      <bottom style="thin">
        <color rgb="FF000000"/>
      </bottom>
      <diagonal/>
    </border>
    <border>
      <left style="thin">
        <color indexed="64"/>
      </left>
      <right style="thin">
        <color indexed="64"/>
      </right>
      <top/>
      <bottom style="thin">
        <color rgb="FF000000"/>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95">
    <xf numFmtId="0" fontId="0" fillId="0" borderId="0" xfId="0"/>
    <xf numFmtId="0" fontId="4" fillId="3" borderId="0" xfId="0" applyFont="1" applyFill="1"/>
    <xf numFmtId="0" fontId="4" fillId="0" borderId="0" xfId="0" applyFont="1"/>
    <xf numFmtId="0" fontId="6" fillId="5" borderId="5"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0" fillId="3" borderId="0" xfId="0" applyFill="1"/>
    <xf numFmtId="0" fontId="3" fillId="6" borderId="9" xfId="0" applyFont="1" applyFill="1" applyBorder="1" applyAlignment="1">
      <alignment vertical="center" wrapText="1"/>
    </xf>
    <xf numFmtId="0" fontId="7" fillId="5" borderId="10" xfId="0" applyFont="1" applyFill="1" applyBorder="1" applyAlignment="1">
      <alignment horizontal="left" vertical="center" wrapText="1" indent="2"/>
    </xf>
    <xf numFmtId="0" fontId="8" fillId="5" borderId="13" xfId="0" applyFont="1" applyFill="1" applyBorder="1" applyAlignment="1">
      <alignment horizontal="left" vertical="center" wrapText="1" indent="2"/>
    </xf>
    <xf numFmtId="0" fontId="8" fillId="5" borderId="16" xfId="0" applyFont="1" applyFill="1" applyBorder="1" applyAlignment="1">
      <alignment horizontal="left" vertical="center" wrapText="1" indent="2"/>
    </xf>
    <xf numFmtId="0" fontId="3" fillId="5" borderId="19" xfId="0" applyFont="1" applyFill="1" applyBorder="1" applyAlignment="1">
      <alignment horizontal="left" vertical="center" wrapText="1"/>
    </xf>
    <xf numFmtId="0" fontId="7" fillId="5" borderId="20" xfId="0" applyFont="1" applyFill="1" applyBorder="1" applyAlignment="1">
      <alignment horizontal="left" vertical="center" wrapText="1" indent="2"/>
    </xf>
    <xf numFmtId="0" fontId="8" fillId="5" borderId="23" xfId="0" applyFont="1" applyFill="1" applyBorder="1" applyAlignment="1">
      <alignment horizontal="left" vertical="center" wrapText="1" indent="2"/>
    </xf>
    <xf numFmtId="0" fontId="3" fillId="6" borderId="27" xfId="0" applyFont="1" applyFill="1" applyBorder="1" applyAlignment="1">
      <alignment vertical="center" wrapText="1"/>
    </xf>
    <xf numFmtId="0" fontId="3" fillId="3" borderId="0" xfId="0" applyFont="1" applyFill="1"/>
    <xf numFmtId="0" fontId="3" fillId="0" borderId="0" xfId="0" applyFont="1"/>
    <xf numFmtId="0" fontId="7" fillId="3" borderId="0" xfId="0" applyFont="1" applyFill="1"/>
    <xf numFmtId="0" fontId="7" fillId="0" borderId="0" xfId="0" applyFont="1"/>
    <xf numFmtId="0" fontId="8" fillId="5" borderId="30" xfId="0" applyFont="1" applyFill="1" applyBorder="1" applyAlignment="1">
      <alignment horizontal="left" vertical="center" wrapText="1" indent="2"/>
    </xf>
    <xf numFmtId="0" fontId="8" fillId="5" borderId="32" xfId="0" applyFont="1" applyFill="1" applyBorder="1" applyAlignment="1">
      <alignment horizontal="left" vertical="center" wrapText="1" indent="2"/>
    </xf>
    <xf numFmtId="0" fontId="8" fillId="5" borderId="34" xfId="0" applyFont="1" applyFill="1" applyBorder="1" applyAlignment="1">
      <alignment horizontal="left" vertical="center" wrapText="1" indent="2"/>
    </xf>
    <xf numFmtId="0" fontId="9" fillId="5" borderId="35" xfId="0" applyFont="1" applyFill="1" applyBorder="1" applyAlignment="1">
      <alignment horizontal="left" vertical="center" wrapText="1" indent="2"/>
    </xf>
    <xf numFmtId="0" fontId="6" fillId="11" borderId="14" xfId="0" applyFont="1" applyFill="1" applyBorder="1" applyAlignment="1">
      <alignment horizontal="center" vertical="center" wrapText="1"/>
    </xf>
    <xf numFmtId="0" fontId="3" fillId="11" borderId="14" xfId="0" applyFont="1" applyFill="1" applyBorder="1" applyAlignment="1">
      <alignment horizontal="center" vertical="center" wrapText="1"/>
    </xf>
    <xf numFmtId="164" fontId="0" fillId="11" borderId="14" xfId="2" applyNumberFormat="1" applyFont="1" applyFill="1" applyBorder="1"/>
    <xf numFmtId="164" fontId="0" fillId="11" borderId="14" xfId="0" applyNumberFormat="1" applyFill="1" applyBorder="1"/>
    <xf numFmtId="164" fontId="3" fillId="11" borderId="14" xfId="2" applyNumberFormat="1" applyFont="1" applyFill="1" applyBorder="1"/>
    <xf numFmtId="164" fontId="3" fillId="11" borderId="14" xfId="0" applyNumberFormat="1" applyFont="1" applyFill="1" applyBorder="1"/>
    <xf numFmtId="0" fontId="0" fillId="3" borderId="0" xfId="0" applyFill="1" applyAlignment="1">
      <alignment vertical="center" wrapText="1"/>
    </xf>
    <xf numFmtId="0" fontId="0" fillId="3" borderId="0" xfId="0" applyFill="1" applyAlignment="1">
      <alignment vertical="center"/>
    </xf>
    <xf numFmtId="3" fontId="5" fillId="3" borderId="0" xfId="0" applyNumberFormat="1" applyFont="1" applyFill="1"/>
    <xf numFmtId="43" fontId="0" fillId="3" borderId="0" xfId="1" applyFont="1" applyFill="1"/>
    <xf numFmtId="0" fontId="12" fillId="10" borderId="38" xfId="0" applyFont="1" applyFill="1" applyBorder="1" applyAlignment="1">
      <alignment horizontal="center" vertical="center" wrapText="1"/>
    </xf>
    <xf numFmtId="0" fontId="12" fillId="10" borderId="39" xfId="0" applyFont="1" applyFill="1" applyBorder="1" applyAlignment="1">
      <alignment horizontal="center" vertical="center" wrapText="1"/>
    </xf>
    <xf numFmtId="0" fontId="12" fillId="10" borderId="40" xfId="0" applyFont="1" applyFill="1" applyBorder="1" applyAlignment="1">
      <alignment horizontal="center" vertical="center" wrapText="1"/>
    </xf>
    <xf numFmtId="0" fontId="14" fillId="2" borderId="1" xfId="0" applyFont="1" applyFill="1" applyBorder="1" applyAlignment="1">
      <alignment vertical="center" wrapText="1"/>
    </xf>
    <xf numFmtId="0" fontId="14" fillId="2" borderId="2" xfId="0" applyFont="1" applyFill="1" applyBorder="1" applyAlignment="1">
      <alignment vertical="center" wrapText="1"/>
    </xf>
    <xf numFmtId="0" fontId="14" fillId="2" borderId="3" xfId="0" applyFont="1" applyFill="1" applyBorder="1" applyAlignment="1">
      <alignment vertical="center" wrapText="1"/>
    </xf>
    <xf numFmtId="0" fontId="2" fillId="4" borderId="4"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5" fillId="5" borderId="3" xfId="0" applyFont="1" applyFill="1" applyBorder="1" applyAlignment="1">
      <alignment horizontal="left" vertical="center" wrapText="1"/>
    </xf>
    <xf numFmtId="0" fontId="0" fillId="5" borderId="1" xfId="0" applyFill="1" applyBorder="1" applyAlignment="1">
      <alignment horizontal="left" vertical="center" wrapText="1"/>
    </xf>
    <xf numFmtId="0" fontId="0" fillId="5" borderId="3" xfId="0" applyFill="1" applyBorder="1" applyAlignment="1">
      <alignment horizontal="left" vertical="center" wrapText="1"/>
    </xf>
    <xf numFmtId="0" fontId="3" fillId="5" borderId="1"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7" xfId="0" applyFont="1" applyFill="1" applyBorder="1" applyAlignment="1">
      <alignment horizontal="left" vertical="center" wrapText="1"/>
    </xf>
    <xf numFmtId="0" fontId="3" fillId="5" borderId="4" xfId="0" applyFont="1" applyFill="1" applyBorder="1" applyAlignment="1">
      <alignment horizontal="left" vertical="center" wrapText="1"/>
    </xf>
    <xf numFmtId="0" fontId="3" fillId="5" borderId="6" xfId="0" applyFont="1" applyFill="1" applyBorder="1" applyAlignment="1">
      <alignment horizontal="left" vertical="center" wrapText="1"/>
    </xf>
    <xf numFmtId="0" fontId="3" fillId="5" borderId="19" xfId="0" applyFont="1" applyFill="1" applyBorder="1" applyAlignment="1">
      <alignment horizontal="left" vertical="center" wrapText="1"/>
    </xf>
    <xf numFmtId="0" fontId="3" fillId="5" borderId="26" xfId="0" applyFont="1" applyFill="1" applyBorder="1" applyAlignment="1">
      <alignment horizontal="left" vertical="center" wrapText="1"/>
    </xf>
    <xf numFmtId="0" fontId="12" fillId="4" borderId="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6" fillId="8" borderId="4" xfId="0" applyFont="1" applyFill="1" applyBorder="1" applyAlignment="1">
      <alignment horizontal="center" vertical="center" wrapText="1"/>
    </xf>
    <xf numFmtId="0" fontId="6" fillId="8" borderId="6" xfId="0" applyFont="1" applyFill="1" applyBorder="1" applyAlignment="1">
      <alignment horizontal="center" vertical="center" wrapText="1"/>
    </xf>
    <xf numFmtId="0" fontId="0" fillId="9" borderId="1" xfId="0" applyFill="1" applyBorder="1" applyAlignment="1">
      <alignment horizontal="left" vertical="center" wrapText="1"/>
    </xf>
    <xf numFmtId="0" fontId="0" fillId="9" borderId="3" xfId="0" applyFill="1" applyBorder="1" applyAlignment="1">
      <alignment horizontal="left" vertical="center" wrapText="1"/>
    </xf>
    <xf numFmtId="0" fontId="0" fillId="9" borderId="26" xfId="0" applyFill="1" applyBorder="1" applyAlignment="1">
      <alignment horizontal="left" vertical="center" wrapText="1"/>
    </xf>
    <xf numFmtId="0" fontId="0" fillId="9" borderId="7" xfId="0" applyFill="1" applyBorder="1" applyAlignment="1">
      <alignment horizontal="left" vertical="center" wrapText="1"/>
    </xf>
    <xf numFmtId="0" fontId="13" fillId="8" borderId="1" xfId="0" applyFont="1" applyFill="1" applyBorder="1" applyAlignment="1">
      <alignment horizontal="center" vertical="center" wrapText="1"/>
    </xf>
    <xf numFmtId="0" fontId="13" fillId="8" borderId="2" xfId="0" applyFont="1" applyFill="1" applyBorder="1" applyAlignment="1">
      <alignment horizontal="center" vertical="center" wrapText="1"/>
    </xf>
    <xf numFmtId="0" fontId="13" fillId="8" borderId="3" xfId="0" applyFont="1" applyFill="1" applyBorder="1" applyAlignment="1">
      <alignment horizontal="center" vertical="center" wrapText="1"/>
    </xf>
    <xf numFmtId="0" fontId="3" fillId="11" borderId="14" xfId="0" applyFont="1" applyFill="1" applyBorder="1" applyAlignment="1">
      <alignment horizontal="center" vertical="center" wrapText="1"/>
    </xf>
    <xf numFmtId="0" fontId="0" fillId="11" borderId="14" xfId="0" applyFill="1" applyBorder="1" applyAlignment="1">
      <alignment horizontal="left"/>
    </xf>
    <xf numFmtId="0" fontId="3" fillId="11" borderId="41" xfId="0" applyFont="1" applyFill="1" applyBorder="1" applyAlignment="1">
      <alignment horizontal="center"/>
    </xf>
    <xf numFmtId="0" fontId="3" fillId="11" borderId="42" xfId="0" applyFont="1" applyFill="1" applyBorder="1" applyAlignment="1">
      <alignment horizontal="center"/>
    </xf>
    <xf numFmtId="44" fontId="0" fillId="5" borderId="5" xfId="2" applyNumberFormat="1" applyFont="1" applyFill="1" applyBorder="1" applyAlignment="1">
      <alignment horizontal="center" vertical="center" wrapText="1"/>
    </xf>
    <xf numFmtId="44" fontId="0" fillId="5" borderId="5" xfId="2" applyNumberFormat="1" applyFont="1" applyFill="1" applyBorder="1" applyAlignment="1">
      <alignment horizontal="left" vertical="center" wrapText="1" indent="3"/>
    </xf>
    <xf numFmtId="44" fontId="0" fillId="5" borderId="8" xfId="2" applyNumberFormat="1" applyFont="1" applyFill="1" applyBorder="1" applyAlignment="1">
      <alignment horizontal="center" vertical="center" wrapText="1"/>
    </xf>
    <xf numFmtId="44" fontId="3" fillId="6" borderId="3" xfId="2" applyNumberFormat="1" applyFont="1" applyFill="1" applyBorder="1" applyAlignment="1">
      <alignment horizontal="center" vertical="center" wrapText="1"/>
    </xf>
    <xf numFmtId="44" fontId="7" fillId="5" borderId="11" xfId="2" applyNumberFormat="1" applyFont="1" applyFill="1" applyBorder="1" applyAlignment="1">
      <alignment horizontal="center" vertical="center" wrapText="1"/>
    </xf>
    <xf numFmtId="44" fontId="7" fillId="5" borderId="12" xfId="2" applyNumberFormat="1" applyFont="1" applyFill="1" applyBorder="1" applyAlignment="1">
      <alignment horizontal="center" vertical="center" wrapText="1"/>
    </xf>
    <xf numFmtId="44" fontId="8" fillId="5" borderId="14" xfId="2" applyNumberFormat="1" applyFont="1" applyFill="1" applyBorder="1" applyAlignment="1">
      <alignment horizontal="center" vertical="center" wrapText="1"/>
    </xf>
    <xf numFmtId="44" fontId="8" fillId="5" borderId="15" xfId="2" applyNumberFormat="1" applyFont="1" applyFill="1" applyBorder="1" applyAlignment="1">
      <alignment horizontal="center" vertical="center" wrapText="1"/>
    </xf>
    <xf numFmtId="44" fontId="8" fillId="5" borderId="17" xfId="2" applyNumberFormat="1" applyFont="1" applyFill="1" applyBorder="1" applyAlignment="1">
      <alignment horizontal="center" vertical="center" wrapText="1"/>
    </xf>
    <xf numFmtId="44" fontId="8" fillId="5" borderId="18" xfId="2" applyNumberFormat="1" applyFont="1" applyFill="1" applyBorder="1" applyAlignment="1">
      <alignment horizontal="center" vertical="center" wrapText="1"/>
    </xf>
    <xf numFmtId="44" fontId="7" fillId="5" borderId="21" xfId="2" applyNumberFormat="1" applyFont="1" applyFill="1" applyBorder="1" applyAlignment="1">
      <alignment horizontal="center" vertical="center" wrapText="1"/>
    </xf>
    <xf numFmtId="44" fontId="7" fillId="5" borderId="22" xfId="2" applyNumberFormat="1" applyFont="1" applyFill="1" applyBorder="1" applyAlignment="1">
      <alignment horizontal="center" vertical="center" wrapText="1"/>
    </xf>
    <xf numFmtId="44" fontId="8" fillId="5" borderId="24" xfId="2" applyNumberFormat="1" applyFont="1" applyFill="1" applyBorder="1" applyAlignment="1">
      <alignment horizontal="center" vertical="center" wrapText="1"/>
    </xf>
    <xf numFmtId="44" fontId="8" fillId="5" borderId="25" xfId="2" applyNumberFormat="1" applyFont="1" applyFill="1" applyBorder="1" applyAlignment="1">
      <alignment horizontal="center" vertical="center" wrapText="1"/>
    </xf>
    <xf numFmtId="44" fontId="3" fillId="6" borderId="28" xfId="2" applyNumberFormat="1" applyFont="1" applyFill="1" applyBorder="1" applyAlignment="1">
      <alignment horizontal="center" vertical="center" wrapText="1"/>
    </xf>
    <xf numFmtId="44" fontId="3" fillId="6" borderId="29" xfId="2" applyNumberFormat="1" applyFont="1" applyFill="1" applyBorder="1" applyAlignment="1">
      <alignment horizontal="center" vertical="center" wrapText="1"/>
    </xf>
    <xf numFmtId="44" fontId="8" fillId="5" borderId="31" xfId="2" applyNumberFormat="1" applyFont="1" applyFill="1" applyBorder="1" applyAlignment="1">
      <alignment horizontal="center" vertical="center" wrapText="1"/>
    </xf>
    <xf numFmtId="44" fontId="8" fillId="5" borderId="33" xfId="2" applyNumberFormat="1" applyFont="1" applyFill="1" applyBorder="1" applyAlignment="1">
      <alignment horizontal="center" vertical="center" wrapText="1"/>
    </xf>
    <xf numFmtId="44" fontId="8" fillId="5" borderId="28" xfId="2" applyNumberFormat="1" applyFont="1" applyFill="1" applyBorder="1" applyAlignment="1">
      <alignment horizontal="center" vertical="center" wrapText="1"/>
    </xf>
    <xf numFmtId="44" fontId="10" fillId="5" borderId="36" xfId="2" applyNumberFormat="1" applyFont="1" applyFill="1" applyBorder="1" applyAlignment="1">
      <alignment horizontal="center" vertical="center" wrapText="1"/>
    </xf>
    <xf numFmtId="44" fontId="10" fillId="7" borderId="36" xfId="2" applyNumberFormat="1" applyFont="1" applyFill="1" applyBorder="1" applyAlignment="1">
      <alignment horizontal="center" vertical="center" wrapText="1"/>
    </xf>
    <xf numFmtId="44" fontId="11" fillId="7" borderId="37" xfId="2" applyNumberFormat="1" applyFont="1" applyFill="1" applyBorder="1" applyAlignment="1">
      <alignment horizontal="center" vertical="center" wrapText="1"/>
    </xf>
    <xf numFmtId="44" fontId="12" fillId="4" borderId="5" xfId="0" applyNumberFormat="1" applyFont="1" applyFill="1" applyBorder="1" applyAlignment="1">
      <alignment horizontal="left" vertical="center" wrapText="1"/>
    </xf>
    <xf numFmtId="44" fontId="0" fillId="9" borderId="5" xfId="2" applyNumberFormat="1" applyFont="1" applyFill="1" applyBorder="1" applyAlignment="1">
      <alignment horizontal="center" vertical="center" wrapText="1"/>
    </xf>
    <xf numFmtId="44" fontId="13" fillId="8" borderId="8" xfId="2" applyNumberFormat="1" applyFont="1" applyFill="1" applyBorder="1" applyAlignment="1">
      <alignment horizontal="center" vertical="center" wrapText="1"/>
    </xf>
    <xf numFmtId="44" fontId="12" fillId="10" borderId="14" xfId="0" applyNumberFormat="1" applyFont="1" applyFill="1" applyBorder="1" applyAlignment="1">
      <alignment horizontal="center" vertical="center" wrapText="1"/>
    </xf>
    <xf numFmtId="0" fontId="0" fillId="3" borderId="39" xfId="0" applyFill="1" applyBorder="1" applyAlignment="1">
      <alignment horizontal="center" vertical="center" wrapText="1"/>
    </xf>
    <xf numFmtId="0" fontId="0" fillId="3" borderId="40" xfId="0" applyFill="1" applyBorder="1" applyAlignment="1">
      <alignment horizontal="center" vertical="center" wrapText="1"/>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B09F8-D141-4AB8-82E0-748517946DBD}">
  <dimension ref="A1:AF58"/>
  <sheetViews>
    <sheetView tabSelected="1" zoomScale="80" zoomScaleNormal="80" workbookViewId="0">
      <pane xSplit="3" ySplit="2" topLeftCell="D3" activePane="bottomRight" state="frozen"/>
      <selection pane="topRight" activeCell="D1" sqref="D1"/>
      <selection pane="bottomLeft" activeCell="A3" sqref="A3"/>
      <selection pane="bottomRight" activeCell="A43" sqref="A43:C43"/>
    </sheetView>
  </sheetViews>
  <sheetFormatPr defaultRowHeight="14.5" x14ac:dyDescent="0.35"/>
  <cols>
    <col min="1" max="1" width="19.453125" customWidth="1"/>
    <col min="2" max="2" width="24.81640625" customWidth="1"/>
    <col min="3" max="3" width="23.54296875" customWidth="1"/>
    <col min="4" max="8" width="17.54296875" bestFit="1" customWidth="1"/>
    <col min="9" max="9" width="20.453125" customWidth="1"/>
    <col min="10" max="32" width="8.7265625" style="5"/>
  </cols>
  <sheetData>
    <row r="1" spans="1:32" s="2" customFormat="1" ht="30" customHeight="1" thickBot="1" x14ac:dyDescent="0.4">
      <c r="A1" s="35" t="s">
        <v>0</v>
      </c>
      <c r="B1" s="36"/>
      <c r="C1" s="36"/>
      <c r="D1" s="36"/>
      <c r="E1" s="36"/>
      <c r="F1" s="36"/>
      <c r="G1" s="36"/>
      <c r="H1" s="36"/>
      <c r="I1" s="37"/>
      <c r="J1" s="1"/>
      <c r="K1" s="1"/>
      <c r="L1" s="1"/>
      <c r="M1" s="1"/>
      <c r="N1" s="1"/>
      <c r="O1" s="1"/>
      <c r="P1" s="1"/>
      <c r="Q1" s="1"/>
      <c r="R1" s="1"/>
      <c r="S1" s="1"/>
      <c r="T1" s="1"/>
      <c r="U1" s="1"/>
      <c r="V1" s="1"/>
      <c r="W1" s="1"/>
      <c r="X1" s="1"/>
      <c r="Y1" s="1"/>
      <c r="Z1" s="1"/>
      <c r="AA1" s="1"/>
      <c r="AB1" s="1"/>
      <c r="AC1" s="1"/>
      <c r="AD1" s="1"/>
      <c r="AE1" s="1"/>
      <c r="AF1" s="1"/>
    </row>
    <row r="2" spans="1:32" ht="15" thickBot="1" x14ac:dyDescent="0.4">
      <c r="A2" s="38" t="s">
        <v>1</v>
      </c>
      <c r="B2" s="40"/>
      <c r="C2" s="41"/>
      <c r="D2" s="3" t="s">
        <v>2</v>
      </c>
      <c r="E2" s="4" t="s">
        <v>3</v>
      </c>
      <c r="F2" s="4" t="s">
        <v>4</v>
      </c>
      <c r="G2" s="4" t="s">
        <v>5</v>
      </c>
      <c r="H2" s="4" t="s">
        <v>6</v>
      </c>
      <c r="I2" s="4" t="s">
        <v>7</v>
      </c>
    </row>
    <row r="3" spans="1:32" ht="68.150000000000006" customHeight="1" thickBot="1" x14ac:dyDescent="0.4">
      <c r="A3" s="39"/>
      <c r="B3" s="42" t="s">
        <v>8</v>
      </c>
      <c r="C3" s="43"/>
      <c r="D3" s="67">
        <v>184814</v>
      </c>
      <c r="E3" s="67">
        <f>D3*1.09</f>
        <v>201447.26</v>
      </c>
      <c r="F3" s="67">
        <f>E3*1.09</f>
        <v>219577.51340000003</v>
      </c>
      <c r="G3" s="67">
        <f>F3*1.09</f>
        <v>239339.48960600005</v>
      </c>
      <c r="H3" s="67">
        <f>G3*1.09</f>
        <v>260880.04367054006</v>
      </c>
      <c r="I3" s="67">
        <f>SUM(D3:H3)</f>
        <v>1106058.3066765401</v>
      </c>
    </row>
    <row r="4" spans="1:32" ht="34" customHeight="1" thickBot="1" x14ac:dyDescent="0.4">
      <c r="A4" s="39"/>
      <c r="B4" s="42" t="s">
        <v>9</v>
      </c>
      <c r="C4" s="43"/>
      <c r="D4" s="68">
        <f>0.4531*D3</f>
        <v>83739.223400000003</v>
      </c>
      <c r="E4" s="68">
        <f t="shared" ref="E4:H4" si="0">0.4531*E3</f>
        <v>91275.753506000008</v>
      </c>
      <c r="F4" s="68">
        <f t="shared" si="0"/>
        <v>99490.571321540017</v>
      </c>
      <c r="G4" s="68">
        <f t="shared" si="0"/>
        <v>108444.72274047862</v>
      </c>
      <c r="H4" s="68">
        <f t="shared" si="0"/>
        <v>118204.7477871217</v>
      </c>
      <c r="I4" s="67">
        <f t="shared" ref="I4:I7" si="1">SUM(D4:H4)</f>
        <v>501155.01875514031</v>
      </c>
    </row>
    <row r="5" spans="1:32" ht="30.65" customHeight="1" thickBot="1" x14ac:dyDescent="0.4">
      <c r="A5" s="39"/>
      <c r="B5" s="44" t="s">
        <v>10</v>
      </c>
      <c r="C5" s="45"/>
      <c r="D5" s="67">
        <v>0</v>
      </c>
      <c r="E5" s="67">
        <v>0</v>
      </c>
      <c r="F5" s="67">
        <v>0</v>
      </c>
      <c r="G5" s="67">
        <v>0</v>
      </c>
      <c r="H5" s="67">
        <v>0</v>
      </c>
      <c r="I5" s="67">
        <f t="shared" si="1"/>
        <v>0</v>
      </c>
    </row>
    <row r="6" spans="1:32" ht="34.5" customHeight="1" thickBot="1" x14ac:dyDescent="0.4">
      <c r="A6" s="39"/>
      <c r="B6" s="44" t="s">
        <v>11</v>
      </c>
      <c r="C6" s="45"/>
      <c r="D6" s="67">
        <v>0</v>
      </c>
      <c r="E6" s="67">
        <v>0</v>
      </c>
      <c r="F6" s="67">
        <v>0</v>
      </c>
      <c r="G6" s="67">
        <v>0</v>
      </c>
      <c r="H6" s="67">
        <v>0</v>
      </c>
      <c r="I6" s="67">
        <f t="shared" ref="I6" si="2">SUM(D6:H6)</f>
        <v>0</v>
      </c>
    </row>
    <row r="7" spans="1:32" ht="33.65" customHeight="1" thickBot="1" x14ac:dyDescent="0.4">
      <c r="A7" s="39"/>
      <c r="B7" s="44" t="s">
        <v>12</v>
      </c>
      <c r="C7" s="46"/>
      <c r="D7" s="69">
        <v>0</v>
      </c>
      <c r="E7" s="69">
        <v>0</v>
      </c>
      <c r="F7" s="69">
        <v>0</v>
      </c>
      <c r="G7" s="69">
        <v>0</v>
      </c>
      <c r="H7" s="69">
        <v>0</v>
      </c>
      <c r="I7" s="69">
        <f t="shared" si="1"/>
        <v>0</v>
      </c>
    </row>
    <row r="8" spans="1:32" ht="26.15" customHeight="1" thickBot="1" x14ac:dyDescent="0.4">
      <c r="A8" s="39"/>
      <c r="B8" s="47" t="s">
        <v>13</v>
      </c>
      <c r="C8" s="6" t="s">
        <v>14</v>
      </c>
      <c r="D8" s="70">
        <f t="shared" ref="D8:I8" si="3">SUM(D9,D17,D21,D24)</f>
        <v>8462310.6584644392</v>
      </c>
      <c r="E8" s="70">
        <f t="shared" si="3"/>
        <v>10838945.865244439</v>
      </c>
      <c r="F8" s="70">
        <f t="shared" si="3"/>
        <v>18393235.91822784</v>
      </c>
      <c r="G8" s="70">
        <f t="shared" si="3"/>
        <v>22236563.922800742</v>
      </c>
      <c r="H8" s="70">
        <f t="shared" si="3"/>
        <v>24956751.017510831</v>
      </c>
      <c r="I8" s="70">
        <f t="shared" si="3"/>
        <v>84887807.382248282</v>
      </c>
    </row>
    <row r="9" spans="1:32" ht="25" customHeight="1" x14ac:dyDescent="0.35">
      <c r="A9" s="39"/>
      <c r="B9" s="48"/>
      <c r="C9" s="7" t="s">
        <v>15</v>
      </c>
      <c r="D9" s="71">
        <v>640000</v>
      </c>
      <c r="E9" s="71">
        <v>320000</v>
      </c>
      <c r="F9" s="71">
        <v>2921000</v>
      </c>
      <c r="G9" s="71">
        <v>1811000</v>
      </c>
      <c r="H9" s="71">
        <v>1711000</v>
      </c>
      <c r="I9" s="72">
        <f t="shared" ref="I9:I16" si="4">SUM(D9:H9)</f>
        <v>7403000</v>
      </c>
    </row>
    <row r="10" spans="1:32" ht="25" customHeight="1" x14ac:dyDescent="0.35">
      <c r="A10" s="39"/>
      <c r="B10" s="48"/>
      <c r="C10" s="8" t="s">
        <v>16</v>
      </c>
      <c r="D10" s="73">
        <v>0</v>
      </c>
      <c r="E10" s="73">
        <v>0</v>
      </c>
      <c r="F10" s="73">
        <v>221000</v>
      </c>
      <c r="G10" s="73">
        <v>221000</v>
      </c>
      <c r="H10" s="73">
        <v>221000</v>
      </c>
      <c r="I10" s="74">
        <f t="shared" si="4"/>
        <v>663000</v>
      </c>
    </row>
    <row r="11" spans="1:32" ht="25" customHeight="1" x14ac:dyDescent="0.35">
      <c r="A11" s="39"/>
      <c r="B11" s="48"/>
      <c r="C11" s="8" t="s">
        <v>17</v>
      </c>
      <c r="D11" s="73">
        <v>0</v>
      </c>
      <c r="E11" s="73">
        <v>0</v>
      </c>
      <c r="F11" s="73">
        <v>2000000</v>
      </c>
      <c r="G11" s="73">
        <v>1000000</v>
      </c>
      <c r="H11" s="73">
        <v>1000000</v>
      </c>
      <c r="I11" s="74">
        <f t="shared" si="4"/>
        <v>4000000</v>
      </c>
    </row>
    <row r="12" spans="1:32" ht="25" customHeight="1" x14ac:dyDescent="0.35">
      <c r="A12" s="39"/>
      <c r="B12" s="48"/>
      <c r="C12" s="8" t="s">
        <v>18</v>
      </c>
      <c r="D12" s="73">
        <v>0</v>
      </c>
      <c r="E12" s="73">
        <v>0</v>
      </c>
      <c r="F12" s="73">
        <v>400000</v>
      </c>
      <c r="G12" s="73">
        <v>350000</v>
      </c>
      <c r="H12" s="73">
        <v>300000</v>
      </c>
      <c r="I12" s="74">
        <f t="shared" si="4"/>
        <v>1050000</v>
      </c>
    </row>
    <row r="13" spans="1:32" ht="25" customHeight="1" x14ac:dyDescent="0.35">
      <c r="A13" s="39"/>
      <c r="B13" s="48"/>
      <c r="C13" s="8" t="s">
        <v>19</v>
      </c>
      <c r="D13" s="73">
        <v>500000</v>
      </c>
      <c r="E13" s="73">
        <v>200000</v>
      </c>
      <c r="F13" s="73">
        <v>150000</v>
      </c>
      <c r="G13" s="73">
        <v>100000</v>
      </c>
      <c r="H13" s="73">
        <v>50000</v>
      </c>
      <c r="I13" s="74">
        <f t="shared" si="4"/>
        <v>1000000</v>
      </c>
    </row>
    <row r="14" spans="1:32" ht="25" customHeight="1" x14ac:dyDescent="0.35">
      <c r="A14" s="39"/>
      <c r="B14" s="48"/>
      <c r="C14" s="8" t="s">
        <v>20</v>
      </c>
      <c r="D14" s="73">
        <v>100000</v>
      </c>
      <c r="E14" s="73">
        <v>100000</v>
      </c>
      <c r="F14" s="73">
        <v>100000</v>
      </c>
      <c r="G14" s="73">
        <v>100000</v>
      </c>
      <c r="H14" s="73">
        <v>100000</v>
      </c>
      <c r="I14" s="74">
        <f t="shared" si="4"/>
        <v>500000</v>
      </c>
    </row>
    <row r="15" spans="1:32" ht="25" customHeight="1" x14ac:dyDescent="0.35">
      <c r="A15" s="39"/>
      <c r="B15" s="48"/>
      <c r="C15" s="8" t="s">
        <v>21</v>
      </c>
      <c r="D15" s="73">
        <v>0</v>
      </c>
      <c r="E15" s="73">
        <v>0</v>
      </c>
      <c r="F15" s="73">
        <v>30000</v>
      </c>
      <c r="G15" s="73">
        <v>30000</v>
      </c>
      <c r="H15" s="73">
        <v>30000</v>
      </c>
      <c r="I15" s="74">
        <f t="shared" si="4"/>
        <v>90000</v>
      </c>
    </row>
    <row r="16" spans="1:32" ht="25" customHeight="1" thickBot="1" x14ac:dyDescent="0.4">
      <c r="A16" s="39"/>
      <c r="B16" s="48"/>
      <c r="C16" s="9" t="s">
        <v>22</v>
      </c>
      <c r="D16" s="75">
        <v>40000</v>
      </c>
      <c r="E16" s="75">
        <v>20000</v>
      </c>
      <c r="F16" s="75">
        <v>20000</v>
      </c>
      <c r="G16" s="75">
        <v>10000</v>
      </c>
      <c r="H16" s="75">
        <v>10000</v>
      </c>
      <c r="I16" s="76">
        <f t="shared" si="4"/>
        <v>100000</v>
      </c>
    </row>
    <row r="17" spans="1:32" ht="24" customHeight="1" x14ac:dyDescent="0.35">
      <c r="A17" s="39"/>
      <c r="B17" s="49"/>
      <c r="C17" s="11" t="s">
        <v>23</v>
      </c>
      <c r="D17" s="77">
        <f>SUM(D18:D20)</f>
        <v>6416619.5</v>
      </c>
      <c r="E17" s="77">
        <f>SUM(E18:E20)</f>
        <v>9139976.5</v>
      </c>
      <c r="F17" s="77">
        <f>SUM(F18:F20)</f>
        <v>14092001.5</v>
      </c>
      <c r="G17" s="77">
        <f>SUM(G18:G20)</f>
        <v>19044026.5</v>
      </c>
      <c r="H17" s="77">
        <f>SUM(H18:H20)</f>
        <v>21862871.5</v>
      </c>
      <c r="I17" s="78">
        <f>SUM(D17:H17)</f>
        <v>70555495.5</v>
      </c>
    </row>
    <row r="18" spans="1:32" ht="24" customHeight="1" x14ac:dyDescent="0.35">
      <c r="A18" s="39"/>
      <c r="B18" s="49"/>
      <c r="C18" s="8" t="s">
        <v>24</v>
      </c>
      <c r="D18" s="73">
        <v>6085205</v>
      </c>
      <c r="E18" s="73">
        <v>8904050</v>
      </c>
      <c r="F18" s="73">
        <v>13856075</v>
      </c>
      <c r="G18" s="73">
        <v>18808100</v>
      </c>
      <c r="H18" s="73">
        <v>21626945</v>
      </c>
      <c r="I18" s="74">
        <f>SUM(D18:H18)</f>
        <v>69280375</v>
      </c>
    </row>
    <row r="19" spans="1:32" ht="24" customHeight="1" x14ac:dyDescent="0.35">
      <c r="A19" s="39"/>
      <c r="B19" s="49"/>
      <c r="C19" s="8" t="s">
        <v>16</v>
      </c>
      <c r="D19" s="73">
        <v>331414.5</v>
      </c>
      <c r="E19" s="73">
        <v>226126.5</v>
      </c>
      <c r="F19" s="73">
        <v>226126.5</v>
      </c>
      <c r="G19" s="73">
        <v>226126.5</v>
      </c>
      <c r="H19" s="73">
        <v>226126.5</v>
      </c>
      <c r="I19" s="74">
        <f>SUM(D19:H19)</f>
        <v>1235920.5</v>
      </c>
    </row>
    <row r="20" spans="1:32" ht="30.65" customHeight="1" thickBot="1" x14ac:dyDescent="0.4">
      <c r="A20" s="39"/>
      <c r="B20" s="49"/>
      <c r="C20" s="12" t="s">
        <v>25</v>
      </c>
      <c r="D20" s="79">
        <v>0</v>
      </c>
      <c r="E20" s="79">
        <v>9800</v>
      </c>
      <c r="F20" s="79">
        <v>9800</v>
      </c>
      <c r="G20" s="79">
        <v>9800</v>
      </c>
      <c r="H20" s="79">
        <v>9800</v>
      </c>
      <c r="I20" s="80">
        <f>SUM(D20:H20)</f>
        <v>39200</v>
      </c>
    </row>
    <row r="21" spans="1:32" ht="27.65" customHeight="1" x14ac:dyDescent="0.35">
      <c r="A21" s="39"/>
      <c r="B21" s="48"/>
      <c r="C21" s="7" t="s">
        <v>26</v>
      </c>
      <c r="D21" s="71">
        <v>1096705.1584644387</v>
      </c>
      <c r="E21" s="71">
        <v>1097933.3652444386</v>
      </c>
      <c r="F21" s="71">
        <v>1099198.4182278388</v>
      </c>
      <c r="G21" s="71">
        <v>1100501.4228007407</v>
      </c>
      <c r="H21" s="71">
        <v>1101843.5175108297</v>
      </c>
      <c r="I21" s="72">
        <f t="shared" ref="I21:I24" si="5">SUM(D21:H21)</f>
        <v>5496181.8822482862</v>
      </c>
    </row>
    <row r="22" spans="1:32" ht="27.65" customHeight="1" x14ac:dyDescent="0.35">
      <c r="A22" s="39"/>
      <c r="B22" s="48"/>
      <c r="C22" s="8" t="s">
        <v>27</v>
      </c>
      <c r="D22" s="73">
        <v>1055765</v>
      </c>
      <c r="E22" s="73">
        <v>1055765</v>
      </c>
      <c r="F22" s="73">
        <v>1055765</v>
      </c>
      <c r="G22" s="73">
        <v>1055765</v>
      </c>
      <c r="H22" s="73">
        <v>1055765</v>
      </c>
      <c r="I22" s="74">
        <f>SUM(D22:H22)</f>
        <v>5278825</v>
      </c>
    </row>
    <row r="23" spans="1:32" ht="27.65" customHeight="1" thickBot="1" x14ac:dyDescent="0.4">
      <c r="A23" s="39"/>
      <c r="B23" s="48"/>
      <c r="C23" s="9" t="s">
        <v>16</v>
      </c>
      <c r="D23" s="75">
        <v>40940</v>
      </c>
      <c r="E23" s="75">
        <v>42168</v>
      </c>
      <c r="F23" s="75">
        <v>43433</v>
      </c>
      <c r="G23" s="75">
        <v>44736</v>
      </c>
      <c r="H23" s="75">
        <v>46079</v>
      </c>
      <c r="I23" s="76">
        <f>SUM(D23:H23)</f>
        <v>217356</v>
      </c>
    </row>
    <row r="24" spans="1:32" ht="31.5" customHeight="1" x14ac:dyDescent="0.35">
      <c r="A24" s="39"/>
      <c r="B24" s="48"/>
      <c r="C24" s="11" t="s">
        <v>28</v>
      </c>
      <c r="D24" s="77">
        <v>308986</v>
      </c>
      <c r="E24" s="77">
        <v>281036</v>
      </c>
      <c r="F24" s="77">
        <v>281036</v>
      </c>
      <c r="G24" s="77">
        <v>281036</v>
      </c>
      <c r="H24" s="77">
        <v>281036</v>
      </c>
      <c r="I24" s="78">
        <f t="shared" si="5"/>
        <v>1433130</v>
      </c>
    </row>
    <row r="25" spans="1:32" ht="31.5" customHeight="1" x14ac:dyDescent="0.35">
      <c r="A25" s="39"/>
      <c r="B25" s="48"/>
      <c r="C25" s="8" t="s">
        <v>16</v>
      </c>
      <c r="D25" s="73">
        <v>121986.8</v>
      </c>
      <c r="E25" s="73">
        <v>94036.800000000003</v>
      </c>
      <c r="F25" s="73">
        <v>94036.800000000003</v>
      </c>
      <c r="G25" s="73">
        <v>94036.800000000003</v>
      </c>
      <c r="H25" s="73">
        <v>94036.800000000003</v>
      </c>
      <c r="I25" s="74">
        <f>SUM(D25:H25)</f>
        <v>498134</v>
      </c>
    </row>
    <row r="26" spans="1:32" ht="31.5" customHeight="1" thickBot="1" x14ac:dyDescent="0.4">
      <c r="A26" s="39"/>
      <c r="B26" s="10"/>
      <c r="C26" s="12" t="s">
        <v>29</v>
      </c>
      <c r="D26" s="79">
        <v>187000</v>
      </c>
      <c r="E26" s="79">
        <v>187000</v>
      </c>
      <c r="F26" s="79">
        <v>187000</v>
      </c>
      <c r="G26" s="79">
        <v>187000</v>
      </c>
      <c r="H26" s="79">
        <v>187000</v>
      </c>
      <c r="I26" s="80">
        <f>SUM(D26:H26)</f>
        <v>935000</v>
      </c>
    </row>
    <row r="27" spans="1:32" ht="30" customHeight="1" thickBot="1" x14ac:dyDescent="0.4">
      <c r="A27" s="39"/>
      <c r="B27" s="50" t="s">
        <v>30</v>
      </c>
      <c r="C27" s="13" t="s">
        <v>31</v>
      </c>
      <c r="D27" s="81">
        <f t="shared" ref="D27:I27" si="6">SUM(D28,D31,D36)</f>
        <v>4445119</v>
      </c>
      <c r="E27" s="81">
        <f t="shared" si="6"/>
        <v>452415</v>
      </c>
      <c r="F27" s="81">
        <f t="shared" si="6"/>
        <v>455572</v>
      </c>
      <c r="G27" s="81">
        <f t="shared" si="6"/>
        <v>458794</v>
      </c>
      <c r="H27" s="81">
        <f t="shared" si="6"/>
        <v>462079</v>
      </c>
      <c r="I27" s="82">
        <f t="shared" si="6"/>
        <v>6273979</v>
      </c>
    </row>
    <row r="28" spans="1:32" s="15" customFormat="1" ht="42" customHeight="1" x14ac:dyDescent="0.35">
      <c r="A28" s="39"/>
      <c r="B28" s="49"/>
      <c r="C28" s="7" t="s">
        <v>32</v>
      </c>
      <c r="D28" s="71">
        <f>SUM(D29:D30)</f>
        <v>2500000</v>
      </c>
      <c r="E28" s="71">
        <v>0</v>
      </c>
      <c r="F28" s="71">
        <v>0</v>
      </c>
      <c r="G28" s="71">
        <v>0</v>
      </c>
      <c r="H28" s="71">
        <v>0</v>
      </c>
      <c r="I28" s="72">
        <f>SUM(D28:H28)</f>
        <v>2500000</v>
      </c>
      <c r="J28" s="14"/>
      <c r="K28" s="14"/>
      <c r="L28" s="14"/>
      <c r="M28" s="14"/>
      <c r="N28" s="14"/>
      <c r="O28" s="14"/>
      <c r="P28" s="14"/>
      <c r="Q28" s="14"/>
      <c r="R28" s="14"/>
      <c r="S28" s="14"/>
      <c r="T28" s="14"/>
      <c r="U28" s="14"/>
      <c r="V28" s="14"/>
      <c r="W28" s="14"/>
      <c r="X28" s="14"/>
      <c r="Y28" s="14"/>
      <c r="Z28" s="14"/>
      <c r="AA28" s="14"/>
      <c r="AB28" s="14"/>
      <c r="AC28" s="14"/>
      <c r="AD28" s="14"/>
      <c r="AE28" s="14"/>
      <c r="AF28" s="14"/>
    </row>
    <row r="29" spans="1:32" ht="27.65" customHeight="1" x14ac:dyDescent="0.35">
      <c r="A29" s="39"/>
      <c r="B29" s="49"/>
      <c r="C29" s="8" t="s">
        <v>16</v>
      </c>
      <c r="D29" s="73">
        <v>250000</v>
      </c>
      <c r="E29" s="73"/>
      <c r="F29" s="73"/>
      <c r="G29" s="73"/>
      <c r="H29" s="73"/>
      <c r="I29" s="74"/>
    </row>
    <row r="30" spans="1:32" ht="27.65" customHeight="1" thickBot="1" x14ac:dyDescent="0.4">
      <c r="A30" s="39"/>
      <c r="B30" s="49"/>
      <c r="C30" s="12" t="s">
        <v>33</v>
      </c>
      <c r="D30" s="79">
        <v>2250000</v>
      </c>
      <c r="E30" s="79"/>
      <c r="F30" s="79"/>
      <c r="G30" s="79"/>
      <c r="H30" s="79"/>
      <c r="I30" s="80"/>
    </row>
    <row r="31" spans="1:32" s="17" customFormat="1" ht="44.5" customHeight="1" x14ac:dyDescent="0.3">
      <c r="A31" s="39"/>
      <c r="B31" s="49"/>
      <c r="C31" s="11" t="s">
        <v>34</v>
      </c>
      <c r="D31" s="77">
        <v>1945119</v>
      </c>
      <c r="E31" s="77">
        <v>452415</v>
      </c>
      <c r="F31" s="77">
        <v>455572</v>
      </c>
      <c r="G31" s="77">
        <v>458794</v>
      </c>
      <c r="H31" s="77">
        <v>462079</v>
      </c>
      <c r="I31" s="78">
        <f t="shared" ref="I31:I36" si="7">SUM(D31:H31)</f>
        <v>3773979</v>
      </c>
      <c r="J31" s="16"/>
      <c r="K31" s="16"/>
      <c r="L31" s="16"/>
      <c r="M31" s="16"/>
      <c r="N31" s="16"/>
      <c r="O31" s="16"/>
      <c r="P31" s="16"/>
      <c r="Q31" s="16"/>
      <c r="R31" s="16"/>
      <c r="S31" s="16"/>
      <c r="T31" s="16"/>
      <c r="U31" s="16"/>
      <c r="V31" s="16"/>
      <c r="W31" s="16"/>
      <c r="X31" s="16"/>
      <c r="Y31" s="16"/>
      <c r="Z31" s="16"/>
      <c r="AA31" s="16"/>
      <c r="AB31" s="16"/>
      <c r="AC31" s="16"/>
      <c r="AD31" s="16"/>
      <c r="AE31" s="16"/>
      <c r="AF31" s="16"/>
    </row>
    <row r="32" spans="1:32" ht="33.65" customHeight="1" x14ac:dyDescent="0.35">
      <c r="A32" s="39"/>
      <c r="B32" s="49"/>
      <c r="C32" s="18" t="s">
        <v>16</v>
      </c>
      <c r="D32" s="83">
        <f>74918+33945</f>
        <v>108863</v>
      </c>
      <c r="E32" s="73">
        <f>76416+34624</f>
        <v>111040</v>
      </c>
      <c r="F32" s="73">
        <f>77944+35316</f>
        <v>113260</v>
      </c>
      <c r="G32" s="73">
        <f>79503+36023</f>
        <v>115526</v>
      </c>
      <c r="H32" s="73">
        <f>81093+36743</f>
        <v>117836</v>
      </c>
      <c r="I32" s="74">
        <f t="shared" si="7"/>
        <v>566525</v>
      </c>
    </row>
    <row r="33" spans="1:32" ht="33.65" customHeight="1" x14ac:dyDescent="0.35">
      <c r="A33" s="39"/>
      <c r="B33" s="49"/>
      <c r="C33" s="8" t="s">
        <v>33</v>
      </c>
      <c r="D33" s="83">
        <f>1762000+19400</f>
        <v>1781400</v>
      </c>
      <c r="E33" s="83">
        <v>285600</v>
      </c>
      <c r="F33" s="83">
        <v>285600</v>
      </c>
      <c r="G33" s="83">
        <v>285600</v>
      </c>
      <c r="H33" s="83">
        <v>285600</v>
      </c>
      <c r="I33" s="74">
        <f t="shared" si="7"/>
        <v>2923800</v>
      </c>
    </row>
    <row r="34" spans="1:32" ht="33.65" customHeight="1" x14ac:dyDescent="0.35">
      <c r="A34" s="39"/>
      <c r="B34" s="49"/>
      <c r="C34" s="19" t="s">
        <v>35</v>
      </c>
      <c r="D34" s="84">
        <v>8916</v>
      </c>
      <c r="E34" s="84">
        <v>8916</v>
      </c>
      <c r="F34" s="84">
        <v>8916</v>
      </c>
      <c r="G34" s="84">
        <v>8916</v>
      </c>
      <c r="H34" s="84">
        <v>8916</v>
      </c>
      <c r="I34" s="74">
        <f t="shared" si="7"/>
        <v>44580</v>
      </c>
    </row>
    <row r="35" spans="1:32" ht="33.65" customHeight="1" thickBot="1" x14ac:dyDescent="0.4">
      <c r="A35" s="39"/>
      <c r="B35" s="49"/>
      <c r="C35" s="20" t="s">
        <v>36</v>
      </c>
      <c r="D35" s="85">
        <v>45940</v>
      </c>
      <c r="E35" s="85">
        <v>46859</v>
      </c>
      <c r="F35" s="85">
        <v>47796</v>
      </c>
      <c r="G35" s="85">
        <v>48752</v>
      </c>
      <c r="H35" s="85">
        <v>49727</v>
      </c>
      <c r="I35" s="74">
        <f t="shared" si="7"/>
        <v>239074</v>
      </c>
    </row>
    <row r="36" spans="1:32" ht="31" hidden="1" customHeight="1" thickBot="1" x14ac:dyDescent="0.4">
      <c r="A36" s="39"/>
      <c r="B36" s="49"/>
      <c r="C36" s="21" t="s">
        <v>37</v>
      </c>
      <c r="D36" s="86">
        <v>0</v>
      </c>
      <c r="E36" s="86">
        <v>0</v>
      </c>
      <c r="F36" s="87"/>
      <c r="G36" s="86">
        <v>0</v>
      </c>
      <c r="H36" s="86">
        <v>0</v>
      </c>
      <c r="I36" s="88">
        <f t="shared" si="7"/>
        <v>0</v>
      </c>
    </row>
    <row r="37" spans="1:32" s="2" customFormat="1" ht="21.65" customHeight="1" thickBot="1" x14ac:dyDescent="0.4">
      <c r="A37" s="51" t="s">
        <v>38</v>
      </c>
      <c r="B37" s="52"/>
      <c r="C37" s="53"/>
      <c r="D37" s="89">
        <f t="shared" ref="D37:I37" si="8">SUM(D27,D8,D3:D7)</f>
        <v>13175982.88186444</v>
      </c>
      <c r="E37" s="89">
        <f t="shared" si="8"/>
        <v>11584083.878750438</v>
      </c>
      <c r="F37" s="89">
        <f t="shared" si="8"/>
        <v>19167876.002949379</v>
      </c>
      <c r="G37" s="89">
        <f t="shared" si="8"/>
        <v>23043142.135147221</v>
      </c>
      <c r="H37" s="89">
        <f t="shared" si="8"/>
        <v>25797914.808968492</v>
      </c>
      <c r="I37" s="89">
        <f t="shared" si="8"/>
        <v>92768999.707679957</v>
      </c>
      <c r="J37" s="1"/>
      <c r="K37" s="1"/>
      <c r="L37" s="1"/>
      <c r="M37" s="1"/>
      <c r="N37" s="1"/>
      <c r="O37" s="1"/>
      <c r="P37" s="1"/>
      <c r="Q37" s="1"/>
      <c r="R37" s="1"/>
      <c r="S37" s="1"/>
      <c r="T37" s="1"/>
      <c r="U37" s="1"/>
      <c r="V37" s="1"/>
      <c r="W37" s="1"/>
      <c r="X37" s="1"/>
      <c r="Y37" s="1"/>
      <c r="Z37" s="1"/>
      <c r="AA37" s="1"/>
      <c r="AB37" s="1"/>
      <c r="AC37" s="1"/>
      <c r="AD37" s="1"/>
      <c r="AE37" s="1"/>
      <c r="AF37" s="1"/>
    </row>
    <row r="38" spans="1:32" ht="60" customHeight="1" thickBot="1" x14ac:dyDescent="0.4">
      <c r="A38" s="54" t="s">
        <v>39</v>
      </c>
      <c r="B38" s="56" t="s">
        <v>40</v>
      </c>
      <c r="C38" s="57"/>
      <c r="D38" s="90">
        <f>0.2384*(D3+D10+D19+D23+D25+D29+D32)</f>
        <v>247463.56272000002</v>
      </c>
      <c r="E38" s="90">
        <f t="shared" ref="E38:H38" si="9">0.2384*(E3+E10+E19+E23+E25+E29+E32)</f>
        <v>160876.74470400001</v>
      </c>
      <c r="F38" s="90">
        <f t="shared" si="9"/>
        <v>218716.22111456003</v>
      </c>
      <c r="G38" s="90">
        <f t="shared" si="9"/>
        <v>224278.32584207042</v>
      </c>
      <c r="H38" s="90">
        <f t="shared" si="9"/>
        <v>230284.46913105677</v>
      </c>
      <c r="I38" s="90">
        <f>SUM(D38:H38)</f>
        <v>1081619.3235116871</v>
      </c>
    </row>
    <row r="39" spans="1:32" ht="35.5" customHeight="1" thickBot="1" x14ac:dyDescent="0.4">
      <c r="A39" s="55"/>
      <c r="B39" s="58" t="s">
        <v>41</v>
      </c>
      <c r="C39" s="59"/>
      <c r="D39" s="90">
        <v>250000</v>
      </c>
      <c r="E39" s="90">
        <v>250000</v>
      </c>
      <c r="F39" s="90">
        <v>250000</v>
      </c>
      <c r="G39" s="90">
        <v>250000</v>
      </c>
      <c r="H39" s="90">
        <v>250000</v>
      </c>
      <c r="I39" s="90">
        <f>SUM(D39:H39)</f>
        <v>1250000</v>
      </c>
    </row>
    <row r="40" spans="1:32" s="2" customFormat="1" ht="25.5" customHeight="1" thickBot="1" x14ac:dyDescent="0.4">
      <c r="A40" s="60" t="s">
        <v>42</v>
      </c>
      <c r="B40" s="61"/>
      <c r="C40" s="62"/>
      <c r="D40" s="91">
        <f>SUM(D38:D39)</f>
        <v>497463.56272000005</v>
      </c>
      <c r="E40" s="91">
        <f t="shared" ref="E40:H40" si="10">SUM(E38:E39)</f>
        <v>410876.74470400001</v>
      </c>
      <c r="F40" s="91">
        <f t="shared" si="10"/>
        <v>468716.22111456003</v>
      </c>
      <c r="G40" s="91">
        <f t="shared" si="10"/>
        <v>474278.32584207039</v>
      </c>
      <c r="H40" s="91">
        <f t="shared" si="10"/>
        <v>480284.4691310568</v>
      </c>
      <c r="I40" s="91">
        <f>SUM(I38:I39)</f>
        <v>2331619.3235116871</v>
      </c>
      <c r="J40" s="1"/>
      <c r="K40" s="1"/>
      <c r="L40" s="1"/>
      <c r="M40" s="1"/>
      <c r="N40" s="1"/>
      <c r="O40" s="1"/>
      <c r="P40" s="1"/>
      <c r="Q40" s="1"/>
      <c r="R40" s="1"/>
      <c r="S40" s="1"/>
      <c r="T40" s="1"/>
      <c r="U40" s="1"/>
      <c r="V40" s="1"/>
      <c r="W40" s="1"/>
      <c r="X40" s="1"/>
      <c r="Y40" s="1"/>
      <c r="Z40" s="1"/>
      <c r="AA40" s="1"/>
      <c r="AB40" s="1"/>
      <c r="AC40" s="1"/>
      <c r="AD40" s="1"/>
      <c r="AE40" s="1"/>
      <c r="AF40" s="1"/>
    </row>
    <row r="41" spans="1:32" s="2" customFormat="1" ht="33" customHeight="1" x14ac:dyDescent="0.35">
      <c r="A41" s="32" t="s">
        <v>43</v>
      </c>
      <c r="B41" s="33"/>
      <c r="C41" s="34"/>
      <c r="D41" s="92">
        <f>SUM(D40,D37)</f>
        <v>13673446.44458444</v>
      </c>
      <c r="E41" s="92">
        <f t="shared" ref="E41:H41" si="11">SUM(E40,E37)</f>
        <v>11994960.623454439</v>
      </c>
      <c r="F41" s="92">
        <f t="shared" si="11"/>
        <v>19636592.22406394</v>
      </c>
      <c r="G41" s="92">
        <f t="shared" si="11"/>
        <v>23517420.460989293</v>
      </c>
      <c r="H41" s="92">
        <f t="shared" si="11"/>
        <v>26278199.278099548</v>
      </c>
      <c r="I41" s="92">
        <f>SUM(I40+I37)</f>
        <v>95100619.031191647</v>
      </c>
      <c r="J41" s="1"/>
      <c r="K41" s="1"/>
      <c r="L41" s="1"/>
      <c r="M41" s="1"/>
      <c r="N41" s="1"/>
      <c r="O41" s="1"/>
      <c r="P41" s="1"/>
      <c r="Q41" s="1"/>
      <c r="R41" s="1"/>
      <c r="S41" s="1"/>
      <c r="T41" s="1"/>
      <c r="U41" s="1"/>
      <c r="V41" s="1"/>
      <c r="W41" s="1"/>
      <c r="X41" s="1"/>
      <c r="Y41" s="1"/>
      <c r="Z41" s="1"/>
      <c r="AA41" s="1"/>
      <c r="AB41" s="1"/>
      <c r="AC41" s="1"/>
      <c r="AD41" s="1"/>
      <c r="AE41" s="1"/>
      <c r="AF41" s="1"/>
    </row>
    <row r="42" spans="1:32" s="5" customFormat="1" ht="27" customHeight="1" x14ac:dyDescent="0.35"/>
    <row r="43" spans="1:32" ht="115.5" customHeight="1" x14ac:dyDescent="0.35">
      <c r="A43" s="93" t="s">
        <v>49</v>
      </c>
      <c r="B43" s="93"/>
      <c r="C43" s="94"/>
      <c r="D43" s="22" t="s">
        <v>2</v>
      </c>
      <c r="E43" s="23" t="s">
        <v>3</v>
      </c>
      <c r="F43" s="23" t="s">
        <v>4</v>
      </c>
      <c r="G43" s="23" t="s">
        <v>5</v>
      </c>
      <c r="H43" s="23" t="s">
        <v>6</v>
      </c>
      <c r="I43" s="23" t="s">
        <v>7</v>
      </c>
    </row>
    <row r="44" spans="1:32" ht="15" customHeight="1" x14ac:dyDescent="0.35">
      <c r="A44" s="63" t="s">
        <v>50</v>
      </c>
      <c r="B44" s="64" t="s">
        <v>44</v>
      </c>
      <c r="C44" s="64"/>
      <c r="D44" s="24">
        <v>1000000</v>
      </c>
      <c r="E44" s="24">
        <v>1000000</v>
      </c>
      <c r="F44" s="24">
        <v>1000000</v>
      </c>
      <c r="G44" s="24">
        <v>1000000</v>
      </c>
      <c r="H44" s="24">
        <v>1000000</v>
      </c>
      <c r="I44" s="25">
        <f>SUM(D44:H44)</f>
        <v>5000000</v>
      </c>
    </row>
    <row r="45" spans="1:32" x14ac:dyDescent="0.35">
      <c r="A45" s="63"/>
      <c r="B45" s="64" t="s">
        <v>45</v>
      </c>
      <c r="C45" s="64"/>
      <c r="D45" s="24">
        <v>2022750</v>
      </c>
      <c r="E45" s="24">
        <v>918250</v>
      </c>
      <c r="F45" s="24">
        <v>0</v>
      </c>
      <c r="G45" s="24">
        <v>0</v>
      </c>
      <c r="H45" s="24">
        <v>0</v>
      </c>
      <c r="I45" s="25">
        <f t="shared" ref="I45:I47" si="12">SUM(D45:H45)</f>
        <v>2941000</v>
      </c>
    </row>
    <row r="46" spans="1:32" x14ac:dyDescent="0.35">
      <c r="A46" s="63"/>
      <c r="B46" s="64" t="s">
        <v>46</v>
      </c>
      <c r="C46" s="64"/>
      <c r="D46" s="24">
        <v>45000</v>
      </c>
      <c r="E46" s="24">
        <f t="shared" ref="E46:H47" si="13">D46</f>
        <v>45000</v>
      </c>
      <c r="F46" s="24">
        <f t="shared" si="13"/>
        <v>45000</v>
      </c>
      <c r="G46" s="24">
        <f t="shared" si="13"/>
        <v>45000</v>
      </c>
      <c r="H46" s="24">
        <f t="shared" si="13"/>
        <v>45000</v>
      </c>
      <c r="I46" s="25">
        <f t="shared" si="12"/>
        <v>225000</v>
      </c>
    </row>
    <row r="47" spans="1:32" ht="16.5" customHeight="1" x14ac:dyDescent="0.35">
      <c r="A47" s="63"/>
      <c r="B47" s="64" t="s">
        <v>47</v>
      </c>
      <c r="C47" s="64"/>
      <c r="D47" s="24">
        <f>(((25000-3000)*571)+((50000-6000)*63))/5</f>
        <v>3066800</v>
      </c>
      <c r="E47" s="24">
        <f t="shared" si="13"/>
        <v>3066800</v>
      </c>
      <c r="F47" s="24">
        <f t="shared" si="13"/>
        <v>3066800</v>
      </c>
      <c r="G47" s="24">
        <f t="shared" si="13"/>
        <v>3066800</v>
      </c>
      <c r="H47" s="24">
        <f t="shared" si="13"/>
        <v>3066800</v>
      </c>
      <c r="I47" s="25">
        <f t="shared" si="12"/>
        <v>15334000</v>
      </c>
    </row>
    <row r="48" spans="1:32" ht="16.5" customHeight="1" x14ac:dyDescent="0.35">
      <c r="A48" s="63"/>
      <c r="B48" s="65" t="s">
        <v>48</v>
      </c>
      <c r="C48" s="66"/>
      <c r="D48" s="26">
        <f>SUM(D44:D47)</f>
        <v>6134550</v>
      </c>
      <c r="E48" s="26">
        <f t="shared" ref="E48:H48" si="14">SUM(E44:E47)</f>
        <v>5030050</v>
      </c>
      <c r="F48" s="26">
        <f t="shared" si="14"/>
        <v>4111800</v>
      </c>
      <c r="G48" s="26">
        <f t="shared" si="14"/>
        <v>4111800</v>
      </c>
      <c r="H48" s="26">
        <f t="shared" si="14"/>
        <v>4111800</v>
      </c>
      <c r="I48" s="27">
        <f>SUM(D48:H48)</f>
        <v>23500000</v>
      </c>
    </row>
    <row r="49" spans="1:7" s="5" customFormat="1" ht="29.15" customHeight="1" x14ac:dyDescent="0.35">
      <c r="A49" s="28"/>
      <c r="B49" s="29"/>
      <c r="C49" s="29"/>
    </row>
    <row r="50" spans="1:7" s="5" customFormat="1" ht="19" customHeight="1" x14ac:dyDescent="0.35">
      <c r="A50" s="28"/>
      <c r="B50" s="29"/>
      <c r="C50" s="29"/>
    </row>
    <row r="51" spans="1:7" s="5" customFormat="1" ht="17.149999999999999" customHeight="1" x14ac:dyDescent="0.35">
      <c r="A51" s="28"/>
      <c r="B51" s="29"/>
      <c r="C51" s="29"/>
      <c r="G51" s="30"/>
    </row>
    <row r="52" spans="1:7" s="5" customFormat="1" x14ac:dyDescent="0.35">
      <c r="A52" s="28"/>
      <c r="B52" s="28"/>
      <c r="C52" s="28"/>
      <c r="E52" s="31"/>
    </row>
    <row r="53" spans="1:7" s="5" customFormat="1" ht="36" customHeight="1" x14ac:dyDescent="0.35">
      <c r="A53" s="28"/>
      <c r="B53" s="28"/>
      <c r="C53" s="28"/>
    </row>
    <row r="54" spans="1:7" s="5" customFormat="1" x14ac:dyDescent="0.35">
      <c r="A54" s="28"/>
      <c r="B54" s="28"/>
      <c r="C54" s="28"/>
    </row>
    <row r="55" spans="1:7" s="5" customFormat="1" ht="30.65" customHeight="1" x14ac:dyDescent="0.35">
      <c r="A55" s="28"/>
      <c r="B55" s="28"/>
      <c r="C55" s="28"/>
    </row>
    <row r="56" spans="1:7" s="5" customFormat="1" ht="21.65" customHeight="1" x14ac:dyDescent="0.35">
      <c r="A56" s="28"/>
      <c r="B56" s="28"/>
      <c r="C56" s="28"/>
    </row>
    <row r="57" spans="1:7" s="5" customFormat="1" x14ac:dyDescent="0.35"/>
    <row r="58" spans="1:7" s="5" customFormat="1" x14ac:dyDescent="0.35"/>
  </sheetData>
  <mergeCells count="23">
    <mergeCell ref="A43:C43"/>
    <mergeCell ref="A44:A48"/>
    <mergeCell ref="B44:C44"/>
    <mergeCell ref="B45:C45"/>
    <mergeCell ref="B46:C46"/>
    <mergeCell ref="B47:C47"/>
    <mergeCell ref="B48:C48"/>
    <mergeCell ref="A41:C41"/>
    <mergeCell ref="A1:I1"/>
    <mergeCell ref="A2:A36"/>
    <mergeCell ref="B2:C2"/>
    <mergeCell ref="B3:C3"/>
    <mergeCell ref="B4:C4"/>
    <mergeCell ref="B5:C5"/>
    <mergeCell ref="B6:C6"/>
    <mergeCell ref="B7:C7"/>
    <mergeCell ref="B8:B25"/>
    <mergeCell ref="B27:B36"/>
    <mergeCell ref="A37:C37"/>
    <mergeCell ref="A38:A39"/>
    <mergeCell ref="B38:C38"/>
    <mergeCell ref="B39:C39"/>
    <mergeCell ref="A40:C4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Input_x002f_SubmissionStage xmlns="9ba65420-7720-41ed-bcad-c2a55fef165f" xsi:nil="true"/>
    <lcf76f155ced4ddcb4097134ff3c332f xmlns="9ba65420-7720-41ed-bcad-c2a55fef165f">
      <Terms xmlns="http://schemas.microsoft.com/office/infopath/2007/PartnerControls"/>
    </lcf76f155ced4ddcb4097134ff3c332f>
    <TaxCatchAll xmlns="025e7347-02b9-4ccf-9345-e3928028332f" xsi:nil="true"/>
    <Status xmlns="9ba65420-7720-41ed-bcad-c2a55fef165f">Waiting</Status>
    <DOERPointPerson xmlns="9ba65420-7720-41ed-bcad-c2a55fef165f">
      <UserInfo>
        <DisplayName/>
        <AccountId xsi:nil="true"/>
        <AccountType/>
      </UserInfo>
    </DOERPointPerson>
    <Dateapp_x002e_teamcompleteddoc_x002e_ xmlns="9ba65420-7720-41ed-bcad-c2a55fef165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D502BEF9A943549BD33FB23CBFBFEC8" ma:contentTypeVersion="20" ma:contentTypeDescription="Create a new document." ma:contentTypeScope="" ma:versionID="f412f4ff75e8a1c7fcee0088b255f55c">
  <xsd:schema xmlns:xsd="http://www.w3.org/2001/XMLSchema" xmlns:xs="http://www.w3.org/2001/XMLSchema" xmlns:p="http://schemas.microsoft.com/office/2006/metadata/properties" xmlns:ns2="9ba65420-7720-41ed-bcad-c2a55fef165f" xmlns:ns3="025e7347-02b9-4ccf-9345-e3928028332f" targetNamespace="http://schemas.microsoft.com/office/2006/metadata/properties" ma:root="true" ma:fieldsID="df7e369f12facc5d8b4c14cf8078431a" ns2:_="" ns3:_="">
    <xsd:import namespace="9ba65420-7720-41ed-bcad-c2a55fef165f"/>
    <xsd:import namespace="025e7347-02b9-4ccf-9345-e392802833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Input_x002f_SubmissionStage" minOccurs="0"/>
                <xsd:element ref="ns2:Dateapp_x002e_teamcompleteddoc_x002e_" minOccurs="0"/>
                <xsd:element ref="ns2:DOERPointPerson" minOccurs="0"/>
                <xsd:element ref="ns2:MediaServiceSearchProperties" minOccurs="0"/>
                <xsd:element ref="ns2: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a65420-7720-41ed-bcad-c2a55fef165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9f123c60-6d59-4beb-a46f-4c7d903a1f29"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Input_x002f_SubmissionStage" ma:index="19" nillable="true" ma:displayName="Input/Submission Stage" ma:description="CME will enter in the basic info located in the first section of the worksheet, then once it is marked as filled out, the appropriate DOER division managing the application will fill out the remaining part of the worksheet. &#10;After app. team inputs the rest of the worksheet answers, they should mark it as 'ready for OCIR'." ma:format="Dropdown" ma:internalName="Input_x002f_SubmissionStage">
      <xsd:simpleType>
        <xsd:restriction base="dms:Choice">
          <xsd:enumeration value="With CME"/>
          <xsd:enumeration value="Submitted to OCIR"/>
          <xsd:enumeration value="Waiting"/>
          <xsd:enumeration value="Sent to Program Point Person(s) for Completion"/>
        </xsd:restriction>
      </xsd:simpleType>
    </xsd:element>
    <xsd:element name="Dateapp_x002e_teamcompleteddoc_x002e_" ma:index="20" nillable="true" ma:displayName="Date app. team completed doc." ma:description="When the DOER app. team for that specific federal application completed the rest of the worksheet questions" ma:format="DateOnly" ma:internalName="Dateapp_x002e_teamcompleteddoc_x002e_">
      <xsd:simpleType>
        <xsd:restriction base="dms:DateTime"/>
      </xsd:simpleType>
    </xsd:element>
    <xsd:element name="DOERPointPerson" ma:index="21" nillable="true" ma:displayName="DOER Point Person" ma:description="DOER point person for the program - will likely be the person to ask to fill out the questions (after the first basic info questions) for the worksheet. " ma:format="Dropdown" ma:list="UserInfo" ma:SharePointGroup="0" ma:internalName="DOERPointPerson">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SearchProperties" ma:index="22" nillable="true" ma:displayName="MediaServiceSearchProperties" ma:hidden="true" ma:internalName="MediaServiceSearchProperties" ma:readOnly="true">
      <xsd:simpleType>
        <xsd:restriction base="dms:Note"/>
      </xsd:simpleType>
    </xsd:element>
    <xsd:element name="Status" ma:index="23" nillable="true" ma:displayName="Status" ma:default="Waiting" ma:format="Dropdown" ma:internalName="Status">
      <xsd:simpleType>
        <xsd:restriction base="dms:Choice">
          <xsd:enumeration value="Waiting"/>
          <xsd:enumeration value="With DL"/>
          <xsd:enumeration value="Sent to Point Person"/>
          <xsd:enumeration value="Sent to CPR"/>
        </xsd:restriction>
      </xsd:simpleType>
    </xsd:element>
  </xsd:schema>
  <xsd:schema xmlns:xsd="http://www.w3.org/2001/XMLSchema" xmlns:xs="http://www.w3.org/2001/XMLSchema" xmlns:dms="http://schemas.microsoft.com/office/2006/documentManagement/types" xmlns:pc="http://schemas.microsoft.com/office/infopath/2007/PartnerControls" targetNamespace="025e7347-02b9-4ccf-9345-e392802833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7ff03c6e-2d7e-463b-a2db-8f4845512aa4}" ma:internalName="TaxCatchAll" ma:showField="CatchAllData" ma:web="025e7347-02b9-4ccf-9345-e392802833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A07BC78-5367-43D7-9A63-470DB69B9238}">
  <ds:schemaRefs>
    <ds:schemaRef ds:uri="http://schemas.microsoft.com/sharepoint/v3/contenttype/forms"/>
  </ds:schemaRefs>
</ds:datastoreItem>
</file>

<file path=customXml/itemProps2.xml><?xml version="1.0" encoding="utf-8"?>
<ds:datastoreItem xmlns:ds="http://schemas.openxmlformats.org/officeDocument/2006/customXml" ds:itemID="{6FFD676F-CD3A-4A8B-9C7A-EC084541B42B}">
  <ds:schemaRefs>
    <ds:schemaRef ds:uri="http://purl.org/dc/elements/1.1/"/>
    <ds:schemaRef ds:uri="http://schemas.microsoft.com/office/infopath/2007/PartnerControls"/>
    <ds:schemaRef ds:uri="025e7347-02b9-4ccf-9345-e3928028332f"/>
    <ds:schemaRef ds:uri="http://purl.org/dc/terms/"/>
    <ds:schemaRef ds:uri="http://schemas.microsoft.com/office/2006/documentManagement/types"/>
    <ds:schemaRef ds:uri="9ba65420-7720-41ed-bcad-c2a55fef165f"/>
    <ds:schemaRef ds:uri="http://purl.org/dc/dcmitype/"/>
    <ds:schemaRef ds:uri="http://www.w3.org/XML/1998/namespace"/>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84389B91-5373-48E1-89FE-454A190613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a65420-7720-41ed-bcad-c2a55fef165f"/>
    <ds:schemaRef ds:uri="025e7347-02b9-4ccf-9345-e392802833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Mass. CPRG Budget Table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Snyder, Catie (ENE)</dc:creator>
  <cp:lastModifiedBy>Snyder, Catie (ENE)</cp:lastModifiedBy>
  <dcterms:created xsi:type="dcterms:W3CDTF">2024-03-26T02:57:19Z</dcterms:created>
  <dcterms:modified xsi:type="dcterms:W3CDTF">2024-03-28T17:35:50Z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0x0101000D502BEF9A943549BD33FB23CBFBFEC8</vt:lpwstr>
  </property>
  <property fmtid="{D5CDD505-2E9C-101B-9397-08002B2CF9AE}" pid="3" name="MediaServiceImageTags">
    <vt:lpwstr/>
  </property>
</Properties>
</file>