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185" documentId="8_{48AAE1B7-311D-4845-A102-4A0141023BE8}" xr6:coauthVersionLast="47" xr6:coauthVersionMax="47" xr10:uidLastSave="{6699760E-7D30-45B2-99E2-B259632A3E15}"/>
  <bookViews>
    <workbookView xWindow="-38505" yWindow="0" windowWidth="19410" windowHeight="21705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28" l="1"/>
  <c r="J16" i="28"/>
  <c r="J17" i="28"/>
  <c r="J18" i="28"/>
  <c r="J38" i="16"/>
  <c r="E39" i="16"/>
  <c r="D39" i="16"/>
  <c r="J12" i="27"/>
  <c r="E12" i="27"/>
  <c r="F12" i="27"/>
  <c r="G12" i="27"/>
  <c r="H12" i="27"/>
  <c r="D12" i="27"/>
  <c r="E19" i="27"/>
  <c r="F19" i="27"/>
  <c r="G19" i="27"/>
  <c r="H19" i="27"/>
  <c r="D19" i="27"/>
  <c r="D14" i="27"/>
  <c r="J14" i="27" s="1"/>
  <c r="E14" i="27"/>
  <c r="F14" i="27"/>
  <c r="G14" i="27"/>
  <c r="H14" i="27"/>
  <c r="J16" i="27"/>
  <c r="J17" i="27"/>
  <c r="E7" i="29"/>
  <c r="F7" i="29" s="1"/>
  <c r="G7" i="29" s="1"/>
  <c r="H7" i="29" s="1"/>
  <c r="D7" i="29"/>
  <c r="E8" i="29"/>
  <c r="F8" i="29" s="1"/>
  <c r="G8" i="29" s="1"/>
  <c r="H8" i="29" s="1"/>
  <c r="H12" i="29" s="1"/>
  <c r="D8" i="29"/>
  <c r="D12" i="29" s="1"/>
  <c r="E15" i="29"/>
  <c r="E16" i="29" s="1"/>
  <c r="F15" i="29"/>
  <c r="F16" i="29" s="1"/>
  <c r="G15" i="29"/>
  <c r="G16" i="29" s="1"/>
  <c r="H15" i="29"/>
  <c r="H16" i="29" s="1"/>
  <c r="D15" i="29"/>
  <c r="E19" i="16"/>
  <c r="E20" i="16" s="1"/>
  <c r="F19" i="16"/>
  <c r="G19" i="16"/>
  <c r="H19" i="16"/>
  <c r="H20" i="16" s="1"/>
  <c r="D19" i="16"/>
  <c r="D20" i="16" s="1"/>
  <c r="D15" i="28"/>
  <c r="E15" i="28"/>
  <c r="D7" i="28"/>
  <c r="D8" i="28"/>
  <c r="E8" i="28" s="1"/>
  <c r="J36" i="28"/>
  <c r="J37" i="28"/>
  <c r="E38" i="28"/>
  <c r="D38" i="28"/>
  <c r="D10" i="27"/>
  <c r="D9" i="27"/>
  <c r="D7" i="27"/>
  <c r="D10" i="16"/>
  <c r="D7" i="16"/>
  <c r="D13" i="16" s="1"/>
  <c r="D8" i="16"/>
  <c r="E8" i="16" s="1"/>
  <c r="F8" i="16" s="1"/>
  <c r="G8" i="16" s="1"/>
  <c r="H8" i="16" s="1"/>
  <c r="H14" i="16" s="1"/>
  <c r="D9" i="16"/>
  <c r="D15" i="16" s="1"/>
  <c r="E22" i="28"/>
  <c r="F22" i="28"/>
  <c r="G22" i="28"/>
  <c r="H22" i="28"/>
  <c r="I22" i="28"/>
  <c r="D22" i="28"/>
  <c r="I16" i="29"/>
  <c r="J28" i="29"/>
  <c r="D16" i="29"/>
  <c r="D10" i="28"/>
  <c r="D17" i="28" s="1"/>
  <c r="D11" i="28"/>
  <c r="D16" i="16"/>
  <c r="D9" i="28"/>
  <c r="E9" i="28" s="1"/>
  <c r="E16" i="28" s="1"/>
  <c r="E7" i="28"/>
  <c r="E14" i="28" s="1"/>
  <c r="D8" i="27"/>
  <c r="E8" i="27" s="1"/>
  <c r="D17" i="27"/>
  <c r="D11" i="27"/>
  <c r="E11" i="27" s="1"/>
  <c r="F11" i="27" s="1"/>
  <c r="G11" i="27" s="1"/>
  <c r="H11" i="27" s="1"/>
  <c r="H18" i="27" s="1"/>
  <c r="E9" i="27"/>
  <c r="F9" i="27" s="1"/>
  <c r="F16" i="27" s="1"/>
  <c r="F20" i="16"/>
  <c r="G20" i="16"/>
  <c r="F39" i="16"/>
  <c r="G39" i="16"/>
  <c r="H39" i="16"/>
  <c r="J37" i="16"/>
  <c r="J36" i="16"/>
  <c r="J34" i="16"/>
  <c r="J33" i="16"/>
  <c r="J31" i="16"/>
  <c r="J32" i="16"/>
  <c r="E9" i="16" l="1"/>
  <c r="F9" i="16" s="1"/>
  <c r="G9" i="16" s="1"/>
  <c r="H9" i="16" s="1"/>
  <c r="J9" i="16" s="1"/>
  <c r="F14" i="16"/>
  <c r="G14" i="16"/>
  <c r="E14" i="16"/>
  <c r="D14" i="16"/>
  <c r="J14" i="16" s="1"/>
  <c r="J7" i="29"/>
  <c r="E9" i="29"/>
  <c r="H9" i="29"/>
  <c r="H11" i="29"/>
  <c r="F11" i="29"/>
  <c r="G9" i="29"/>
  <c r="D11" i="29"/>
  <c r="G11" i="29"/>
  <c r="D9" i="29"/>
  <c r="F9" i="29"/>
  <c r="E11" i="29"/>
  <c r="E7" i="27"/>
  <c r="F7" i="27" s="1"/>
  <c r="G7" i="27" s="1"/>
  <c r="H7" i="27" s="1"/>
  <c r="D11" i="16"/>
  <c r="E7" i="16"/>
  <c r="E13" i="16" s="1"/>
  <c r="G12" i="29"/>
  <c r="F12" i="29"/>
  <c r="E12" i="29"/>
  <c r="E10" i="28"/>
  <c r="E17" i="28" s="1"/>
  <c r="E11" i="28"/>
  <c r="F11" i="28" s="1"/>
  <c r="G11" i="28" s="1"/>
  <c r="H11" i="28" s="1"/>
  <c r="D18" i="28"/>
  <c r="D14" i="28"/>
  <c r="D16" i="28"/>
  <c r="J10" i="28"/>
  <c r="J11" i="28"/>
  <c r="J9" i="28"/>
  <c r="E10" i="27"/>
  <c r="F10" i="27" s="1"/>
  <c r="G10" i="27" s="1"/>
  <c r="H10" i="27" s="1"/>
  <c r="H17" i="27" s="1"/>
  <c r="E18" i="27"/>
  <c r="E16" i="27"/>
  <c r="D18" i="27"/>
  <c r="D16" i="27"/>
  <c r="G18" i="27"/>
  <c r="F18" i="27"/>
  <c r="F8" i="27"/>
  <c r="G8" i="27" s="1"/>
  <c r="E15" i="27"/>
  <c r="D15" i="27"/>
  <c r="G9" i="27"/>
  <c r="E15" i="16"/>
  <c r="H15" i="16"/>
  <c r="G15" i="16"/>
  <c r="F15" i="16"/>
  <c r="E10" i="16"/>
  <c r="D17" i="16" l="1"/>
  <c r="J11" i="29"/>
  <c r="E17" i="27"/>
  <c r="J7" i="27"/>
  <c r="F17" i="27"/>
  <c r="J10" i="27"/>
  <c r="G17" i="27"/>
  <c r="E11" i="16"/>
  <c r="F7" i="16"/>
  <c r="F13" i="16" s="1"/>
  <c r="E18" i="28"/>
  <c r="H9" i="27"/>
  <c r="H16" i="27" s="1"/>
  <c r="G16" i="27"/>
  <c r="F15" i="27"/>
  <c r="J15" i="16"/>
  <c r="F10" i="16"/>
  <c r="E16" i="16"/>
  <c r="E17" i="16" s="1"/>
  <c r="F11" i="16" l="1"/>
  <c r="G7" i="16"/>
  <c r="G13" i="16" s="1"/>
  <c r="J9" i="27"/>
  <c r="H8" i="27"/>
  <c r="H15" i="27" s="1"/>
  <c r="G15" i="27"/>
  <c r="G10" i="16"/>
  <c r="F16" i="16"/>
  <c r="F17" i="16" s="1"/>
  <c r="H7" i="16" l="1"/>
  <c r="H13" i="16" s="1"/>
  <c r="J13" i="16" s="1"/>
  <c r="G11" i="16"/>
  <c r="J7" i="16"/>
  <c r="H10" i="16"/>
  <c r="H16" i="16" s="1"/>
  <c r="H17" i="16" s="1"/>
  <c r="G16" i="16"/>
  <c r="G17" i="16" s="1"/>
  <c r="H11" i="16" l="1"/>
  <c r="H43" i="16" s="1"/>
  <c r="J10" i="16"/>
  <c r="J16" i="16"/>
  <c r="J17" i="16" s="1"/>
  <c r="J15" i="29" l="1"/>
  <c r="J21" i="28"/>
  <c r="J30" i="27"/>
  <c r="J19" i="16"/>
  <c r="J8" i="16"/>
  <c r="J11" i="16" s="1"/>
  <c r="F44" i="28"/>
  <c r="H19" i="28"/>
  <c r="J8" i="29"/>
  <c r="J9" i="29" s="1"/>
  <c r="I39" i="29"/>
  <c r="J36" i="29"/>
  <c r="H31" i="29"/>
  <c r="G31" i="29"/>
  <c r="F31" i="29"/>
  <c r="E31" i="29"/>
  <c r="D31" i="29"/>
  <c r="J30" i="29"/>
  <c r="J29" i="29"/>
  <c r="J27" i="29"/>
  <c r="H25" i="29"/>
  <c r="G25" i="29"/>
  <c r="F25" i="29"/>
  <c r="E25" i="29"/>
  <c r="D25" i="29"/>
  <c r="J24" i="29"/>
  <c r="H22" i="29"/>
  <c r="G22" i="29"/>
  <c r="F22" i="29"/>
  <c r="E22" i="29"/>
  <c r="D22" i="29"/>
  <c r="J21" i="29"/>
  <c r="H19" i="29"/>
  <c r="G19" i="29"/>
  <c r="F19" i="29"/>
  <c r="E19" i="29"/>
  <c r="D19" i="29"/>
  <c r="J18" i="29"/>
  <c r="I13" i="29"/>
  <c r="H13" i="29"/>
  <c r="G13" i="29"/>
  <c r="F13" i="29"/>
  <c r="E13" i="29"/>
  <c r="D13" i="29"/>
  <c r="J12" i="29"/>
  <c r="I9" i="29"/>
  <c r="H35" i="29"/>
  <c r="H37" i="29" s="1"/>
  <c r="G35" i="29"/>
  <c r="G37" i="29" s="1"/>
  <c r="F35" i="29"/>
  <c r="F37" i="29" s="1"/>
  <c r="E35" i="29"/>
  <c r="E37" i="29" s="1"/>
  <c r="D35" i="29"/>
  <c r="D37" i="29" s="1"/>
  <c r="I46" i="28"/>
  <c r="H44" i="28"/>
  <c r="G44" i="28"/>
  <c r="J43" i="28"/>
  <c r="H38" i="28"/>
  <c r="G38" i="28"/>
  <c r="F38" i="28"/>
  <c r="J35" i="28"/>
  <c r="J34" i="28"/>
  <c r="J33" i="28"/>
  <c r="H31" i="28"/>
  <c r="G31" i="28"/>
  <c r="F31" i="28"/>
  <c r="E31" i="28"/>
  <c r="D31" i="28"/>
  <c r="J30" i="28"/>
  <c r="H28" i="28"/>
  <c r="G28" i="28"/>
  <c r="F28" i="28"/>
  <c r="E28" i="28"/>
  <c r="D28" i="28"/>
  <c r="J27" i="28"/>
  <c r="H25" i="28"/>
  <c r="G25" i="28"/>
  <c r="F25" i="28"/>
  <c r="E25" i="28"/>
  <c r="D25" i="28"/>
  <c r="J24" i="28"/>
  <c r="I19" i="28"/>
  <c r="I12" i="28"/>
  <c r="H12" i="28"/>
  <c r="G12" i="28"/>
  <c r="G19" i="28" s="1"/>
  <c r="F12" i="28"/>
  <c r="F19" i="28" s="1"/>
  <c r="E12" i="28"/>
  <c r="D12" i="28"/>
  <c r="J7" i="28"/>
  <c r="I44" i="27"/>
  <c r="J41" i="27"/>
  <c r="H36" i="27"/>
  <c r="G36" i="27"/>
  <c r="F36" i="27"/>
  <c r="E36" i="27"/>
  <c r="D36" i="27"/>
  <c r="J35" i="27"/>
  <c r="J34" i="27"/>
  <c r="J33" i="27"/>
  <c r="H31" i="27"/>
  <c r="G31" i="27"/>
  <c r="F31" i="27"/>
  <c r="E31" i="27"/>
  <c r="D31" i="27"/>
  <c r="H28" i="27"/>
  <c r="G28" i="27"/>
  <c r="F28" i="27"/>
  <c r="E28" i="27"/>
  <c r="D28" i="27"/>
  <c r="J27" i="27"/>
  <c r="H25" i="27"/>
  <c r="G25" i="27"/>
  <c r="F25" i="27"/>
  <c r="E25" i="27"/>
  <c r="D25" i="27"/>
  <c r="J24" i="27"/>
  <c r="J25" i="27" s="1"/>
  <c r="H22" i="27"/>
  <c r="G22" i="27"/>
  <c r="F22" i="27"/>
  <c r="E22" i="27"/>
  <c r="D22" i="27"/>
  <c r="J21" i="27"/>
  <c r="I19" i="27"/>
  <c r="J18" i="27"/>
  <c r="I12" i="27"/>
  <c r="D40" i="27"/>
  <c r="D42" i="27" s="1"/>
  <c r="J11" i="27"/>
  <c r="J8" i="27"/>
  <c r="J44" i="16"/>
  <c r="E29" i="16"/>
  <c r="F29" i="16"/>
  <c r="G29" i="16"/>
  <c r="H29" i="16"/>
  <c r="D29" i="16"/>
  <c r="E26" i="16"/>
  <c r="F26" i="16"/>
  <c r="G26" i="16"/>
  <c r="H26" i="16"/>
  <c r="D26" i="16"/>
  <c r="J25" i="16"/>
  <c r="J28" i="16"/>
  <c r="J35" i="16"/>
  <c r="J39" i="16" s="1"/>
  <c r="E23" i="16"/>
  <c r="F23" i="16"/>
  <c r="G23" i="16"/>
  <c r="H23" i="16"/>
  <c r="D23" i="16"/>
  <c r="J22" i="16"/>
  <c r="D43" i="16"/>
  <c r="D45" i="16" l="1"/>
  <c r="J19" i="29"/>
  <c r="J22" i="29"/>
  <c r="J35" i="29"/>
  <c r="D13" i="30"/>
  <c r="D19" i="28"/>
  <c r="D39" i="28" s="1"/>
  <c r="D42" i="28"/>
  <c r="D44" i="28" s="1"/>
  <c r="D16" i="30" s="1"/>
  <c r="E19" i="28"/>
  <c r="E39" i="28" s="1"/>
  <c r="E42" i="28"/>
  <c r="E44" i="28" s="1"/>
  <c r="J28" i="27"/>
  <c r="D11" i="30"/>
  <c r="D12" i="30"/>
  <c r="D9" i="30"/>
  <c r="H37" i="27"/>
  <c r="H40" i="27"/>
  <c r="H42" i="27" s="1"/>
  <c r="G8" i="30"/>
  <c r="G40" i="27"/>
  <c r="G42" i="27" s="1"/>
  <c r="E37" i="27"/>
  <c r="E40" i="27"/>
  <c r="E42" i="27" s="1"/>
  <c r="F37" i="27"/>
  <c r="F40" i="27"/>
  <c r="F42" i="27" s="1"/>
  <c r="D7" i="30"/>
  <c r="D10" i="30"/>
  <c r="E43" i="16"/>
  <c r="E45" i="16" s="1"/>
  <c r="E7" i="30"/>
  <c r="H45" i="16"/>
  <c r="H7" i="30"/>
  <c r="G43" i="16"/>
  <c r="G45" i="16" s="1"/>
  <c r="G7" i="30"/>
  <c r="F43" i="16"/>
  <c r="F45" i="16" s="1"/>
  <c r="F7" i="30"/>
  <c r="J13" i="29"/>
  <c r="J22" i="27"/>
  <c r="J36" i="27"/>
  <c r="J31" i="27"/>
  <c r="J23" i="16"/>
  <c r="J29" i="16"/>
  <c r="J20" i="16"/>
  <c r="D40" i="16"/>
  <c r="D47" i="16" s="1"/>
  <c r="J26" i="16"/>
  <c r="G10" i="30"/>
  <c r="E10" i="30"/>
  <c r="E9" i="30"/>
  <c r="F9" i="30"/>
  <c r="H11" i="30"/>
  <c r="F11" i="30"/>
  <c r="E11" i="30"/>
  <c r="F10" i="30"/>
  <c r="H10" i="30"/>
  <c r="F12" i="30"/>
  <c r="H12" i="30"/>
  <c r="J15" i="27"/>
  <c r="J19" i="27" s="1"/>
  <c r="H13" i="30"/>
  <c r="F13" i="30"/>
  <c r="G12" i="30"/>
  <c r="J31" i="28"/>
  <c r="J25" i="28"/>
  <c r="E12" i="30"/>
  <c r="G11" i="30"/>
  <c r="J28" i="28"/>
  <c r="J22" i="28"/>
  <c r="J14" i="28"/>
  <c r="J19" i="28" s="1"/>
  <c r="G39" i="28"/>
  <c r="G46" i="28" s="1"/>
  <c r="H39" i="28"/>
  <c r="H46" i="28" s="1"/>
  <c r="F39" i="28"/>
  <c r="J12" i="28"/>
  <c r="E13" i="30"/>
  <c r="G13" i="30"/>
  <c r="H9" i="30"/>
  <c r="G9" i="30"/>
  <c r="J25" i="29"/>
  <c r="J16" i="29"/>
  <c r="E32" i="29"/>
  <c r="E39" i="29" s="1"/>
  <c r="G32" i="29"/>
  <c r="G39" i="29" s="1"/>
  <c r="H32" i="29"/>
  <c r="H39" i="29" s="1"/>
  <c r="D32" i="29"/>
  <c r="D39" i="29" s="1"/>
  <c r="F32" i="29"/>
  <c r="F39" i="29" s="1"/>
  <c r="H40" i="16"/>
  <c r="J37" i="29"/>
  <c r="J31" i="29"/>
  <c r="J38" i="28"/>
  <c r="E40" i="16"/>
  <c r="G40" i="16"/>
  <c r="F40" i="16"/>
  <c r="J42" i="27" l="1"/>
  <c r="J43" i="16"/>
  <c r="G16" i="30"/>
  <c r="J44" i="28"/>
  <c r="D8" i="30"/>
  <c r="D14" i="30" s="1"/>
  <c r="D46" i="28"/>
  <c r="G47" i="16"/>
  <c r="F47" i="16"/>
  <c r="G37" i="27"/>
  <c r="H8" i="30"/>
  <c r="H14" i="30" s="1"/>
  <c r="J42" i="28"/>
  <c r="E46" i="28"/>
  <c r="J45" i="16"/>
  <c r="H47" i="16"/>
  <c r="E16" i="30"/>
  <c r="H16" i="30"/>
  <c r="E8" i="30"/>
  <c r="E14" i="30" s="1"/>
  <c r="H44" i="27"/>
  <c r="G44" i="27"/>
  <c r="F8" i="30"/>
  <c r="D37" i="27"/>
  <c r="D44" i="27" s="1"/>
  <c r="J40" i="27"/>
  <c r="E44" i="27"/>
  <c r="F44" i="27"/>
  <c r="F16" i="30"/>
  <c r="E47" i="16"/>
  <c r="J40" i="16"/>
  <c r="J10" i="30"/>
  <c r="J11" i="30"/>
  <c r="J12" i="30"/>
  <c r="J9" i="30"/>
  <c r="J39" i="28"/>
  <c r="G14" i="30"/>
  <c r="G18" i="30" s="1"/>
  <c r="J7" i="30"/>
  <c r="F46" i="28"/>
  <c r="J13" i="30"/>
  <c r="J32" i="29"/>
  <c r="J39" i="29" s="1"/>
  <c r="D26" i="30" s="1"/>
  <c r="J46" i="28" l="1"/>
  <c r="D25" i="30" s="1"/>
  <c r="H18" i="30"/>
  <c r="J47" i="16"/>
  <c r="D23" i="30" s="1"/>
  <c r="J16" i="30"/>
  <c r="E18" i="30"/>
  <c r="J37" i="27"/>
  <c r="J44" i="27" s="1"/>
  <c r="D24" i="30" s="1"/>
  <c r="J8" i="30"/>
  <c r="F14" i="30"/>
  <c r="F18" i="30" s="1"/>
  <c r="D18" i="30"/>
  <c r="D27" i="30" l="1"/>
  <c r="E24" i="30" s="1"/>
  <c r="J14" i="30"/>
  <c r="J18" i="30" s="1"/>
  <c r="E23" i="30" l="1"/>
  <c r="E25" i="30"/>
  <c r="E26" i="30"/>
  <c r="E27" i="30" l="1"/>
</calcChain>
</file>

<file path=xl/sharedStrings.xml><?xml version="1.0" encoding="utf-8"?>
<sst xmlns="http://schemas.openxmlformats.org/spreadsheetml/2006/main" count="294" uniqueCount="93">
  <si>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</si>
  <si>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</si>
  <si>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</si>
  <si>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</si>
  <si>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</si>
  <si>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</si>
  <si>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</si>
  <si>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</si>
  <si>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</si>
  <si>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</si>
  <si>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</si>
  <si>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</si>
  <si>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</si>
  <si>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</si>
  <si>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</si>
  <si>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</si>
  <si>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</si>
  <si>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</si>
  <si>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</si>
  <si>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</si>
  <si>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</si>
  <si>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</si>
  <si>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</si>
  <si>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</si>
  <si>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</si>
  <si>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</si>
  <si>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</si>
  <si>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</si>
  <si>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Measure 1 - Kickstart decarbonization retrofits</t>
  </si>
  <si>
    <t>Measure 2 - Establish a technical assistance program</t>
  </si>
  <si>
    <t>Total</t>
  </si>
  <si>
    <t>Measure 1 Detailed Budget Table</t>
  </si>
  <si>
    <t>Personnel</t>
  </si>
  <si>
    <t> </t>
  </si>
  <si>
    <t xml:space="preserve"> Fringe Benefits </t>
  </si>
  <si>
    <t>Project Director @ 32.1%</t>
  </si>
  <si>
    <t>Deputy Project Manager @ 32.1%</t>
  </si>
  <si>
    <t>Reporting &amp; Admin Support @ 32.1%</t>
  </si>
  <si>
    <t xml:space="preserve"> Travel </t>
  </si>
  <si>
    <t xml:space="preserve"> Equipment </t>
  </si>
  <si>
    <t>N/A</t>
  </si>
  <si>
    <t xml:space="preserve"> Supplies </t>
  </si>
  <si>
    <t xml:space="preserve"> Contractual </t>
  </si>
  <si>
    <t>OTHER</t>
  </si>
  <si>
    <t>Subaward - Boston Housing Authority: decarbonization retrofits of 245 units of public housing</t>
  </si>
  <si>
    <t>Subaward - Chelsea Housing Authority: decarbonization retrofits of 96 units of public housing</t>
  </si>
  <si>
    <t>Subaward - Lowell Housing Authority: decarbonization retrofits of 92 units of public housing</t>
  </si>
  <si>
    <t>Subaward - New Ecology: technical support services to housing authorities to plan and complete decarbonization retrofits</t>
  </si>
  <si>
    <t>Subaward - Mass Union of Public Housing Tenants: support tenant engagement activities at retrofitted properties</t>
  </si>
  <si>
    <t>Subaward - Environmental Monitoring Partners: measurement and reporting of criteria air pollutants pre- and post-retrofit</t>
  </si>
  <si>
    <t>Participant Support Cost - Stipends for tenants participating in CAP measurement @ $125 per unit (approx. 25 units)</t>
  </si>
  <si>
    <t>Indirect Costs</t>
  </si>
  <si>
    <t>Indirect Cost Rate (=123%-32.1%=90.9%)</t>
  </si>
  <si>
    <t>(Indirect Rate x Personnel = Indirect Costs)</t>
  </si>
  <si>
    <t>Measure 2 Detailed Budget Table</t>
  </si>
  <si>
    <t>0.1 FTE Deputy Project Manager @ $78,500/yr</t>
  </si>
  <si>
    <t>0.1 FTE Reporting &amp; Admin Support @ $72,500/yr</t>
  </si>
  <si>
    <t>Technical Assistance Program Lead @ 32.1%</t>
  </si>
  <si>
    <t>Contractors to provide technical assistance services to grant awardees for decarbonization planning, design, and analysis (Assumes 40 awards of $45,000-50,000 of technical services)</t>
  </si>
  <si>
    <t>Subaward - LISC Boston: support with design of technical assistance program and outreach to potential awardees</t>
  </si>
  <si>
    <t>Subaward - New Ecology: support with design of technical assistance program and outreach to potential awardees</t>
  </si>
  <si>
    <t>Subaward - CHAPA: support with design of technical assistance program and outreach to potential awardees</t>
  </si>
  <si>
    <t>Measure 3 Detailed Budget Table</t>
  </si>
  <si>
    <t>0.25 FTE Procurement Strategy Lead @ $97,000/yr</t>
  </si>
  <si>
    <t>Procurement Strategy Lead @ 32.1%</t>
  </si>
  <si>
    <t>Subaward - Boston Housing Authority: provide input to develop procurement vehicles and recommendations</t>
  </si>
  <si>
    <t>Subaward - Chelsea Housing Authority: provide input to develop procurement vehicles and recommendations</t>
  </si>
  <si>
    <t>Subaward - Lowell Housing Authority: provide input to develop procurement vehicles and recommendations</t>
  </si>
  <si>
    <t>Subaward - CHAPA: support stakeholder engagement</t>
  </si>
  <si>
    <t>Measure 4 Detailed Budget Table</t>
  </si>
  <si>
    <t>Community of Practice Lead @ 32.1%</t>
  </si>
  <si>
    <t>TOTAL CONTRACTUAL</t>
  </si>
  <si>
    <t>Other</t>
  </si>
  <si>
    <t>Subaward - LISC Boston: lead expansion of the Energy Cohort and implementation of Cohort activities</t>
  </si>
  <si>
    <t>Subaward - New Ecology: support expansion of the Energy Cohort and implementation of Cohort activities</t>
  </si>
  <si>
    <t>Subaward - CHAPA: support expansion of the Energy Cohort and implementation of Cohort activities</t>
  </si>
  <si>
    <t>Subaward - Mass Union of Public Housing Tenants: support expansion of the Energy Cohort and implementation of Cohort activities</t>
  </si>
  <si>
    <t>0.25 FTE Deputy Project Manager @ $80,000/yr</t>
  </si>
  <si>
    <t>0.15 FTE Project Manager @ $105,000/yr</t>
  </si>
  <si>
    <t>0.05 FTE Project Director @ $121,000/yr</t>
  </si>
  <si>
    <t>Project Manager @ 32.1%</t>
  </si>
  <si>
    <t>0.4 FTE Reporting &amp; Admin Support @ $72,500/yr</t>
  </si>
  <si>
    <t>0.1 FTE Project Manager @ $105,000/yr</t>
  </si>
  <si>
    <t>0.1 FTE Deputy Project Manager @ $80,000/yr</t>
  </si>
  <si>
    <t>0.25 Technical Assistance Program Lead @ $78,500/yr</t>
  </si>
  <si>
    <t>Subaward - TBD Procurement Partner: provide additional expertise to develop procurement vehicles and recommendations</t>
  </si>
  <si>
    <t>Measure 3 - Streamline decarbonization procurement</t>
  </si>
  <si>
    <t>Measure 4 - Expand regional community of practice</t>
  </si>
  <si>
    <t>Travel to local meetings, est. 200 miles/year @ $0.54/mi</t>
  </si>
  <si>
    <t>Travel to Cohort events and meetings, est. 200 miles/yr @ $0.54/mi</t>
  </si>
  <si>
    <t>0.15 FTE Community of Practice Lead @ $95,000/yr</t>
  </si>
  <si>
    <t>0.05 FTE Project Manager @ $105,000/yr</t>
  </si>
  <si>
    <t>Participant Support Costs - Tenant engagement event costs ($500 per housing authority)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</si>
</sst>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6" fontId="8" fillId="4" borderId="4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6" fontId="8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9" fillId="0" borderId="11" xfId="0" applyFont="1" applyBorder="1" applyAlignment="1">
      <alignment wrapText="1"/>
    </xf>
    <xf numFmtId="6" fontId="10" fillId="0" borderId="12" xfId="0" applyNumberFormat="1" applyFont="1" applyBorder="1" applyAlignment="1">
      <alignment wrapText="1"/>
    </xf>
    <xf numFmtId="0" fontId="11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13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6" fontId="6" fillId="0" borderId="0" xfId="0" applyNumberFormat="1" applyFont="1"/>
    <xf numFmtId="0" fontId="12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2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wrapText="1"/>
    </xf>
    <xf numFmtId="0" fontId="6" fillId="8" borderId="0" xfId="0" applyFont="1" applyFill="1"/>
    <xf numFmtId="6" fontId="9" fillId="0" borderId="19" xfId="0" applyNumberFormat="1" applyFont="1" applyBorder="1" applyAlignment="1">
      <alignment wrapText="1"/>
    </xf>
    <xf numFmtId="0" fontId="9" fillId="0" borderId="0" xfId="0" applyFont="1"/>
    <xf numFmtId="0" fontId="9" fillId="3" borderId="20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horizontal="left" vertical="top" wrapText="1"/>
    </xf>
    <xf numFmtId="6" fontId="8" fillId="7" borderId="8" xfId="0" applyNumberFormat="1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left" wrapText="1" indent="1"/>
    </xf>
    <xf numFmtId="0" fontId="8" fillId="0" borderId="1" xfId="0" applyFont="1" applyBorder="1" applyAlignment="1">
      <alignment horizontal="left" wrapText="1" indent="1"/>
    </xf>
    <xf numFmtId="0" fontId="15" fillId="0" borderId="0" xfId="0" applyFont="1" applyAlignment="1">
      <alignment horizontal="left" wrapText="1" inden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3" fillId="0" borderId="0" xfId="0" applyFont="1" applyAlignment="1">
      <alignment horizontal="left" wrapText="1"/>
    </xf>
    <xf numFmtId="9" fontId="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6" fontId="0" fillId="0" borderId="1" xfId="0" applyNumberFormat="1" applyBorder="1"/>
    <xf numFmtId="8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N71" sqref="N71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29"/>
      <c r="K2" s="3"/>
    </row>
    <row r="3" spans="4:11" x14ac:dyDescent="0.25">
      <c r="D3" s="3"/>
      <c r="E3" s="3"/>
      <c r="J3" s="27"/>
      <c r="K3" s="28"/>
    </row>
    <row r="4" spans="4:11" x14ac:dyDescent="0.25">
      <c r="D4" s="4"/>
      <c r="E4" s="3"/>
    </row>
    <row r="9" spans="4:11" x14ac:dyDescent="0.25">
      <c r="J9" s="20"/>
    </row>
    <row r="17" spans="5:18" x14ac:dyDescent="0.25">
      <c r="E17" s="30"/>
      <c r="F17" s="30"/>
      <c r="G17" s="30"/>
      <c r="H17" s="30"/>
      <c r="I17" s="30"/>
    </row>
    <row r="18" spans="5:18" x14ac:dyDescent="0.25">
      <c r="E18" s="30"/>
      <c r="F18" s="30"/>
      <c r="G18" s="30"/>
      <c r="H18" s="30"/>
      <c r="I18" s="30"/>
    </row>
    <row r="27" spans="5:18" ht="23.25" x14ac:dyDescent="0.35">
      <c r="Q27" s="26"/>
    </row>
    <row r="28" spans="5:18" x14ac:dyDescent="0.25">
      <c r="Q28" s="55"/>
      <c r="R28" s="5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8"/>
  <sheetViews>
    <sheetView showGridLines="0" tabSelected="1" zoomScale="83" zoomScaleNormal="85" workbookViewId="0">
      <selection activeCell="H23" sqref="H23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47.42578125" customWidth="1"/>
    <col min="4" max="4" width="12.85546875" style="6" bestFit="1" customWidth="1"/>
    <col min="5" max="5" width="16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5.42578125" bestFit="1" customWidth="1"/>
    <col min="11" max="11" width="10.140625" customWidth="1"/>
    <col min="13" max="13" width="15" customWidth="1"/>
  </cols>
  <sheetData>
    <row r="2" spans="2:39" ht="23.25" x14ac:dyDescent="0.35">
      <c r="B2" s="26" t="s">
        <v>0</v>
      </c>
    </row>
    <row r="3" spans="2:39" ht="26.45" customHeight="1" x14ac:dyDescent="0.25">
      <c r="B3" s="68" t="s">
        <v>1</v>
      </c>
      <c r="C3" s="68"/>
      <c r="D3" s="68"/>
      <c r="E3" s="68"/>
      <c r="F3" s="68"/>
      <c r="G3" s="68"/>
      <c r="H3" s="68"/>
      <c r="I3" s="68"/>
      <c r="J3" s="68"/>
    </row>
    <row r="4" spans="2:39" ht="15" customHeight="1" x14ac:dyDescent="0.25">
      <c r="B4" s="5"/>
    </row>
    <row r="5" spans="2:39" ht="18.75" x14ac:dyDescent="0.3">
      <c r="B5" s="40" t="s">
        <v>2</v>
      </c>
      <c r="C5" s="41"/>
      <c r="D5" s="41"/>
      <c r="E5" s="41"/>
      <c r="F5" s="41"/>
      <c r="G5" s="41"/>
      <c r="H5" s="41"/>
      <c r="I5" s="41"/>
      <c r="J5" s="59"/>
    </row>
    <row r="6" spans="2:39" ht="17.100000000000001" customHeight="1" x14ac:dyDescent="0.25">
      <c r="B6" s="42" t="s">
        <v>3</v>
      </c>
      <c r="C6" s="42" t="s">
        <v>4</v>
      </c>
      <c r="D6" s="42" t="s">
        <v>5</v>
      </c>
      <c r="E6" s="43" t="s">
        <v>6</v>
      </c>
      <c r="F6" s="43" t="s">
        <v>7</v>
      </c>
      <c r="G6" s="43" t="s">
        <v>8</v>
      </c>
      <c r="H6" s="44" t="s">
        <v>9</v>
      </c>
      <c r="I6" s="45"/>
      <c r="J6" s="60" t="s">
        <v>10</v>
      </c>
    </row>
    <row r="7" spans="2:39" s="5" customFormat="1" x14ac:dyDescent="0.25">
      <c r="B7" s="21" t="s">
        <v>11</v>
      </c>
      <c r="C7" s="46" t="s">
        <v>12</v>
      </c>
      <c r="D7" s="47">
        <f>'Measure 1 Budget'!D11+'Measure 2 Budget'!D12+'Measure 3 Budget'!D12+'Measure 4 Budget'!D9</f>
        <v>197250</v>
      </c>
      <c r="E7" s="47">
        <f>'Measure 1 Budget'!E11+'Measure 2 Budget'!E12+'Measure 3 Budget'!E12+'Measure 4 Budget'!E9</f>
        <v>195058.35</v>
      </c>
      <c r="F7" s="47">
        <f>'Measure 1 Budget'!F11+'Measure 2 Budget'!F12+'Measure 3 Budget'!F12+'Measure 4 Budget'!F9</f>
        <v>144794.23642857143</v>
      </c>
      <c r="G7" s="47">
        <f>'Measure 1 Budget'!G11+'Measure 2 Budget'!G12+'Measure 3 Budget'!G12+'Measure 4 Budget'!G9</f>
        <v>65681.038896428581</v>
      </c>
      <c r="H7" s="47">
        <f>'Measure 1 Budget'!H11+'Measure 2 Budget'!H12+'Measure 3 Budget'!H12+'Measure 4 Budget'!H9</f>
        <v>67651.470063321438</v>
      </c>
      <c r="I7" s="47"/>
      <c r="J7" s="47">
        <f>SUM(D7:I7)</f>
        <v>670435.09538832132</v>
      </c>
      <c r="K7"/>
      <c r="L7"/>
      <c r="M7" s="73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2"/>
      <c r="C8" s="46" t="s">
        <v>13</v>
      </c>
      <c r="D8" s="47">
        <f>'Measure 1 Budget'!D17+'Measure 2 Budget'!D19+'Measure 3 Budget'!D19+'Measure 4 Budget'!D13</f>
        <v>61632</v>
      </c>
      <c r="E8" s="47">
        <f>'Measure 1 Budget'!E17+'Measure 2 Budget'!E19+'Measure 3 Budget'!E19+'Measure 4 Budget'!E13</f>
        <v>60928.480349999998</v>
      </c>
      <c r="F8" s="47">
        <f>'Measure 1 Budget'!F17+'Measure 2 Budget'!F19+'Measure 3 Budget'!F19+'Measure 4 Budget'!F13</f>
        <v>44636.868465000007</v>
      </c>
      <c r="G8" s="47">
        <f>'Measure 1 Budget'!G17+'Measure 2 Budget'!G19+'Measure 3 Budget'!G19+'Measure 4 Budget'!G13</f>
        <v>19186.269614325003</v>
      </c>
      <c r="H8" s="47">
        <f>'Measure 1 Budget'!H17+'Measure 2 Budget'!H19+'Measure 3 Budget'!H19+'Measure 4 Budget'!H13</f>
        <v>19761.857702754751</v>
      </c>
      <c r="I8" s="48"/>
      <c r="J8" s="47">
        <f t="shared" ref="J8:J14" si="0">SUM(D8:I8)</f>
        <v>206145.47613207976</v>
      </c>
      <c r="M8" s="73"/>
    </row>
    <row r="9" spans="2:39" x14ac:dyDescent="0.25">
      <c r="B9" s="22"/>
      <c r="C9" s="46" t="s">
        <v>14</v>
      </c>
      <c r="D9" s="47">
        <f>'Measure 1 Budget'!D20+'Measure 2 Budget'!D22+'Measure 3 Budget'!D22+'Measure 4 Budget'!D16</f>
        <v>216</v>
      </c>
      <c r="E9" s="47">
        <f>'Measure 1 Budget'!E20+'Measure 2 Budget'!E22+'Measure 3 Budget'!E22+'Measure 4 Budget'!E16</f>
        <v>216</v>
      </c>
      <c r="F9" s="47">
        <f>'Measure 1 Budget'!F20+'Measure 2 Budget'!F22+'Measure 3 Budget'!F22+'Measure 4 Budget'!F16</f>
        <v>216</v>
      </c>
      <c r="G9" s="47">
        <f>'Measure 1 Budget'!G20+'Measure 2 Budget'!G22+'Measure 3 Budget'!G22+'Measure 4 Budget'!G16</f>
        <v>216</v>
      </c>
      <c r="H9" s="47">
        <f>'Measure 1 Budget'!H20+'Measure 2 Budget'!H22+'Measure 3 Budget'!H22+'Measure 4 Budget'!H16</f>
        <v>216</v>
      </c>
      <c r="I9" s="48"/>
      <c r="J9" s="47">
        <f t="shared" si="0"/>
        <v>1080</v>
      </c>
      <c r="M9" s="73"/>
    </row>
    <row r="10" spans="2:39" x14ac:dyDescent="0.25">
      <c r="B10" s="22"/>
      <c r="C10" s="46" t="s">
        <v>15</v>
      </c>
      <c r="D10" s="47">
        <f>'Measure 1 Budget'!D23+'Measure 2 Budget'!D25+'Measure 3 Budget'!D25+'Measure 4 Budget'!D19</f>
        <v>0</v>
      </c>
      <c r="E10" s="47">
        <f>'Measure 1 Budget'!E23+'Measure 2 Budget'!E25+'Measure 3 Budget'!E25+'Measure 4 Budget'!E19</f>
        <v>0</v>
      </c>
      <c r="F10" s="47">
        <f>'Measure 1 Budget'!F23+'Measure 2 Budget'!F25+'Measure 3 Budget'!F25+'Measure 4 Budget'!F19</f>
        <v>0</v>
      </c>
      <c r="G10" s="47">
        <f>'Measure 1 Budget'!G23+'Measure 2 Budget'!G25+'Measure 3 Budget'!G25+'Measure 4 Budget'!G19</f>
        <v>0</v>
      </c>
      <c r="H10" s="47">
        <f>'Measure 1 Budget'!H23+'Measure 2 Budget'!H25+'Measure 3 Budget'!H25+'Measure 4 Budget'!H19</f>
        <v>0</v>
      </c>
      <c r="I10" s="48"/>
      <c r="J10" s="47">
        <f t="shared" si="0"/>
        <v>0</v>
      </c>
      <c r="M10" s="73"/>
    </row>
    <row r="11" spans="2:39" x14ac:dyDescent="0.25">
      <c r="B11" s="22"/>
      <c r="C11" s="46" t="s">
        <v>16</v>
      </c>
      <c r="D11" s="47">
        <f>'Measure 1 Budget'!D26+'Measure 2 Budget'!D28+'Measure 3 Budget'!D28+'Measure 4 Budget'!D22</f>
        <v>0</v>
      </c>
      <c r="E11" s="47">
        <f>'Measure 1 Budget'!E26+'Measure 2 Budget'!E28+'Measure 3 Budget'!E28+'Measure 4 Budget'!E22</f>
        <v>0</v>
      </c>
      <c r="F11" s="47">
        <f>'Measure 1 Budget'!F26+'Measure 2 Budget'!F28+'Measure 3 Budget'!F28+'Measure 4 Budget'!F22</f>
        <v>0</v>
      </c>
      <c r="G11" s="47">
        <f>'Measure 1 Budget'!G26+'Measure 2 Budget'!G28+'Measure 3 Budget'!G28+'Measure 4 Budget'!G22</f>
        <v>0</v>
      </c>
      <c r="H11" s="47">
        <f>'Measure 1 Budget'!H26+'Measure 2 Budget'!H28+'Measure 3 Budget'!H28+'Measure 4 Budget'!H22</f>
        <v>0</v>
      </c>
      <c r="I11" s="48"/>
      <c r="J11" s="47">
        <f t="shared" si="0"/>
        <v>0</v>
      </c>
      <c r="M11" s="73"/>
    </row>
    <row r="12" spans="2:39" x14ac:dyDescent="0.25">
      <c r="B12" s="22"/>
      <c r="C12" s="46" t="s">
        <v>17</v>
      </c>
      <c r="D12" s="47">
        <f>'Measure 1 Budget'!D29+'Measure 2 Budget'!D31+'Measure 3 Budget'!D31+'Measure 4 Budget'!D25</f>
        <v>300000</v>
      </c>
      <c r="E12" s="47">
        <f>'Measure 1 Budget'!E29+'Measure 2 Budget'!E31+'Measure 3 Budget'!E31+'Measure 4 Budget'!E25</f>
        <v>1000000</v>
      </c>
      <c r="F12" s="47">
        <f>'Measure 1 Budget'!F29+'Measure 2 Budget'!F31+'Measure 3 Budget'!F31+'Measure 4 Budget'!F25</f>
        <v>600000</v>
      </c>
      <c r="G12" s="47">
        <f>'Measure 1 Budget'!G29+'Measure 2 Budget'!G31+'Measure 3 Budget'!G31+'Measure 4 Budget'!G25</f>
        <v>0</v>
      </c>
      <c r="H12" s="47">
        <f>'Measure 1 Budget'!H29+'Measure 2 Budget'!H31+'Measure 3 Budget'!H31+'Measure 4 Budget'!H25</f>
        <v>0</v>
      </c>
      <c r="I12" s="48"/>
      <c r="J12" s="47">
        <f t="shared" si="0"/>
        <v>1900000</v>
      </c>
      <c r="M12" s="73"/>
    </row>
    <row r="13" spans="2:39" x14ac:dyDescent="0.25">
      <c r="B13" s="22"/>
      <c r="C13" s="46" t="s">
        <v>18</v>
      </c>
      <c r="D13" s="47">
        <f>'Measure 1 Budget'!D39+'Measure 2 Budget'!D36+'Measure 3 Budget'!D38+'Measure 4 Budget'!D31</f>
        <v>14457750</v>
      </c>
      <c r="E13" s="47">
        <f>'Measure 1 Budget'!E39+'Measure 2 Budget'!E36+'Measure 3 Budget'!E38+'Measure 4 Budget'!E31</f>
        <v>31217500</v>
      </c>
      <c r="F13" s="47">
        <f>'Measure 1 Budget'!F39+'Measure 2 Budget'!F36+'Measure 3 Budget'!F38+'Measure 4 Budget'!F31</f>
        <v>132875</v>
      </c>
      <c r="G13" s="47">
        <f>'Measure 1 Budget'!G39+'Measure 2 Budget'!G36+'Measure 3 Budget'!G38+'Measure 4 Budget'!G31</f>
        <v>75000</v>
      </c>
      <c r="H13" s="47">
        <f>'Measure 1 Budget'!H39+'Measure 2 Budget'!H36+'Measure 3 Budget'!H38+'Measure 4 Budget'!H31</f>
        <v>70000</v>
      </c>
      <c r="I13" s="48"/>
      <c r="J13" s="47">
        <f t="shared" si="0"/>
        <v>45953125</v>
      </c>
      <c r="M13" s="73"/>
    </row>
    <row r="14" spans="2:39" x14ac:dyDescent="0.25">
      <c r="B14" s="23"/>
      <c r="C14" s="9" t="s">
        <v>19</v>
      </c>
      <c r="D14" s="15">
        <f>D13+D12+D11+D10+D9+D8+D7</f>
        <v>15016848</v>
      </c>
      <c r="E14" s="15">
        <f>E13+E12+E11+E10+E9+E8+E7</f>
        <v>32473702.83035</v>
      </c>
      <c r="F14" s="15">
        <f>F13+F12+F11+F10+F9+F8+F7</f>
        <v>922522.10489357146</v>
      </c>
      <c r="G14" s="15">
        <f>G13+G12+G11+G10+G9+G8+G7</f>
        <v>160083.30851075359</v>
      </c>
      <c r="H14" s="15">
        <f>H13+H12+H11+H10+H9+H8+H7</f>
        <v>157629.3277660762</v>
      </c>
      <c r="J14" s="15">
        <f t="shared" si="0"/>
        <v>48730785.571520396</v>
      </c>
      <c r="M14" s="73"/>
    </row>
    <row r="15" spans="2:39" x14ac:dyDescent="0.25">
      <c r="B15" s="58"/>
      <c r="D15"/>
      <c r="E15"/>
      <c r="H15"/>
      <c r="I15"/>
      <c r="J15" s="72" t="s">
        <v>20</v>
      </c>
    </row>
    <row r="16" spans="2:39" ht="20.100000000000001" customHeight="1" x14ac:dyDescent="0.25">
      <c r="B16" s="58"/>
      <c r="C16" s="9" t="s">
        <v>21</v>
      </c>
      <c r="D16" s="54">
        <f>'Measure 1 Budget'!D45+'Measure 2 Budget'!D42+'Measure 3 Budget'!D44+'Measure 4 Budget'!D37</f>
        <v>179300.25</v>
      </c>
      <c r="E16" s="54">
        <f>'Measure 1 Budget'!E45+'Measure 2 Budget'!E42+'Measure 3 Budget'!E44+'Measure 4 Budget'!E37</f>
        <v>177308.04015000002</v>
      </c>
      <c r="F16" s="54">
        <f>'Measure 1 Budget'!F45+'Measure 2 Budget'!F42+'Measure 3 Budget'!F44+'Measure 4 Budget'!F37</f>
        <v>129678.54448500001</v>
      </c>
      <c r="G16" s="54">
        <f>'Measure 1 Budget'!G45+'Measure 2 Budget'!G42+'Measure 3 Budget'!G44+'Measure 4 Budget'!G37</f>
        <v>57706.465435425009</v>
      </c>
      <c r="H16" s="54">
        <f>'Measure 1 Budget'!H45+'Measure 2 Budget'!H42+'Measure 3 Budget'!H44+'Measure 4 Budget'!H37</f>
        <v>59437.659398487755</v>
      </c>
      <c r="J16" s="54">
        <f>SUM(D16:H16)</f>
        <v>603430.9594689128</v>
      </c>
    </row>
    <row r="17" spans="2:10" ht="15.75" thickBot="1" x14ac:dyDescent="0.3">
      <c r="B17" s="58"/>
      <c r="D17"/>
      <c r="E17"/>
      <c r="H17"/>
      <c r="I17"/>
      <c r="J17" s="72" t="s">
        <v>20</v>
      </c>
    </row>
    <row r="18" spans="2:10" ht="30.95" customHeight="1" thickBot="1" x14ac:dyDescent="0.3">
      <c r="B18" s="57" t="s">
        <v>22</v>
      </c>
      <c r="C18" s="18"/>
      <c r="D18" s="49">
        <f>D14+D16</f>
        <v>15196148.25</v>
      </c>
      <c r="E18" s="49">
        <f>E14+E16</f>
        <v>32651010.870500002</v>
      </c>
      <c r="F18" s="49">
        <f>F14+F16</f>
        <v>1052200.6493785714</v>
      </c>
      <c r="G18" s="49">
        <f>G14+G16</f>
        <v>217789.77394617861</v>
      </c>
      <c r="H18" s="49">
        <f>H14+H16</f>
        <v>217066.98716456397</v>
      </c>
      <c r="I18" s="50"/>
      <c r="J18" s="61">
        <f>J14+J16</f>
        <v>49334216.530989312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0" t="s">
        <v>23</v>
      </c>
      <c r="C21" s="41"/>
      <c r="D21" s="41"/>
      <c r="E21" s="70"/>
      <c r="F21" s="70"/>
      <c r="H21"/>
      <c r="I21"/>
    </row>
    <row r="22" spans="2:10" ht="29.1" customHeight="1" x14ac:dyDescent="0.25">
      <c r="B22" s="42" t="s">
        <v>24</v>
      </c>
      <c r="C22" s="42" t="s">
        <v>25</v>
      </c>
      <c r="D22" s="51" t="s">
        <v>26</v>
      </c>
      <c r="E22" s="71" t="s">
        <v>27</v>
      </c>
      <c r="F22" s="71"/>
      <c r="H22"/>
      <c r="I22"/>
    </row>
    <row r="23" spans="2:10" ht="15" customHeight="1" x14ac:dyDescent="0.25">
      <c r="B23" s="46">
        <v>1</v>
      </c>
      <c r="C23" s="52" t="s">
        <v>28</v>
      </c>
      <c r="D23" s="53">
        <f>'Measure 1 Budget'!J47</f>
        <v>46087359.476967841</v>
      </c>
      <c r="E23" s="69">
        <f>D23/D$27</f>
        <v>0.93418650822230132</v>
      </c>
      <c r="F23" s="69"/>
      <c r="H23"/>
      <c r="I23"/>
    </row>
    <row r="24" spans="2:10" ht="15" customHeight="1" x14ac:dyDescent="0.25">
      <c r="B24" s="46">
        <v>2</v>
      </c>
      <c r="C24" s="47" t="s">
        <v>29</v>
      </c>
      <c r="D24" s="53">
        <f>'Measure 2 Budget'!J44</f>
        <v>2354131.5007973951</v>
      </c>
      <c r="E24" s="69">
        <f>D24/D$27</f>
        <v>4.7718027493527666E-2</v>
      </c>
      <c r="F24" s="69"/>
      <c r="H24"/>
      <c r="I24"/>
    </row>
    <row r="25" spans="2:10" ht="15" customHeight="1" x14ac:dyDescent="0.25">
      <c r="B25" s="46">
        <v>3</v>
      </c>
      <c r="C25" s="47" t="s">
        <v>86</v>
      </c>
      <c r="D25" s="53">
        <f>'Measure 3 Budget'!J46</f>
        <v>314869.51142857142</v>
      </c>
      <c r="E25" s="69">
        <f>D25/D$27</f>
        <v>6.3823758350512365E-3</v>
      </c>
      <c r="F25" s="69"/>
      <c r="H25"/>
      <c r="I25"/>
    </row>
    <row r="26" spans="2:10" ht="15" customHeight="1" x14ac:dyDescent="0.25">
      <c r="B26" s="46">
        <v>4</v>
      </c>
      <c r="C26" s="47" t="s">
        <v>87</v>
      </c>
      <c r="D26" s="53">
        <f>'Measure 4 Budget'!J39</f>
        <v>577856.04179549997</v>
      </c>
      <c r="E26" s="69">
        <f>D26/D$27</f>
        <v>1.1713088449119677E-2</v>
      </c>
      <c r="F26" s="69"/>
      <c r="H26"/>
      <c r="I26"/>
    </row>
    <row r="27" spans="2:10" ht="15" customHeight="1" x14ac:dyDescent="0.25">
      <c r="B27" s="46" t="s">
        <v>30</v>
      </c>
      <c r="C27" s="47"/>
      <c r="D27" s="53">
        <f>SUM(D23:D26)</f>
        <v>49334216.530989312</v>
      </c>
      <c r="E27" s="69">
        <f>SUM(E23:E26)</f>
        <v>0.99999999999999989</v>
      </c>
      <c r="F27" s="69"/>
      <c r="H27"/>
      <c r="I27"/>
    </row>
    <row r="28" spans="2:10" ht="15" customHeight="1" x14ac:dyDescent="0.25">
      <c r="H28"/>
      <c r="I28"/>
    </row>
  </sheetData>
  <mergeCells count="8">
    <mergeCell ref="B3:J3"/>
    <mergeCell ref="E27:F27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2"/>
  <sheetViews>
    <sheetView showGridLines="0" zoomScale="85" zoomScaleNormal="85" workbookViewId="0">
      <selection activeCell="M31" sqref="M31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47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26" t="s">
        <v>31</v>
      </c>
    </row>
    <row r="3" spans="2:39" x14ac:dyDescent="0.25">
      <c r="B3" s="5"/>
    </row>
    <row r="4" spans="2:39" ht="18.75" x14ac:dyDescent="0.3">
      <c r="B4" s="32" t="s">
        <v>2</v>
      </c>
      <c r="C4" s="33"/>
      <c r="D4" s="33"/>
      <c r="E4" s="33"/>
      <c r="F4" s="33"/>
      <c r="G4" s="33"/>
      <c r="H4" s="33"/>
      <c r="I4" s="33"/>
      <c r="J4" s="34"/>
    </row>
    <row r="5" spans="2:39" ht="30" x14ac:dyDescent="0.25">
      <c r="B5" s="35" t="s">
        <v>3</v>
      </c>
      <c r="C5" s="35" t="s">
        <v>4</v>
      </c>
      <c r="D5" s="35" t="s">
        <v>5</v>
      </c>
      <c r="E5" s="36" t="s">
        <v>6</v>
      </c>
      <c r="F5" s="36" t="s">
        <v>7</v>
      </c>
      <c r="G5" s="36" t="s">
        <v>8</v>
      </c>
      <c r="H5" s="37" t="s">
        <v>9</v>
      </c>
      <c r="I5" s="38"/>
      <c r="J5" s="39" t="s">
        <v>10</v>
      </c>
    </row>
    <row r="6" spans="2:39" s="5" customFormat="1" ht="16.5" customHeight="1" x14ac:dyDescent="0.25">
      <c r="B6" s="62" t="s">
        <v>11</v>
      </c>
      <c r="C6" s="25" t="s">
        <v>32</v>
      </c>
      <c r="D6" s="10" t="s">
        <v>33</v>
      </c>
      <c r="E6" s="10" t="s">
        <v>33</v>
      </c>
      <c r="F6" s="10" t="s">
        <v>33</v>
      </c>
      <c r="G6" s="10"/>
      <c r="H6" s="10" t="s">
        <v>33</v>
      </c>
      <c r="I6" s="7"/>
      <c r="J6" s="8" t="s">
        <v>33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s="5" customFormat="1" ht="16.5" customHeight="1" x14ac:dyDescent="0.25">
      <c r="B7" s="66"/>
      <c r="C7" s="63" t="s">
        <v>79</v>
      </c>
      <c r="D7" s="14">
        <f>0.05*121000</f>
        <v>6050</v>
      </c>
      <c r="E7" s="14">
        <f t="shared" ref="E7:F10" si="0">D7*1.03</f>
        <v>6231.5</v>
      </c>
      <c r="F7" s="14">
        <f t="shared" si="0"/>
        <v>6418.4450000000006</v>
      </c>
      <c r="G7" s="14">
        <f>F7/2*1.03</f>
        <v>3305.4991750000004</v>
      </c>
      <c r="H7" s="14">
        <f>G7*1.03</f>
        <v>3404.6641502500006</v>
      </c>
      <c r="I7" s="7"/>
      <c r="J7" s="14">
        <f>SUM(D7:H7)</f>
        <v>25410.108325250003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2"/>
      <c r="C8" s="63" t="s">
        <v>78</v>
      </c>
      <c r="D8" s="14">
        <f>0.15*105000</f>
        <v>15750</v>
      </c>
      <c r="E8" s="14">
        <f t="shared" si="0"/>
        <v>16222.5</v>
      </c>
      <c r="F8" s="14">
        <f t="shared" si="0"/>
        <v>16709.174999999999</v>
      </c>
      <c r="G8" s="14">
        <f>F8/2*1.03</f>
        <v>8605.225124999999</v>
      </c>
      <c r="H8" s="14">
        <f>G8*1.03</f>
        <v>8863.3818787499986</v>
      </c>
      <c r="I8" s="31"/>
      <c r="J8" s="14">
        <f>SUM(D8:H8)</f>
        <v>66150.282003750006</v>
      </c>
    </row>
    <row r="9" spans="2:39" x14ac:dyDescent="0.25">
      <c r="B9" s="22"/>
      <c r="C9" s="63" t="s">
        <v>77</v>
      </c>
      <c r="D9" s="14">
        <f>0.25*78500</f>
        <v>19625</v>
      </c>
      <c r="E9" s="14">
        <f t="shared" si="0"/>
        <v>20213.75</v>
      </c>
      <c r="F9" s="14">
        <f t="shared" si="0"/>
        <v>20820.162500000002</v>
      </c>
      <c r="G9" s="14">
        <f>F9/2*1.03</f>
        <v>10722.383687500002</v>
      </c>
      <c r="H9" s="14">
        <f>G9*1.03</f>
        <v>11044.055198125001</v>
      </c>
      <c r="I9" s="31"/>
      <c r="J9" s="14">
        <f t="shared" ref="J9:J10" si="1">SUM(D9:H9)</f>
        <v>82425.351385625007</v>
      </c>
    </row>
    <row r="10" spans="2:39" x14ac:dyDescent="0.25">
      <c r="B10" s="22"/>
      <c r="C10" s="63" t="s">
        <v>81</v>
      </c>
      <c r="D10" s="14">
        <f>0.4*72500</f>
        <v>29000</v>
      </c>
      <c r="E10" s="14">
        <f t="shared" si="0"/>
        <v>29870</v>
      </c>
      <c r="F10" s="14">
        <f t="shared" si="0"/>
        <v>30766.100000000002</v>
      </c>
      <c r="G10" s="14">
        <f>F10/3*1.03</f>
        <v>10563.027666666667</v>
      </c>
      <c r="H10" s="14">
        <f>G10*1.03</f>
        <v>10879.918496666667</v>
      </c>
      <c r="J10" s="14">
        <f t="shared" si="1"/>
        <v>111079.04616333333</v>
      </c>
    </row>
    <row r="11" spans="2:39" x14ac:dyDescent="0.25">
      <c r="B11" s="22"/>
      <c r="C11" s="9" t="s">
        <v>12</v>
      </c>
      <c r="D11" s="15">
        <f>SUM(D7:D10)</f>
        <v>70425</v>
      </c>
      <c r="E11" s="15">
        <f t="shared" ref="E11:J11" si="2">SUM(E7:E10)</f>
        <v>72537.75</v>
      </c>
      <c r="F11" s="15">
        <f t="shared" si="2"/>
        <v>74713.882500000007</v>
      </c>
      <c r="G11" s="15">
        <f t="shared" si="2"/>
        <v>33196.135654166668</v>
      </c>
      <c r="H11" s="15">
        <f t="shared" si="2"/>
        <v>34192.019723791665</v>
      </c>
      <c r="J11" s="15">
        <f t="shared" si="2"/>
        <v>285064.78787795838</v>
      </c>
    </row>
    <row r="12" spans="2:39" x14ac:dyDescent="0.25">
      <c r="B12" s="22"/>
      <c r="C12" s="13" t="s">
        <v>34</v>
      </c>
      <c r="D12" s="12" t="s">
        <v>33</v>
      </c>
      <c r="E12" s="10"/>
      <c r="F12" s="10"/>
      <c r="G12" s="10"/>
      <c r="H12" s="10"/>
      <c r="J12" s="8" t="s">
        <v>33</v>
      </c>
    </row>
    <row r="13" spans="2:39" x14ac:dyDescent="0.25">
      <c r="B13" s="22"/>
      <c r="C13" s="63" t="s">
        <v>35</v>
      </c>
      <c r="D13" s="14">
        <f t="shared" ref="D13:H13" si="3">D7*0.321</f>
        <v>1942.05</v>
      </c>
      <c r="E13" s="14">
        <f t="shared" si="3"/>
        <v>2000.3115</v>
      </c>
      <c r="F13" s="14">
        <f t="shared" si="3"/>
        <v>2060.3208450000002</v>
      </c>
      <c r="G13" s="14">
        <f t="shared" si="3"/>
        <v>1061.0652351750002</v>
      </c>
      <c r="H13" s="14">
        <f t="shared" si="3"/>
        <v>1092.8971922302503</v>
      </c>
      <c r="J13" s="14">
        <f t="shared" ref="J13:J15" si="4">SUM(D13:H13)</f>
        <v>8156.6447724052505</v>
      </c>
    </row>
    <row r="14" spans="2:39" x14ac:dyDescent="0.25">
      <c r="B14" s="22"/>
      <c r="C14" s="63" t="s">
        <v>80</v>
      </c>
      <c r="D14" s="14">
        <f t="shared" ref="D14:H14" si="5">D8*0.321</f>
        <v>5055.75</v>
      </c>
      <c r="E14" s="14">
        <f t="shared" si="5"/>
        <v>5207.4224999999997</v>
      </c>
      <c r="F14" s="14">
        <f t="shared" si="5"/>
        <v>5363.6451749999997</v>
      </c>
      <c r="G14" s="14">
        <f t="shared" si="5"/>
        <v>2762.2772651249998</v>
      </c>
      <c r="H14" s="14">
        <f t="shared" si="5"/>
        <v>2845.1455830787495</v>
      </c>
      <c r="J14" s="14">
        <f t="shared" si="4"/>
        <v>21234.240523203749</v>
      </c>
    </row>
    <row r="15" spans="2:39" x14ac:dyDescent="0.25">
      <c r="B15" s="22"/>
      <c r="C15" s="63" t="s">
        <v>36</v>
      </c>
      <c r="D15" s="14">
        <f t="shared" ref="D15:H16" si="6">D9*0.321</f>
        <v>6299.625</v>
      </c>
      <c r="E15" s="14">
        <f t="shared" si="6"/>
        <v>6488.6137500000004</v>
      </c>
      <c r="F15" s="14">
        <f t="shared" si="6"/>
        <v>6683.2721625000013</v>
      </c>
      <c r="G15" s="14">
        <f t="shared" si="6"/>
        <v>3441.8851636875006</v>
      </c>
      <c r="H15" s="14">
        <f t="shared" si="6"/>
        <v>3545.1417185981254</v>
      </c>
      <c r="J15" s="14">
        <f t="shared" si="4"/>
        <v>26458.537794785629</v>
      </c>
    </row>
    <row r="16" spans="2:39" x14ac:dyDescent="0.25">
      <c r="B16" s="22"/>
      <c r="C16" s="63" t="s">
        <v>37</v>
      </c>
      <c r="D16" s="14">
        <f t="shared" si="6"/>
        <v>9309</v>
      </c>
      <c r="E16" s="14">
        <f t="shared" si="6"/>
        <v>9588.27</v>
      </c>
      <c r="F16" s="14">
        <f t="shared" si="6"/>
        <v>9875.9181000000008</v>
      </c>
      <c r="G16" s="14">
        <f t="shared" si="6"/>
        <v>3390.7318810000002</v>
      </c>
      <c r="H16" s="14">
        <f t="shared" si="6"/>
        <v>3492.45383743</v>
      </c>
      <c r="J16" s="14">
        <f>SUM(D16:H16)</f>
        <v>35656.373818430002</v>
      </c>
    </row>
    <row r="17" spans="2:10" x14ac:dyDescent="0.25">
      <c r="B17" s="22"/>
      <c r="C17" s="9" t="s">
        <v>13</v>
      </c>
      <c r="D17" s="15">
        <f>SUM(D13:D16)</f>
        <v>22606.424999999999</v>
      </c>
      <c r="E17" s="15">
        <f>SUM(E13:E16)</f>
        <v>23284.617750000001</v>
      </c>
      <c r="F17" s="15">
        <f>SUM(F13:F16)</f>
        <v>23983.1562825</v>
      </c>
      <c r="G17" s="15">
        <f>SUM(G13:G16)</f>
        <v>10655.959544987501</v>
      </c>
      <c r="H17" s="15">
        <f>SUM(H13:H16)</f>
        <v>10975.638331337126</v>
      </c>
      <c r="J17" s="15">
        <f>SUM(J13:J16)</f>
        <v>91505.796908824632</v>
      </c>
    </row>
    <row r="18" spans="2:10" x14ac:dyDescent="0.25">
      <c r="B18" s="22"/>
      <c r="C18" s="13" t="s">
        <v>38</v>
      </c>
      <c r="D18" s="12" t="s">
        <v>33</v>
      </c>
      <c r="E18" s="10"/>
      <c r="F18" s="10"/>
      <c r="G18" s="10"/>
      <c r="H18" s="10"/>
      <c r="J18" s="8" t="s">
        <v>33</v>
      </c>
    </row>
    <row r="19" spans="2:10" ht="30" x14ac:dyDescent="0.25">
      <c r="B19" s="22"/>
      <c r="C19" s="64" t="s">
        <v>88</v>
      </c>
      <c r="D19" s="14">
        <f>200*0.54</f>
        <v>108</v>
      </c>
      <c r="E19" s="14">
        <f t="shared" ref="E19:H19" si="7">200*0.54</f>
        <v>108</v>
      </c>
      <c r="F19" s="14">
        <f t="shared" si="7"/>
        <v>108</v>
      </c>
      <c r="G19" s="14">
        <f t="shared" si="7"/>
        <v>108</v>
      </c>
      <c r="H19" s="14">
        <f t="shared" si="7"/>
        <v>108</v>
      </c>
      <c r="J19" s="14">
        <f>SUM(D19:H19)</f>
        <v>540</v>
      </c>
    </row>
    <row r="20" spans="2:10" x14ac:dyDescent="0.25">
      <c r="B20" s="22"/>
      <c r="C20" s="9" t="s">
        <v>14</v>
      </c>
      <c r="D20" s="15">
        <f>D19</f>
        <v>108</v>
      </c>
      <c r="E20" s="15">
        <f t="shared" ref="E20:H20" si="8">E19</f>
        <v>108</v>
      </c>
      <c r="F20" s="15">
        <f t="shared" si="8"/>
        <v>108</v>
      </c>
      <c r="G20" s="15">
        <f t="shared" si="8"/>
        <v>108</v>
      </c>
      <c r="H20" s="15">
        <f t="shared" si="8"/>
        <v>108</v>
      </c>
      <c r="J20" s="15">
        <f>SUM(J19:J19)</f>
        <v>540</v>
      </c>
    </row>
    <row r="21" spans="2:10" x14ac:dyDescent="0.25">
      <c r="B21" s="22"/>
      <c r="C21" s="13" t="s">
        <v>39</v>
      </c>
      <c r="D21" s="14"/>
      <c r="E21" s="10"/>
      <c r="F21" s="10"/>
      <c r="G21" s="10"/>
      <c r="H21" s="10"/>
      <c r="J21" s="14" t="s">
        <v>20</v>
      </c>
    </row>
    <row r="22" spans="2:10" x14ac:dyDescent="0.25">
      <c r="B22" s="22"/>
      <c r="C22" s="24" t="s">
        <v>40</v>
      </c>
      <c r="D22" s="14"/>
      <c r="E22" s="10"/>
      <c r="F22" s="10"/>
      <c r="G22" s="10"/>
      <c r="H22" s="10"/>
      <c r="J22" s="14">
        <f>SUM(D22:H22)</f>
        <v>0</v>
      </c>
    </row>
    <row r="23" spans="2:10" x14ac:dyDescent="0.25">
      <c r="B23" s="22"/>
      <c r="C23" s="9" t="s">
        <v>15</v>
      </c>
      <c r="D23" s="11">
        <f>SUM(D22:D22)</f>
        <v>0</v>
      </c>
      <c r="E23" s="11">
        <f>SUM(E22:E22)</f>
        <v>0</v>
      </c>
      <c r="F23" s="11">
        <f>SUM(F22:F22)</f>
        <v>0</v>
      </c>
      <c r="G23" s="11">
        <f>SUM(G22:G22)</f>
        <v>0</v>
      </c>
      <c r="H23" s="11">
        <f>SUM(H22:H22)</f>
        <v>0</v>
      </c>
      <c r="J23" s="15">
        <f>SUM(J22:J22)</f>
        <v>0</v>
      </c>
    </row>
    <row r="24" spans="2:10" x14ac:dyDescent="0.25">
      <c r="B24" s="22"/>
      <c r="C24" s="13" t="s">
        <v>41</v>
      </c>
      <c r="D24" s="12" t="s">
        <v>33</v>
      </c>
      <c r="E24" s="10"/>
      <c r="F24" s="10"/>
      <c r="G24" s="10"/>
      <c r="H24" s="10"/>
      <c r="J24" s="14"/>
    </row>
    <row r="25" spans="2:10" x14ac:dyDescent="0.25">
      <c r="B25" s="22"/>
      <c r="C25" s="24" t="s">
        <v>40</v>
      </c>
      <c r="D25" s="14"/>
      <c r="E25" s="14"/>
      <c r="F25" s="14"/>
      <c r="G25" s="14"/>
      <c r="H25" s="14"/>
      <c r="I25" s="31"/>
      <c r="J25" s="14">
        <f t="shared" ref="J25:J38" si="9">SUM(D25:H25)</f>
        <v>0</v>
      </c>
    </row>
    <row r="26" spans="2:10" x14ac:dyDescent="0.25">
      <c r="B26" s="22"/>
      <c r="C26" s="9" t="s">
        <v>16</v>
      </c>
      <c r="D26" s="15">
        <f>SUM(D25:D25)</f>
        <v>0</v>
      </c>
      <c r="E26" s="15">
        <f>SUM(E25:E25)</f>
        <v>0</v>
      </c>
      <c r="F26" s="15">
        <f>SUM(F25:F25)</f>
        <v>0</v>
      </c>
      <c r="G26" s="15">
        <f>SUM(G25:G25)</f>
        <v>0</v>
      </c>
      <c r="H26" s="15">
        <f>SUM(H25:H25)</f>
        <v>0</v>
      </c>
      <c r="J26" s="15">
        <f>SUM(J25:J25)</f>
        <v>0</v>
      </c>
    </row>
    <row r="27" spans="2:10" x14ac:dyDescent="0.25">
      <c r="B27" s="22"/>
      <c r="C27" s="13" t="s">
        <v>42</v>
      </c>
      <c r="D27" s="12" t="s">
        <v>33</v>
      </c>
      <c r="E27" s="10"/>
      <c r="F27" s="10"/>
      <c r="G27" s="10"/>
      <c r="H27" s="10"/>
      <c r="J27" s="14"/>
    </row>
    <row r="28" spans="2:10" x14ac:dyDescent="0.25">
      <c r="B28" s="22"/>
      <c r="C28" s="24" t="s">
        <v>40</v>
      </c>
      <c r="D28" s="14"/>
      <c r="E28" s="14"/>
      <c r="F28" s="14"/>
      <c r="G28" s="14"/>
      <c r="H28" s="14"/>
      <c r="I28" s="31"/>
      <c r="J28" s="14">
        <f t="shared" si="9"/>
        <v>0</v>
      </c>
    </row>
    <row r="29" spans="2:10" x14ac:dyDescent="0.25">
      <c r="B29" s="22"/>
      <c r="C29" s="9" t="s">
        <v>17</v>
      </c>
      <c r="D29" s="15">
        <f>SUM(D28:D28)</f>
        <v>0</v>
      </c>
      <c r="E29" s="15">
        <f>SUM(E28:E28)</f>
        <v>0</v>
      </c>
      <c r="F29" s="15">
        <f>SUM(F28:F28)</f>
        <v>0</v>
      </c>
      <c r="G29" s="15">
        <f>SUM(G28:G28)</f>
        <v>0</v>
      </c>
      <c r="H29" s="15">
        <f>SUM(H28:H28)</f>
        <v>0</v>
      </c>
      <c r="J29" s="15">
        <f>SUM(J28:J28)</f>
        <v>0</v>
      </c>
    </row>
    <row r="30" spans="2:10" x14ac:dyDescent="0.25">
      <c r="B30" s="22"/>
      <c r="C30" s="13" t="s">
        <v>43</v>
      </c>
      <c r="D30" s="12" t="s">
        <v>33</v>
      </c>
      <c r="E30" s="10"/>
      <c r="F30" s="10"/>
      <c r="G30" s="10"/>
      <c r="H30" s="10"/>
      <c r="J30" s="14"/>
    </row>
    <row r="31" spans="2:10" ht="45" x14ac:dyDescent="0.25">
      <c r="B31" s="22"/>
      <c r="C31" s="63" t="s">
        <v>44</v>
      </c>
      <c r="D31" s="14">
        <v>9000000</v>
      </c>
      <c r="E31" s="14">
        <v>20000000</v>
      </c>
      <c r="F31" s="14"/>
      <c r="G31" s="14"/>
      <c r="H31" s="14"/>
      <c r="J31" s="14">
        <f t="shared" si="9"/>
        <v>29000000</v>
      </c>
    </row>
    <row r="32" spans="2:10" ht="45" x14ac:dyDescent="0.25">
      <c r="B32" s="22"/>
      <c r="C32" s="63" t="s">
        <v>45</v>
      </c>
      <c r="D32" s="14">
        <v>2500000</v>
      </c>
      <c r="E32" s="14">
        <v>5500000</v>
      </c>
      <c r="F32" s="14"/>
      <c r="G32" s="14"/>
      <c r="H32" s="14"/>
      <c r="J32" s="14">
        <f t="shared" si="9"/>
        <v>8000000</v>
      </c>
    </row>
    <row r="33" spans="2:10" ht="45" x14ac:dyDescent="0.25">
      <c r="B33" s="22"/>
      <c r="C33" s="63" t="s">
        <v>46</v>
      </c>
      <c r="D33" s="14">
        <v>2500000</v>
      </c>
      <c r="E33" s="14">
        <v>5500000</v>
      </c>
      <c r="F33" s="14"/>
      <c r="G33" s="14"/>
      <c r="H33" s="14"/>
      <c r="J33" s="14">
        <f t="shared" si="9"/>
        <v>8000000</v>
      </c>
    </row>
    <row r="34" spans="2:10" ht="45" customHeight="1" x14ac:dyDescent="0.25">
      <c r="B34" s="22"/>
      <c r="C34" s="63" t="s">
        <v>47</v>
      </c>
      <c r="D34" s="14">
        <v>230000</v>
      </c>
      <c r="E34" s="14">
        <v>70000</v>
      </c>
      <c r="F34" s="14"/>
      <c r="G34" s="14"/>
      <c r="H34" s="14"/>
      <c r="J34" s="14">
        <f t="shared" si="9"/>
        <v>300000</v>
      </c>
    </row>
    <row r="35" spans="2:10" ht="45" x14ac:dyDescent="0.25">
      <c r="B35" s="22"/>
      <c r="C35" s="63" t="s">
        <v>48</v>
      </c>
      <c r="D35" s="14">
        <v>20000</v>
      </c>
      <c r="E35" s="14">
        <v>20000</v>
      </c>
      <c r="F35" s="14"/>
      <c r="G35" s="14">
        <v>5000</v>
      </c>
      <c r="H35" s="14"/>
      <c r="J35" s="14">
        <f t="shared" si="9"/>
        <v>45000</v>
      </c>
    </row>
    <row r="36" spans="2:10" ht="45" x14ac:dyDescent="0.25">
      <c r="B36" s="22"/>
      <c r="C36" s="63" t="s">
        <v>49</v>
      </c>
      <c r="D36" s="14">
        <v>40000</v>
      </c>
      <c r="E36" s="14"/>
      <c r="F36" s="14">
        <v>60000</v>
      </c>
      <c r="G36" s="14"/>
      <c r="H36" s="14"/>
      <c r="J36" s="14">
        <f t="shared" si="9"/>
        <v>100000</v>
      </c>
    </row>
    <row r="37" spans="2:10" ht="45" x14ac:dyDescent="0.25">
      <c r="B37" s="22"/>
      <c r="C37" s="63" t="s">
        <v>50</v>
      </c>
      <c r="D37" s="14">
        <v>1250</v>
      </c>
      <c r="E37" s="14"/>
      <c r="F37" s="14">
        <v>1875</v>
      </c>
      <c r="G37" s="14"/>
      <c r="H37" s="14"/>
      <c r="J37" s="14">
        <f t="shared" si="9"/>
        <v>3125</v>
      </c>
    </row>
    <row r="38" spans="2:10" ht="30" x14ac:dyDescent="0.25">
      <c r="B38" s="22"/>
      <c r="C38" s="63" t="s">
        <v>92</v>
      </c>
      <c r="D38" s="14">
        <v>1500</v>
      </c>
      <c r="E38" s="14">
        <v>1500</v>
      </c>
      <c r="F38" s="14"/>
      <c r="G38" s="14"/>
      <c r="H38" s="14"/>
      <c r="J38" s="14">
        <f t="shared" si="9"/>
        <v>3000</v>
      </c>
    </row>
    <row r="39" spans="2:10" x14ac:dyDescent="0.25">
      <c r="B39" s="23"/>
      <c r="C39" s="9" t="s">
        <v>18</v>
      </c>
      <c r="D39" s="15">
        <f>SUM(D31:D38)</f>
        <v>14292750</v>
      </c>
      <c r="E39" s="15">
        <f>SUM(E31:E38)</f>
        <v>31091500</v>
      </c>
      <c r="F39" s="15">
        <f>SUM(F31:F37)</f>
        <v>61875</v>
      </c>
      <c r="G39" s="15">
        <f>SUM(G31:G37)</f>
        <v>5000</v>
      </c>
      <c r="H39" s="15">
        <f>SUM(H31:H37)</f>
        <v>0</v>
      </c>
      <c r="J39" s="15">
        <f>SUM(J31:J37)</f>
        <v>45448125</v>
      </c>
    </row>
    <row r="40" spans="2:10" x14ac:dyDescent="0.25">
      <c r="B40" s="23"/>
      <c r="C40" s="9" t="s">
        <v>19</v>
      </c>
      <c r="D40" s="15">
        <f>SUM(D39,D29,D26,D23,D20,D17,D11)</f>
        <v>14385889.425000001</v>
      </c>
      <c r="E40" s="15">
        <f>SUM(E39,E29,E26,E23,E20,E17,E11)</f>
        <v>31187430.36775</v>
      </c>
      <c r="F40" s="15">
        <f>SUM(F39,F29,F26,F23,F20,F17,F11)</f>
        <v>160680.03878250002</v>
      </c>
      <c r="G40" s="15">
        <f>SUM(G39,G29,G26,G23,G20,G17,G11)</f>
        <v>48960.095199154166</v>
      </c>
      <c r="H40" s="15">
        <f>SUM(H39,H29,H26,H23,H20,H17,H11)</f>
        <v>45275.658055128792</v>
      </c>
      <c r="J40" s="15">
        <f>SUM(D40:H40)</f>
        <v>45828235.58478678</v>
      </c>
    </row>
    <row r="41" spans="2:10" x14ac:dyDescent="0.25">
      <c r="B41" s="6"/>
      <c r="D41"/>
      <c r="E41"/>
      <c r="H41"/>
      <c r="I41"/>
      <c r="J41" t="s">
        <v>20</v>
      </c>
    </row>
    <row r="42" spans="2:10" ht="30" x14ac:dyDescent="0.25">
      <c r="B42" s="62" t="s">
        <v>51</v>
      </c>
      <c r="C42" s="16" t="s">
        <v>51</v>
      </c>
      <c r="D42" s="17"/>
      <c r="E42" s="17"/>
      <c r="F42" s="17"/>
      <c r="G42" s="17"/>
      <c r="H42" s="17"/>
      <c r="I42"/>
      <c r="J42" s="17" t="s">
        <v>20</v>
      </c>
    </row>
    <row r="43" spans="2:10" x14ac:dyDescent="0.25">
      <c r="B43" s="22"/>
      <c r="C43" s="24" t="s">
        <v>52</v>
      </c>
      <c r="D43" s="14">
        <f>D11*0.909</f>
        <v>64016.325000000004</v>
      </c>
      <c r="E43" s="14">
        <f>E11*0.909</f>
        <v>65936.814750000005</v>
      </c>
      <c r="F43" s="14">
        <f>F11*0.909</f>
        <v>67914.919192500005</v>
      </c>
      <c r="G43" s="14">
        <f>G11*0.909</f>
        <v>30175.287309637504</v>
      </c>
      <c r="H43" s="14">
        <f>H11*0.909</f>
        <v>31080.545928926625</v>
      </c>
      <c r="J43" s="14">
        <f>SUM(D43:H43)</f>
        <v>259123.89218106412</v>
      </c>
    </row>
    <row r="44" spans="2:10" ht="15" customHeight="1" x14ac:dyDescent="0.25">
      <c r="B44" s="22"/>
      <c r="C44" s="24" t="s">
        <v>53</v>
      </c>
      <c r="D44" s="12"/>
      <c r="E44" s="10"/>
      <c r="F44" s="10"/>
      <c r="G44" s="10"/>
      <c r="H44" s="10"/>
      <c r="J44" s="14">
        <f t="shared" ref="J44" si="10">SUM(D44:H44)</f>
        <v>0</v>
      </c>
    </row>
    <row r="45" spans="2:10" x14ac:dyDescent="0.25">
      <c r="B45" s="23"/>
      <c r="C45" s="9" t="s">
        <v>21</v>
      </c>
      <c r="D45" s="15">
        <f>SUM(D43:D44)</f>
        <v>64016.325000000004</v>
      </c>
      <c r="E45" s="15">
        <f t="shared" ref="E45:H45" si="11">SUM(E43:E44)</f>
        <v>65936.814750000005</v>
      </c>
      <c r="F45" s="15">
        <f t="shared" si="11"/>
        <v>67914.919192500005</v>
      </c>
      <c r="G45" s="15">
        <f t="shared" si="11"/>
        <v>30175.287309637504</v>
      </c>
      <c r="H45" s="15">
        <f t="shared" si="11"/>
        <v>31080.545928926625</v>
      </c>
      <c r="J45" s="15">
        <f>SUM(J43:J44)</f>
        <v>259123.89218106412</v>
      </c>
    </row>
    <row r="46" spans="2:10" ht="15.75" thickBot="1" x14ac:dyDescent="0.3">
      <c r="B46" s="6"/>
      <c r="D46"/>
      <c r="E46"/>
      <c r="H46"/>
      <c r="I46"/>
      <c r="J46" t="s">
        <v>20</v>
      </c>
    </row>
    <row r="47" spans="2:10" s="1" customFormat="1" ht="30.75" thickBot="1" x14ac:dyDescent="0.3">
      <c r="B47" s="18" t="s">
        <v>22</v>
      </c>
      <c r="C47" s="18"/>
      <c r="D47" s="19">
        <f>SUM(D45,D40)</f>
        <v>14449905.75</v>
      </c>
      <c r="E47" s="19">
        <f t="shared" ref="E47:J47" si="12">SUM(E45,E40)</f>
        <v>31253367.182500001</v>
      </c>
      <c r="F47" s="19">
        <f t="shared" si="12"/>
        <v>228594.95797500003</v>
      </c>
      <c r="G47" s="19">
        <f t="shared" si="12"/>
        <v>79135.382508791663</v>
      </c>
      <c r="H47" s="19">
        <f t="shared" si="12"/>
        <v>76356.203984055421</v>
      </c>
      <c r="I47" s="7"/>
      <c r="J47" s="19">
        <f t="shared" si="12"/>
        <v>46087359.476967841</v>
      </c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  <row r="60" spans="2:2" x14ac:dyDescent="0.25">
      <c r="B60" s="6"/>
    </row>
    <row r="61" spans="2:2" x14ac:dyDescent="0.25">
      <c r="B61" s="6"/>
    </row>
    <row r="62" spans="2:2" x14ac:dyDescent="0.25">
      <c r="B62" s="6"/>
    </row>
  </sheetData>
  <pageMargins left="0.7" right="0.7" top="0.75" bottom="0.75" header="0.3" footer="0.3"/>
  <pageSetup scale="97" fitToHeight="0" orientation="landscape" r:id="rId1"/>
  <ignoredErrors>
    <ignoredError sqref="J25 J2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59"/>
  <sheetViews>
    <sheetView showGridLines="0" zoomScale="85" zoomScaleNormal="85" workbookViewId="0">
      <pane xSplit="3" ySplit="5" topLeftCell="D22" activePane="bottomRight" state="frozen"/>
      <selection pane="topRight" activeCell="R20" sqref="R20:W20"/>
      <selection pane="bottomLeft" activeCell="R20" sqref="R20:W20"/>
      <selection pane="bottomRight" activeCell="K46" sqref="K46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26" t="s">
        <v>54</v>
      </c>
    </row>
    <row r="3" spans="2:39" x14ac:dyDescent="0.25">
      <c r="B3" s="5"/>
    </row>
    <row r="4" spans="2:39" ht="18.75" x14ac:dyDescent="0.3">
      <c r="B4" s="32" t="s">
        <v>2</v>
      </c>
      <c r="C4" s="33"/>
      <c r="D4" s="33"/>
      <c r="E4" s="33"/>
      <c r="F4" s="33"/>
      <c r="G4" s="33"/>
      <c r="H4" s="33"/>
      <c r="I4" s="33"/>
      <c r="J4" s="34"/>
    </row>
    <row r="5" spans="2:39" ht="30" x14ac:dyDescent="0.25">
      <c r="B5" s="35" t="s">
        <v>3</v>
      </c>
      <c r="C5" s="35" t="s">
        <v>4</v>
      </c>
      <c r="D5" s="35" t="s">
        <v>5</v>
      </c>
      <c r="E5" s="36" t="s">
        <v>6</v>
      </c>
      <c r="F5" s="36" t="s">
        <v>7</v>
      </c>
      <c r="G5" s="36" t="s">
        <v>8</v>
      </c>
      <c r="H5" s="37" t="s">
        <v>9</v>
      </c>
      <c r="I5" s="38"/>
      <c r="J5" s="39" t="s">
        <v>10</v>
      </c>
    </row>
    <row r="6" spans="2:39" s="5" customFormat="1" x14ac:dyDescent="0.25">
      <c r="B6" s="21" t="s">
        <v>11</v>
      </c>
      <c r="C6" s="25" t="s">
        <v>32</v>
      </c>
      <c r="D6" s="10" t="s">
        <v>33</v>
      </c>
      <c r="E6" s="10" t="s">
        <v>33</v>
      </c>
      <c r="F6" s="10" t="s">
        <v>33</v>
      </c>
      <c r="G6" s="10"/>
      <c r="H6" s="10" t="s">
        <v>33</v>
      </c>
      <c r="I6" s="7"/>
      <c r="J6" s="8" t="s">
        <v>33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s="5" customFormat="1" x14ac:dyDescent="0.25">
      <c r="B7" s="67"/>
      <c r="C7" s="63" t="s">
        <v>79</v>
      </c>
      <c r="D7" s="14">
        <f>0.05*121000</f>
        <v>6050</v>
      </c>
      <c r="E7" s="14">
        <f t="shared" ref="E7:F11" si="0">D7*1.03</f>
        <v>6231.5</v>
      </c>
      <c r="F7" s="14">
        <f t="shared" si="0"/>
        <v>6418.4450000000006</v>
      </c>
      <c r="G7" s="14">
        <f>F7*1.03/4</f>
        <v>1652.7495875000002</v>
      </c>
      <c r="H7" s="14">
        <f>G7*1.03</f>
        <v>1702.3320751250003</v>
      </c>
      <c r="I7" s="31">
        <v>450000</v>
      </c>
      <c r="J7" s="14">
        <f>SUM(D7:H7)</f>
        <v>22055.026662624998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2"/>
      <c r="C8" s="63" t="s">
        <v>82</v>
      </c>
      <c r="D8" s="14">
        <f>0.1*105000</f>
        <v>10500</v>
      </c>
      <c r="E8" s="14">
        <f t="shared" si="0"/>
        <v>10815</v>
      </c>
      <c r="F8" s="14">
        <f t="shared" si="0"/>
        <v>11139.45</v>
      </c>
      <c r="G8" s="14">
        <f>F8*1.03/4</f>
        <v>2868.4083750000004</v>
      </c>
      <c r="H8" s="14">
        <f>G8*1.03</f>
        <v>2954.4606262500006</v>
      </c>
      <c r="I8" s="31">
        <v>450000</v>
      </c>
      <c r="J8" s="14">
        <f>SUM(D8:H8)</f>
        <v>38277.319001250005</v>
      </c>
    </row>
    <row r="9" spans="2:39" x14ac:dyDescent="0.25">
      <c r="B9" s="22"/>
      <c r="C9" s="63" t="s">
        <v>83</v>
      </c>
      <c r="D9" s="14">
        <f>0.1*80000</f>
        <v>8000</v>
      </c>
      <c r="E9" s="14">
        <f t="shared" si="0"/>
        <v>8240</v>
      </c>
      <c r="F9" s="14">
        <f t="shared" si="0"/>
        <v>8487.2000000000007</v>
      </c>
      <c r="G9" s="14">
        <f>F9*1.03/4</f>
        <v>2185.4540000000002</v>
      </c>
      <c r="H9" s="14">
        <f>G9*1.03</f>
        <v>2251.0176200000001</v>
      </c>
      <c r="I9" s="31"/>
      <c r="J9" s="14">
        <f t="shared" ref="J9:J10" si="1">SUM(D9:H9)</f>
        <v>29163.671620000001</v>
      </c>
    </row>
    <row r="10" spans="2:39" ht="30" x14ac:dyDescent="0.25">
      <c r="B10" s="22"/>
      <c r="C10" s="63" t="s">
        <v>84</v>
      </c>
      <c r="D10" s="14">
        <f>0.25*78500</f>
        <v>19625</v>
      </c>
      <c r="E10" s="14">
        <f t="shared" si="0"/>
        <v>20213.75</v>
      </c>
      <c r="F10" s="14">
        <f t="shared" si="0"/>
        <v>20820.162500000002</v>
      </c>
      <c r="G10" s="14">
        <f>F10*1.03/3</f>
        <v>7148.2557916666674</v>
      </c>
      <c r="H10" s="14">
        <f>G10*1.03</f>
        <v>7362.7034654166673</v>
      </c>
      <c r="I10" s="31"/>
      <c r="J10" s="14">
        <f t="shared" si="1"/>
        <v>75169.87175708334</v>
      </c>
    </row>
    <row r="11" spans="2:39" ht="30" x14ac:dyDescent="0.25">
      <c r="B11" s="22"/>
      <c r="C11" s="63" t="s">
        <v>56</v>
      </c>
      <c r="D11" s="14">
        <f>0.1*72500</f>
        <v>7250</v>
      </c>
      <c r="E11" s="14">
        <f t="shared" si="0"/>
        <v>7467.5</v>
      </c>
      <c r="F11" s="14">
        <f t="shared" si="0"/>
        <v>7691.5250000000005</v>
      </c>
      <c r="G11" s="14">
        <f>F11*1.03/3</f>
        <v>2640.7569166666667</v>
      </c>
      <c r="H11" s="14">
        <f>G11*1.03</f>
        <v>2719.9796241666668</v>
      </c>
      <c r="J11" s="14">
        <f>SUM(D11:H11)</f>
        <v>27769.761540833333</v>
      </c>
    </row>
    <row r="12" spans="2:39" x14ac:dyDescent="0.25">
      <c r="B12" s="22"/>
      <c r="C12" s="9" t="s">
        <v>12</v>
      </c>
      <c r="D12" s="15">
        <f>SUM(D7:D11)</f>
        <v>51425</v>
      </c>
      <c r="E12" s="15">
        <f t="shared" ref="E12:J12" si="2">SUM(E7:E11)</f>
        <v>52967.75</v>
      </c>
      <c r="F12" s="15">
        <f t="shared" si="2"/>
        <v>54556.782500000008</v>
      </c>
      <c r="G12" s="15">
        <f t="shared" si="2"/>
        <v>16495.624670833335</v>
      </c>
      <c r="H12" s="15">
        <f t="shared" si="2"/>
        <v>16990.493410958337</v>
      </c>
      <c r="I12" s="7">
        <f t="shared" ref="I12" si="3">SUM(I8:I11)</f>
        <v>450000</v>
      </c>
      <c r="J12" s="15">
        <f t="shared" si="2"/>
        <v>192435.65058179168</v>
      </c>
    </row>
    <row r="13" spans="2:39" x14ac:dyDescent="0.25">
      <c r="B13" s="22"/>
      <c r="C13" s="13" t="s">
        <v>34</v>
      </c>
      <c r="D13" s="12" t="s">
        <v>33</v>
      </c>
      <c r="E13" s="10"/>
      <c r="F13" s="10"/>
      <c r="G13" s="10"/>
      <c r="H13" s="10"/>
      <c r="J13" s="8" t="s">
        <v>33</v>
      </c>
    </row>
    <row r="14" spans="2:39" x14ac:dyDescent="0.25">
      <c r="B14" s="22"/>
      <c r="C14" s="63" t="s">
        <v>35</v>
      </c>
      <c r="D14" s="14">
        <f>D7*0.321</f>
        <v>1942.05</v>
      </c>
      <c r="E14" s="14">
        <f t="shared" ref="E14:H15" si="4">E7*0.321</f>
        <v>2000.3115</v>
      </c>
      <c r="F14" s="14">
        <f t="shared" si="4"/>
        <v>2060.3208450000002</v>
      </c>
      <c r="G14" s="14">
        <f t="shared" si="4"/>
        <v>530.53261758750011</v>
      </c>
      <c r="H14" s="14">
        <f t="shared" si="4"/>
        <v>546.44859611512516</v>
      </c>
      <c r="J14" s="14">
        <f t="shared" ref="J14:J17" si="5">SUM(D14:H14)</f>
        <v>7079.6635587026249</v>
      </c>
    </row>
    <row r="15" spans="2:39" x14ac:dyDescent="0.25">
      <c r="B15" s="22"/>
      <c r="C15" s="63" t="s">
        <v>80</v>
      </c>
      <c r="D15" s="14">
        <f>D8*0.321</f>
        <v>3370.5</v>
      </c>
      <c r="E15" s="14">
        <f t="shared" si="4"/>
        <v>3471.6150000000002</v>
      </c>
      <c r="F15" s="14">
        <f t="shared" si="4"/>
        <v>3575.7634500000004</v>
      </c>
      <c r="G15" s="14">
        <f t="shared" si="4"/>
        <v>920.75908837500015</v>
      </c>
      <c r="H15" s="14">
        <f t="shared" si="4"/>
        <v>948.38186102625025</v>
      </c>
      <c r="J15" s="14">
        <f>SUM(D15:H15)</f>
        <v>12287.01939940125</v>
      </c>
    </row>
    <row r="16" spans="2:39" x14ac:dyDescent="0.25">
      <c r="B16" s="22"/>
      <c r="C16" s="63" t="s">
        <v>36</v>
      </c>
      <c r="D16" s="14">
        <f t="shared" ref="D16:H16" si="6">D9*0.321</f>
        <v>2568</v>
      </c>
      <c r="E16" s="14">
        <f t="shared" si="6"/>
        <v>2645.04</v>
      </c>
      <c r="F16" s="14">
        <f t="shared" si="6"/>
        <v>2724.3912000000005</v>
      </c>
      <c r="G16" s="14">
        <f t="shared" si="6"/>
        <v>701.53073400000005</v>
      </c>
      <c r="H16" s="14">
        <f t="shared" si="6"/>
        <v>722.57665602000009</v>
      </c>
      <c r="J16" s="14">
        <f t="shared" si="5"/>
        <v>9361.5385900200017</v>
      </c>
    </row>
    <row r="17" spans="2:10" x14ac:dyDescent="0.25">
      <c r="B17" s="22"/>
      <c r="C17" s="63" t="s">
        <v>57</v>
      </c>
      <c r="D17" s="14">
        <f t="shared" ref="D17:H17" si="7">D10*0.321</f>
        <v>6299.625</v>
      </c>
      <c r="E17" s="14">
        <f t="shared" si="7"/>
        <v>6488.6137500000004</v>
      </c>
      <c r="F17" s="14">
        <f t="shared" si="7"/>
        <v>6683.2721625000013</v>
      </c>
      <c r="G17" s="14">
        <f t="shared" si="7"/>
        <v>2294.5901091250003</v>
      </c>
      <c r="H17" s="14">
        <f t="shared" si="7"/>
        <v>2363.4278123987501</v>
      </c>
      <c r="J17" s="14">
        <f t="shared" si="5"/>
        <v>24129.528834023753</v>
      </c>
    </row>
    <row r="18" spans="2:10" x14ac:dyDescent="0.25">
      <c r="B18" s="22"/>
      <c r="C18" s="63" t="s">
        <v>37</v>
      </c>
      <c r="D18" s="14">
        <f t="shared" ref="D18:H18" si="8">D11*0.321</f>
        <v>2327.25</v>
      </c>
      <c r="E18" s="14">
        <f t="shared" si="8"/>
        <v>2397.0675000000001</v>
      </c>
      <c r="F18" s="14">
        <f t="shared" si="8"/>
        <v>2468.9795250000002</v>
      </c>
      <c r="G18" s="14">
        <f t="shared" si="8"/>
        <v>847.68297025000004</v>
      </c>
      <c r="H18" s="14">
        <f t="shared" si="8"/>
        <v>873.11345935750001</v>
      </c>
      <c r="J18" s="14">
        <f t="shared" ref="J18" si="9">SUM(D18:H18)</f>
        <v>8914.0934546075005</v>
      </c>
    </row>
    <row r="19" spans="2:10" x14ac:dyDescent="0.25">
      <c r="B19" s="22"/>
      <c r="C19" s="9" t="s">
        <v>13</v>
      </c>
      <c r="D19" s="15">
        <f>SUM(D14:D18)</f>
        <v>16507.424999999999</v>
      </c>
      <c r="E19" s="15">
        <f t="shared" ref="E19:H19" si="10">SUM(E14:E18)</f>
        <v>17002.64775</v>
      </c>
      <c r="F19" s="15">
        <f t="shared" si="10"/>
        <v>17512.727182500003</v>
      </c>
      <c r="G19" s="15">
        <f t="shared" si="10"/>
        <v>5295.0955193375003</v>
      </c>
      <c r="H19" s="15">
        <f t="shared" si="10"/>
        <v>5453.9483849176258</v>
      </c>
      <c r="I19" s="7">
        <f t="shared" ref="I19:J19" si="11">SUM(I15:I18)</f>
        <v>0</v>
      </c>
      <c r="J19" s="15">
        <f t="shared" si="11"/>
        <v>54692.180278052503</v>
      </c>
    </row>
    <row r="20" spans="2:10" x14ac:dyDescent="0.25">
      <c r="B20" s="22"/>
      <c r="C20" s="13" t="s">
        <v>38</v>
      </c>
      <c r="D20" s="12" t="s">
        <v>33</v>
      </c>
      <c r="E20" s="10"/>
      <c r="F20" s="10"/>
      <c r="G20" s="10"/>
      <c r="H20" s="10"/>
      <c r="J20" s="8" t="s">
        <v>33</v>
      </c>
    </row>
    <row r="21" spans="2:10" x14ac:dyDescent="0.25">
      <c r="B21" s="22"/>
      <c r="C21" s="64" t="s">
        <v>40</v>
      </c>
      <c r="D21" s="14"/>
      <c r="E21" s="14"/>
      <c r="F21" s="14"/>
      <c r="G21" s="14"/>
      <c r="H21" s="14"/>
      <c r="I21" s="31">
        <v>1638</v>
      </c>
      <c r="J21" s="14">
        <f t="shared" ref="J21" si="12">SUM(D21:H21)</f>
        <v>0</v>
      </c>
    </row>
    <row r="22" spans="2:10" x14ac:dyDescent="0.25">
      <c r="B22" s="22"/>
      <c r="C22" s="9" t="s">
        <v>14</v>
      </c>
      <c r="D22" s="15">
        <f>SUM(D21:D21)</f>
        <v>0</v>
      </c>
      <c r="E22" s="15">
        <f>SUM(E21:E21)</f>
        <v>0</v>
      </c>
      <c r="F22" s="15">
        <f>SUM(F21:F21)</f>
        <v>0</v>
      </c>
      <c r="G22" s="15">
        <f>SUM(G21:G21)</f>
        <v>0</v>
      </c>
      <c r="H22" s="15">
        <f>SUM(H21:H21)</f>
        <v>0</v>
      </c>
      <c r="J22" s="15">
        <f>SUM(J21:J21)</f>
        <v>0</v>
      </c>
    </row>
    <row r="23" spans="2:10" x14ac:dyDescent="0.25">
      <c r="B23" s="22"/>
      <c r="C23" s="13" t="s">
        <v>39</v>
      </c>
      <c r="D23" s="14"/>
      <c r="E23" s="10"/>
      <c r="F23" s="10"/>
      <c r="G23" s="10"/>
      <c r="H23" s="10"/>
      <c r="J23" s="14" t="s">
        <v>20</v>
      </c>
    </row>
    <row r="24" spans="2:10" x14ac:dyDescent="0.25">
      <c r="B24" s="22"/>
      <c r="C24" s="64" t="s">
        <v>40</v>
      </c>
      <c r="D24" s="14"/>
      <c r="E24" s="10"/>
      <c r="F24" s="10"/>
      <c r="G24" s="10"/>
      <c r="H24" s="10"/>
      <c r="J24" s="14">
        <f>SUM(D24:H24)</f>
        <v>0</v>
      </c>
    </row>
    <row r="25" spans="2:10" x14ac:dyDescent="0.25">
      <c r="B25" s="22"/>
      <c r="C25" s="9" t="s">
        <v>15</v>
      </c>
      <c r="D25" s="11">
        <f>SUM(D24:D24)</f>
        <v>0</v>
      </c>
      <c r="E25" s="11">
        <f>SUM(E24:E24)</f>
        <v>0</v>
      </c>
      <c r="F25" s="11">
        <f>SUM(F24:F24)</f>
        <v>0</v>
      </c>
      <c r="G25" s="11">
        <f>SUM(G24:G24)</f>
        <v>0</v>
      </c>
      <c r="H25" s="11">
        <f>SUM(H24:H24)</f>
        <v>0</v>
      </c>
      <c r="J25" s="15">
        <f>SUM(J24:J24)</f>
        <v>0</v>
      </c>
    </row>
    <row r="26" spans="2:10" x14ac:dyDescent="0.25">
      <c r="B26" s="22"/>
      <c r="C26" s="13" t="s">
        <v>41</v>
      </c>
      <c r="D26" s="12" t="s">
        <v>33</v>
      </c>
      <c r="E26" s="10"/>
      <c r="F26" s="10"/>
      <c r="G26" s="10"/>
      <c r="H26" s="10"/>
      <c r="J26" s="14"/>
    </row>
    <row r="27" spans="2:10" x14ac:dyDescent="0.25">
      <c r="B27" s="22"/>
      <c r="C27" s="64" t="s">
        <v>40</v>
      </c>
      <c r="D27" s="14"/>
      <c r="E27" s="14"/>
      <c r="F27" s="14"/>
      <c r="G27" s="14"/>
      <c r="H27" s="14"/>
      <c r="I27" s="31">
        <v>5000</v>
      </c>
      <c r="J27" s="14">
        <f t="shared" ref="J27:J37" si="13">SUM(D27:H27)</f>
        <v>0</v>
      </c>
    </row>
    <row r="28" spans="2:10" x14ac:dyDescent="0.25">
      <c r="B28" s="22"/>
      <c r="C28" s="9" t="s">
        <v>16</v>
      </c>
      <c r="D28" s="15">
        <f>SUM(D27:D27)</f>
        <v>0</v>
      </c>
      <c r="E28" s="15">
        <f>SUM(E27:E27)</f>
        <v>0</v>
      </c>
      <c r="F28" s="15">
        <f>SUM(F27:F27)</f>
        <v>0</v>
      </c>
      <c r="G28" s="15">
        <f>SUM(G27:G27)</f>
        <v>0</v>
      </c>
      <c r="H28" s="15">
        <f>SUM(H27:H27)</f>
        <v>0</v>
      </c>
      <c r="J28" s="15">
        <f>SUM(J27:J27)</f>
        <v>0</v>
      </c>
    </row>
    <row r="29" spans="2:10" x14ac:dyDescent="0.25">
      <c r="B29" s="22"/>
      <c r="C29" s="13" t="s">
        <v>42</v>
      </c>
      <c r="D29" s="12" t="s">
        <v>33</v>
      </c>
      <c r="E29" s="10"/>
      <c r="F29" s="10"/>
      <c r="G29" s="10"/>
      <c r="H29" s="10"/>
      <c r="J29" s="14"/>
    </row>
    <row r="30" spans="2:10" ht="75" x14ac:dyDescent="0.25">
      <c r="B30" s="22"/>
      <c r="C30" s="63" t="s">
        <v>58</v>
      </c>
      <c r="D30" s="14">
        <v>300000</v>
      </c>
      <c r="E30" s="14">
        <v>1000000</v>
      </c>
      <c r="F30" s="14">
        <v>600000</v>
      </c>
      <c r="G30" s="14"/>
      <c r="H30" s="14"/>
      <c r="I30" s="31"/>
      <c r="J30" s="14">
        <f t="shared" si="13"/>
        <v>1900000</v>
      </c>
    </row>
    <row r="31" spans="2:10" x14ac:dyDescent="0.25">
      <c r="B31" s="22"/>
      <c r="C31" s="9" t="s">
        <v>17</v>
      </c>
      <c r="D31" s="15">
        <f>SUM(D30:D30)</f>
        <v>300000</v>
      </c>
      <c r="E31" s="15">
        <f>SUM(E30:E30)</f>
        <v>1000000</v>
      </c>
      <c r="F31" s="15">
        <f>SUM(F30:F30)</f>
        <v>600000</v>
      </c>
      <c r="G31" s="15">
        <f>SUM(G30:G30)</f>
        <v>0</v>
      </c>
      <c r="H31" s="15">
        <f>SUM(H30:H30)</f>
        <v>0</v>
      </c>
      <c r="J31" s="15">
        <f>SUM(J30:J30)</f>
        <v>1900000</v>
      </c>
    </row>
    <row r="32" spans="2:10" x14ac:dyDescent="0.25">
      <c r="B32" s="22"/>
      <c r="C32" s="13" t="s">
        <v>43</v>
      </c>
      <c r="D32" s="12" t="s">
        <v>33</v>
      </c>
      <c r="E32" s="10"/>
      <c r="F32" s="10"/>
      <c r="G32" s="10"/>
      <c r="H32" s="10"/>
      <c r="J32" s="14"/>
    </row>
    <row r="33" spans="2:10" ht="45" x14ac:dyDescent="0.25">
      <c r="B33" s="22"/>
      <c r="C33" s="63" t="s">
        <v>59</v>
      </c>
      <c r="D33" s="14">
        <v>5000</v>
      </c>
      <c r="E33" s="14"/>
      <c r="F33" s="14"/>
      <c r="G33" s="14"/>
      <c r="H33" s="14"/>
      <c r="I33" s="31">
        <v>375000</v>
      </c>
      <c r="J33" s="14">
        <f t="shared" si="13"/>
        <v>5000</v>
      </c>
    </row>
    <row r="34" spans="2:10" ht="45" x14ac:dyDescent="0.25">
      <c r="B34" s="22"/>
      <c r="C34" s="63" t="s">
        <v>60</v>
      </c>
      <c r="D34" s="14">
        <v>5000</v>
      </c>
      <c r="E34" s="14"/>
      <c r="F34" s="14"/>
      <c r="G34" s="14"/>
      <c r="H34" s="14"/>
      <c r="I34" s="31">
        <v>781250</v>
      </c>
      <c r="J34" s="14">
        <f t="shared" si="13"/>
        <v>5000</v>
      </c>
    </row>
    <row r="35" spans="2:10" ht="45" x14ac:dyDescent="0.25">
      <c r="B35" s="22"/>
      <c r="C35" s="63" t="s">
        <v>61</v>
      </c>
      <c r="D35" s="14">
        <v>10000</v>
      </c>
      <c r="E35" s="14">
        <v>5000</v>
      </c>
      <c r="F35" s="14"/>
      <c r="G35" s="14"/>
      <c r="H35" s="14"/>
      <c r="I35" s="31">
        <v>2083335</v>
      </c>
      <c r="J35" s="14">
        <f t="shared" si="13"/>
        <v>15000</v>
      </c>
    </row>
    <row r="36" spans="2:10" x14ac:dyDescent="0.25">
      <c r="B36" s="23"/>
      <c r="C36" s="9" t="s">
        <v>18</v>
      </c>
      <c r="D36" s="15">
        <f>SUM(D33:D35)</f>
        <v>20000</v>
      </c>
      <c r="E36" s="15">
        <f>SUM(E33:E35)</f>
        <v>5000</v>
      </c>
      <c r="F36" s="15">
        <f>SUM(F33:F35)</f>
        <v>0</v>
      </c>
      <c r="G36" s="15">
        <f>SUM(G33:G35)</f>
        <v>0</v>
      </c>
      <c r="H36" s="15">
        <f>SUM(H33:H35)</f>
        <v>0</v>
      </c>
      <c r="J36" s="15">
        <f>SUM(J33:J35)</f>
        <v>25000</v>
      </c>
    </row>
    <row r="37" spans="2:10" x14ac:dyDescent="0.25">
      <c r="B37" s="23"/>
      <c r="C37" s="9" t="s">
        <v>19</v>
      </c>
      <c r="D37" s="15">
        <f>SUM(D36,D31,D28,D25,D22,D19,D12)</f>
        <v>387932.42499999999</v>
      </c>
      <c r="E37" s="15">
        <f>SUM(E36,E31,E28,E25,E22,E19,E12)</f>
        <v>1074970.39775</v>
      </c>
      <c r="F37" s="15">
        <f>SUM(F36,F31,F28,F25,F22,F19,F12)</f>
        <v>672069.50968249992</v>
      </c>
      <c r="G37" s="15">
        <f>SUM(G36,G31,G28,G25,G22,G19,G12)</f>
        <v>21790.720190170836</v>
      </c>
      <c r="H37" s="15">
        <f>SUM(H36,H31,H28,H25,H22,H19,H12)</f>
        <v>22444.441795875962</v>
      </c>
      <c r="J37" s="15">
        <f t="shared" si="13"/>
        <v>2179207.4944185466</v>
      </c>
    </row>
    <row r="38" spans="2:10" x14ac:dyDescent="0.25">
      <c r="B38" s="6"/>
      <c r="D38"/>
      <c r="E38"/>
      <c r="H38"/>
      <c r="I38"/>
      <c r="J38" t="s">
        <v>20</v>
      </c>
    </row>
    <row r="39" spans="2:10" x14ac:dyDescent="0.25">
      <c r="B39" s="21" t="s">
        <v>51</v>
      </c>
      <c r="C39" s="16" t="s">
        <v>51</v>
      </c>
      <c r="D39" s="17"/>
      <c r="E39" s="17"/>
      <c r="F39" s="17"/>
      <c r="G39" s="17"/>
      <c r="H39" s="17"/>
      <c r="I39"/>
      <c r="J39" s="17" t="s">
        <v>20</v>
      </c>
    </row>
    <row r="40" spans="2:10" x14ac:dyDescent="0.25">
      <c r="B40" s="22"/>
      <c r="C40" s="24" t="s">
        <v>52</v>
      </c>
      <c r="D40" s="14">
        <f>D12*0.909</f>
        <v>46745.325000000004</v>
      </c>
      <c r="E40" s="14">
        <f t="shared" ref="E40:H40" si="14">E12*0.909</f>
        <v>48147.68475</v>
      </c>
      <c r="F40" s="14">
        <f t="shared" si="14"/>
        <v>49592.115292500006</v>
      </c>
      <c r="G40" s="14">
        <f t="shared" si="14"/>
        <v>14994.522825787502</v>
      </c>
      <c r="H40" s="14">
        <f t="shared" si="14"/>
        <v>15444.358510561129</v>
      </c>
      <c r="J40" s="14">
        <f>SUM(D40:H40)</f>
        <v>174924.00637884866</v>
      </c>
    </row>
    <row r="41" spans="2:10" x14ac:dyDescent="0.25">
      <c r="B41" s="22"/>
      <c r="C41" s="24" t="s">
        <v>53</v>
      </c>
      <c r="D41" s="12"/>
      <c r="E41" s="10"/>
      <c r="F41" s="10"/>
      <c r="G41" s="10"/>
      <c r="H41" s="10"/>
      <c r="J41" s="14">
        <f t="shared" ref="J41:J42" si="15">SUM(D41:H41)</f>
        <v>0</v>
      </c>
    </row>
    <row r="42" spans="2:10" x14ac:dyDescent="0.25">
      <c r="B42" s="23"/>
      <c r="C42" s="9" t="s">
        <v>21</v>
      </c>
      <c r="D42" s="15">
        <f>SUM(D40:D41)</f>
        <v>46745.325000000004</v>
      </c>
      <c r="E42" s="15">
        <f t="shared" ref="E42:H42" si="16">SUM(E40:E41)</f>
        <v>48147.68475</v>
      </c>
      <c r="F42" s="15">
        <f t="shared" si="16"/>
        <v>49592.115292500006</v>
      </c>
      <c r="G42" s="15">
        <f t="shared" si="16"/>
        <v>14994.522825787502</v>
      </c>
      <c r="H42" s="15">
        <f t="shared" si="16"/>
        <v>15444.358510561129</v>
      </c>
      <c r="J42" s="15">
        <f t="shared" si="15"/>
        <v>174924.00637884866</v>
      </c>
    </row>
    <row r="43" spans="2:10" ht="15.75" thickBot="1" x14ac:dyDescent="0.3">
      <c r="B43" s="6"/>
      <c r="D43"/>
      <c r="E43"/>
      <c r="H43"/>
      <c r="I43"/>
      <c r="J43" t="s">
        <v>20</v>
      </c>
    </row>
    <row r="44" spans="2:10" s="1" customFormat="1" ht="30.75" thickBot="1" x14ac:dyDescent="0.3">
      <c r="B44" s="18" t="s">
        <v>22</v>
      </c>
      <c r="C44" s="18"/>
      <c r="D44" s="19">
        <f>SUM(D42,D37)</f>
        <v>434677.75</v>
      </c>
      <c r="E44" s="19">
        <f t="shared" ref="E44:J44" si="17">SUM(E42,E37)</f>
        <v>1123118.0825</v>
      </c>
      <c r="F44" s="19">
        <f t="shared" si="17"/>
        <v>721661.62497499993</v>
      </c>
      <c r="G44" s="19">
        <f t="shared" si="17"/>
        <v>36785.243015958338</v>
      </c>
      <c r="H44" s="19">
        <f t="shared" si="17"/>
        <v>37888.800306437093</v>
      </c>
      <c r="I44" s="7">
        <f>SUM(I42,I37)</f>
        <v>0</v>
      </c>
      <c r="J44" s="19">
        <f t="shared" si="17"/>
        <v>2354131.5007973951</v>
      </c>
    </row>
    <row r="45" spans="2:10" x14ac:dyDescent="0.25">
      <c r="B45" s="6"/>
    </row>
    <row r="46" spans="2:10" x14ac:dyDescent="0.25">
      <c r="B46" s="6"/>
    </row>
    <row r="47" spans="2:10" x14ac:dyDescent="0.25">
      <c r="B47" s="6"/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</sheetData>
  <pageMargins left="0.7" right="0.7" top="0.75" bottom="0.75" header="0.3" footer="0.3"/>
  <pageSetup scale="89" fitToHeight="0" orientation="landscape" r:id="rId1"/>
  <ignoredErrors>
    <ignoredError sqref="J8 J21 J27 J33:J3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61"/>
  <sheetViews>
    <sheetView showGridLines="0" zoomScale="85" zoomScaleNormal="85" workbookViewId="0">
      <pane xSplit="3" ySplit="5" topLeftCell="D6" activePane="bottomRight" state="frozen"/>
      <selection pane="topRight" activeCell="R20" sqref="R20:W20"/>
      <selection pane="bottomLeft" activeCell="R20" sqref="R20:W20"/>
      <selection pane="bottomRight" activeCell="O40" sqref="O40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26" t="s">
        <v>62</v>
      </c>
    </row>
    <row r="3" spans="2:39" x14ac:dyDescent="0.25">
      <c r="B3" s="5"/>
    </row>
    <row r="4" spans="2:39" ht="18.75" x14ac:dyDescent="0.3">
      <c r="B4" s="32" t="s">
        <v>2</v>
      </c>
      <c r="C4" s="33"/>
      <c r="D4" s="33"/>
      <c r="E4" s="33"/>
      <c r="F4" s="33"/>
      <c r="G4" s="33"/>
      <c r="H4" s="33"/>
      <c r="I4" s="33"/>
      <c r="J4" s="34"/>
    </row>
    <row r="5" spans="2:39" x14ac:dyDescent="0.25">
      <c r="B5" s="35" t="s">
        <v>3</v>
      </c>
      <c r="C5" s="35" t="s">
        <v>4</v>
      </c>
      <c r="D5" s="35" t="s">
        <v>5</v>
      </c>
      <c r="E5" s="36" t="s">
        <v>6</v>
      </c>
      <c r="F5" s="36" t="s">
        <v>7</v>
      </c>
      <c r="G5" s="36" t="s">
        <v>8</v>
      </c>
      <c r="H5" s="37" t="s">
        <v>9</v>
      </c>
      <c r="I5" s="38"/>
      <c r="J5" s="39" t="s">
        <v>10</v>
      </c>
    </row>
    <row r="6" spans="2:39" s="5" customFormat="1" x14ac:dyDescent="0.25">
      <c r="B6" s="21" t="s">
        <v>11</v>
      </c>
      <c r="C6" s="25" t="s">
        <v>32</v>
      </c>
      <c r="D6" s="10" t="s">
        <v>33</v>
      </c>
      <c r="E6" s="10" t="s">
        <v>33</v>
      </c>
      <c r="F6" s="10" t="s">
        <v>33</v>
      </c>
      <c r="G6" s="10"/>
      <c r="H6" s="10" t="s">
        <v>33</v>
      </c>
      <c r="I6" s="7"/>
      <c r="J6" s="8" t="s">
        <v>33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x14ac:dyDescent="0.25">
      <c r="B7" s="22"/>
      <c r="C7" s="63" t="s">
        <v>79</v>
      </c>
      <c r="D7" s="14">
        <f>0.05*121000</f>
        <v>6050</v>
      </c>
      <c r="E7" s="14">
        <f>D7*1.03*0.8</f>
        <v>4985.2000000000007</v>
      </c>
      <c r="F7" s="14"/>
      <c r="G7" s="14"/>
      <c r="H7" s="14"/>
      <c r="I7" s="31">
        <v>450000</v>
      </c>
      <c r="J7" s="14">
        <f>SUM(D7:H7)</f>
        <v>11035.2</v>
      </c>
    </row>
    <row r="8" spans="2:39" x14ac:dyDescent="0.25">
      <c r="B8" s="22"/>
      <c r="C8" s="63" t="s">
        <v>82</v>
      </c>
      <c r="D8" s="14">
        <f>0.1*105000</f>
        <v>10500</v>
      </c>
      <c r="E8" s="14">
        <f>D8*1.03*0.8</f>
        <v>8652</v>
      </c>
      <c r="F8" s="14"/>
      <c r="G8" s="14"/>
      <c r="H8" s="14"/>
      <c r="I8" s="31"/>
      <c r="J8" s="14"/>
    </row>
    <row r="9" spans="2:39" x14ac:dyDescent="0.25">
      <c r="B9" s="22"/>
      <c r="C9" s="63" t="s">
        <v>55</v>
      </c>
      <c r="D9" s="14">
        <f>0.1*78500</f>
        <v>7850</v>
      </c>
      <c r="E9" s="14">
        <f>D9*1.03*0.8</f>
        <v>6468.4000000000005</v>
      </c>
      <c r="F9" s="14"/>
      <c r="G9" s="14"/>
      <c r="H9" s="14"/>
      <c r="I9" s="31"/>
      <c r="J9" s="14">
        <f t="shared" ref="J9:J11" si="0">SUM(D9:H9)</f>
        <v>14318.400000000001</v>
      </c>
    </row>
    <row r="10" spans="2:39" ht="30" x14ac:dyDescent="0.25">
      <c r="B10" s="22"/>
      <c r="C10" s="63" t="s">
        <v>63</v>
      </c>
      <c r="D10" s="14">
        <f>0.25*97000</f>
        <v>24250</v>
      </c>
      <c r="E10" s="14">
        <f>D10*1.03*0.9</f>
        <v>22479.75</v>
      </c>
      <c r="F10" s="14"/>
      <c r="G10" s="14"/>
      <c r="H10" s="14"/>
      <c r="I10" s="31"/>
      <c r="J10" s="14">
        <f t="shared" si="0"/>
        <v>46729.75</v>
      </c>
    </row>
    <row r="11" spans="2:39" ht="30" x14ac:dyDescent="0.25">
      <c r="B11" s="22"/>
      <c r="C11" s="63" t="s">
        <v>56</v>
      </c>
      <c r="D11" s="14">
        <f>0.1*72500</f>
        <v>7250</v>
      </c>
      <c r="E11" s="14">
        <f>D11*1.03</f>
        <v>7467.5</v>
      </c>
      <c r="F11" s="14">
        <f>E11/3.5</f>
        <v>2133.5714285714284</v>
      </c>
      <c r="G11" s="14">
        <f>F11*1.03</f>
        <v>2197.5785714285712</v>
      </c>
      <c r="H11" s="14">
        <f>G11*1.03</f>
        <v>2263.5059285714283</v>
      </c>
      <c r="J11" s="14">
        <f t="shared" si="0"/>
        <v>21312.155928571425</v>
      </c>
    </row>
    <row r="12" spans="2:39" x14ac:dyDescent="0.25">
      <c r="B12" s="22"/>
      <c r="C12" s="9" t="s">
        <v>12</v>
      </c>
      <c r="D12" s="15">
        <f t="shared" ref="D12:J12" si="1">SUM(D7:D11)</f>
        <v>55900</v>
      </c>
      <c r="E12" s="15">
        <f t="shared" si="1"/>
        <v>50052.850000000006</v>
      </c>
      <c r="F12" s="15">
        <f t="shared" si="1"/>
        <v>2133.5714285714284</v>
      </c>
      <c r="G12" s="15">
        <f t="shared" si="1"/>
        <v>2197.5785714285712</v>
      </c>
      <c r="H12" s="15">
        <f t="shared" si="1"/>
        <v>2263.5059285714283</v>
      </c>
      <c r="I12" s="7">
        <f t="shared" si="1"/>
        <v>450000</v>
      </c>
      <c r="J12" s="15">
        <f t="shared" si="1"/>
        <v>93395.505928571423</v>
      </c>
    </row>
    <row r="13" spans="2:39" x14ac:dyDescent="0.25">
      <c r="B13" s="22"/>
      <c r="C13" s="13" t="s">
        <v>34</v>
      </c>
      <c r="D13" s="12" t="s">
        <v>33</v>
      </c>
      <c r="E13" s="10"/>
      <c r="F13" s="10"/>
      <c r="G13" s="10"/>
      <c r="H13" s="10"/>
      <c r="J13" s="8" t="s">
        <v>33</v>
      </c>
    </row>
    <row r="14" spans="2:39" x14ac:dyDescent="0.25">
      <c r="B14" s="22"/>
      <c r="C14" s="63" t="s">
        <v>35</v>
      </c>
      <c r="D14" s="14">
        <f t="shared" ref="D14:E18" si="2">0.321*D7</f>
        <v>1942.05</v>
      </c>
      <c r="E14" s="14">
        <f t="shared" si="2"/>
        <v>1600.2492000000002</v>
      </c>
      <c r="F14" s="14"/>
      <c r="G14" s="14"/>
      <c r="H14" s="14"/>
      <c r="J14" s="14">
        <f>SUM(D14:H14)</f>
        <v>3542.2992000000004</v>
      </c>
    </row>
    <row r="15" spans="2:39" x14ac:dyDescent="0.25">
      <c r="B15" s="22"/>
      <c r="C15" s="63" t="s">
        <v>80</v>
      </c>
      <c r="D15" s="14">
        <f t="shared" si="2"/>
        <v>3370.5</v>
      </c>
      <c r="E15" s="14">
        <f t="shared" si="2"/>
        <v>2777.2919999999999</v>
      </c>
      <c r="F15" s="14"/>
      <c r="G15" s="14"/>
      <c r="H15" s="14"/>
      <c r="J15" s="14">
        <f t="shared" ref="J15:J18" si="3">SUM(D15:H15)</f>
        <v>6147.7919999999995</v>
      </c>
    </row>
    <row r="16" spans="2:39" x14ac:dyDescent="0.25">
      <c r="B16" s="22"/>
      <c r="C16" s="63" t="s">
        <v>36</v>
      </c>
      <c r="D16" s="14">
        <f t="shared" si="2"/>
        <v>2519.85</v>
      </c>
      <c r="E16" s="14">
        <f t="shared" si="2"/>
        <v>2076.3564000000001</v>
      </c>
      <c r="F16" s="14"/>
      <c r="G16" s="14"/>
      <c r="H16" s="14"/>
      <c r="J16" s="14">
        <f t="shared" si="3"/>
        <v>4596.2064</v>
      </c>
    </row>
    <row r="17" spans="2:10" x14ac:dyDescent="0.25">
      <c r="B17" s="22"/>
      <c r="C17" s="63" t="s">
        <v>64</v>
      </c>
      <c r="D17" s="14">
        <f t="shared" si="2"/>
        <v>7784.25</v>
      </c>
      <c r="E17" s="14">
        <f t="shared" si="2"/>
        <v>7215.9997499999999</v>
      </c>
      <c r="F17" s="14"/>
      <c r="G17" s="14"/>
      <c r="H17" s="14"/>
      <c r="J17" s="14">
        <f t="shared" si="3"/>
        <v>15000.249749999999</v>
      </c>
    </row>
    <row r="18" spans="2:10" x14ac:dyDescent="0.25">
      <c r="B18" s="22"/>
      <c r="C18" s="63" t="s">
        <v>37</v>
      </c>
      <c r="D18" s="14">
        <f t="shared" si="2"/>
        <v>2327.25</v>
      </c>
      <c r="E18" s="14">
        <f t="shared" si="2"/>
        <v>2397.0675000000001</v>
      </c>
      <c r="F18" s="14"/>
      <c r="G18" s="14"/>
      <c r="H18" s="14"/>
      <c r="J18" s="14">
        <f t="shared" si="3"/>
        <v>4724.3175000000001</v>
      </c>
    </row>
    <row r="19" spans="2:10" x14ac:dyDescent="0.25">
      <c r="B19" s="22"/>
      <c r="C19" s="9" t="s">
        <v>13</v>
      </c>
      <c r="D19" s="15">
        <f t="shared" ref="D19:J19" si="4">SUM(D14:D18)</f>
        <v>17943.900000000001</v>
      </c>
      <c r="E19" s="15">
        <f t="shared" si="4"/>
        <v>16066.96485</v>
      </c>
      <c r="F19" s="15">
        <f t="shared" si="4"/>
        <v>0</v>
      </c>
      <c r="G19" s="15">
        <f t="shared" si="4"/>
        <v>0</v>
      </c>
      <c r="H19" s="15">
        <f t="shared" si="4"/>
        <v>0</v>
      </c>
      <c r="I19" s="7">
        <f t="shared" si="4"/>
        <v>0</v>
      </c>
      <c r="J19" s="15">
        <f t="shared" si="4"/>
        <v>34010.864849999998</v>
      </c>
    </row>
    <row r="20" spans="2:10" x14ac:dyDescent="0.25">
      <c r="B20" s="22"/>
      <c r="C20" s="13" t="s">
        <v>38</v>
      </c>
      <c r="D20" s="12" t="s">
        <v>33</v>
      </c>
      <c r="E20" s="10"/>
      <c r="F20" s="10"/>
      <c r="G20" s="10"/>
      <c r="H20" s="10"/>
      <c r="J20" s="8" t="s">
        <v>33</v>
      </c>
    </row>
    <row r="21" spans="2:10" x14ac:dyDescent="0.25">
      <c r="B21" s="22"/>
      <c r="C21" s="64" t="s">
        <v>40</v>
      </c>
      <c r="D21" s="12"/>
      <c r="E21" s="10"/>
      <c r="F21" s="10"/>
      <c r="G21" s="10"/>
      <c r="H21" s="10"/>
      <c r="J21" s="14">
        <f t="shared" ref="J21" si="5">SUM(D21:H21)</f>
        <v>0</v>
      </c>
    </row>
    <row r="22" spans="2:10" x14ac:dyDescent="0.25">
      <c r="B22" s="22"/>
      <c r="C22" s="9" t="s">
        <v>14</v>
      </c>
      <c r="D22" s="15">
        <f>D21</f>
        <v>0</v>
      </c>
      <c r="E22" s="15">
        <f t="shared" ref="E22:I22" si="6">E21</f>
        <v>0</v>
      </c>
      <c r="F22" s="15">
        <f t="shared" si="6"/>
        <v>0</v>
      </c>
      <c r="G22" s="15">
        <f t="shared" si="6"/>
        <v>0</v>
      </c>
      <c r="H22" s="15">
        <f t="shared" si="6"/>
        <v>0</v>
      </c>
      <c r="I22" s="15">
        <f t="shared" si="6"/>
        <v>0</v>
      </c>
      <c r="J22" s="15">
        <f>SUM(D22:H22)</f>
        <v>0</v>
      </c>
    </row>
    <row r="23" spans="2:10" x14ac:dyDescent="0.25">
      <c r="B23" s="22"/>
      <c r="C23" s="13" t="s">
        <v>39</v>
      </c>
      <c r="D23" s="14"/>
      <c r="E23" s="10"/>
      <c r="F23" s="10"/>
      <c r="G23" s="10"/>
      <c r="H23" s="10"/>
      <c r="J23" s="14" t="s">
        <v>20</v>
      </c>
    </row>
    <row r="24" spans="2:10" x14ac:dyDescent="0.25">
      <c r="B24" s="22"/>
      <c r="C24" s="64" t="s">
        <v>40</v>
      </c>
      <c r="D24" s="14"/>
      <c r="E24" s="10"/>
      <c r="F24" s="10"/>
      <c r="G24" s="10"/>
      <c r="H24" s="10"/>
      <c r="J24" s="14">
        <f>SUM(D24:H24)</f>
        <v>0</v>
      </c>
    </row>
    <row r="25" spans="2:10" x14ac:dyDescent="0.25">
      <c r="B25" s="22"/>
      <c r="C25" s="9" t="s">
        <v>15</v>
      </c>
      <c r="D25" s="11">
        <f>SUM(D24:D24)</f>
        <v>0</v>
      </c>
      <c r="E25" s="11">
        <f>SUM(E24:E24)</f>
        <v>0</v>
      </c>
      <c r="F25" s="11">
        <f>SUM(F24:F24)</f>
        <v>0</v>
      </c>
      <c r="G25" s="11">
        <f>SUM(G24:G24)</f>
        <v>0</v>
      </c>
      <c r="H25" s="11">
        <f>SUM(H24:H24)</f>
        <v>0</v>
      </c>
      <c r="J25" s="15">
        <f t="shared" ref="J25:J39" si="7">SUM(D25:H25)</f>
        <v>0</v>
      </c>
    </row>
    <row r="26" spans="2:10" x14ac:dyDescent="0.25">
      <c r="B26" s="22"/>
      <c r="C26" s="13" t="s">
        <v>41</v>
      </c>
      <c r="D26" s="12" t="s">
        <v>33</v>
      </c>
      <c r="E26" s="10"/>
      <c r="F26" s="10"/>
      <c r="G26" s="10"/>
      <c r="H26" s="10"/>
      <c r="J26" s="14"/>
    </row>
    <row r="27" spans="2:10" x14ac:dyDescent="0.25">
      <c r="B27" s="22"/>
      <c r="C27" s="64" t="s">
        <v>40</v>
      </c>
      <c r="D27" s="14"/>
      <c r="E27" s="14"/>
      <c r="F27" s="14"/>
      <c r="G27" s="14"/>
      <c r="H27" s="14"/>
      <c r="I27" s="31">
        <v>5000</v>
      </c>
      <c r="J27" s="14">
        <f t="shared" si="7"/>
        <v>0</v>
      </c>
    </row>
    <row r="28" spans="2:10" x14ac:dyDescent="0.25">
      <c r="B28" s="22"/>
      <c r="C28" s="9" t="s">
        <v>16</v>
      </c>
      <c r="D28" s="15">
        <f>SUM(D27:D27)</f>
        <v>0</v>
      </c>
      <c r="E28" s="15">
        <f>SUM(E27:E27)</f>
        <v>0</v>
      </c>
      <c r="F28" s="15">
        <f>SUM(F27:F27)</f>
        <v>0</v>
      </c>
      <c r="G28" s="15">
        <f>SUM(G27:G27)</f>
        <v>0</v>
      </c>
      <c r="H28" s="15">
        <f>SUM(H27:H27)</f>
        <v>0</v>
      </c>
      <c r="J28" s="15">
        <f t="shared" si="7"/>
        <v>0</v>
      </c>
    </row>
    <row r="29" spans="2:10" x14ac:dyDescent="0.25">
      <c r="B29" s="22"/>
      <c r="C29" s="13" t="s">
        <v>42</v>
      </c>
      <c r="D29" s="12" t="s">
        <v>33</v>
      </c>
      <c r="E29" s="10"/>
      <c r="F29" s="10"/>
      <c r="G29" s="10"/>
      <c r="H29" s="10"/>
      <c r="J29" s="14"/>
    </row>
    <row r="30" spans="2:10" x14ac:dyDescent="0.25">
      <c r="B30" s="22"/>
      <c r="C30" s="65" t="s">
        <v>40</v>
      </c>
      <c r="D30" s="14"/>
      <c r="E30" s="14"/>
      <c r="F30" s="14"/>
      <c r="G30" s="14"/>
      <c r="H30" s="14"/>
      <c r="I30" s="31"/>
      <c r="J30" s="14">
        <f t="shared" si="7"/>
        <v>0</v>
      </c>
    </row>
    <row r="31" spans="2:10" x14ac:dyDescent="0.25">
      <c r="B31" s="22"/>
      <c r="C31" s="9" t="s">
        <v>17</v>
      </c>
      <c r="D31" s="15">
        <f>SUM(D30:D30)</f>
        <v>0</v>
      </c>
      <c r="E31" s="15">
        <f>SUM(E30:E30)</f>
        <v>0</v>
      </c>
      <c r="F31" s="15">
        <f>SUM(F30:F30)</f>
        <v>0</v>
      </c>
      <c r="G31" s="15">
        <f>SUM(G30:G30)</f>
        <v>0</v>
      </c>
      <c r="H31" s="15">
        <f>SUM(H30:H30)</f>
        <v>0</v>
      </c>
      <c r="J31" s="15">
        <f t="shared" si="7"/>
        <v>0</v>
      </c>
    </row>
    <row r="32" spans="2:10" x14ac:dyDescent="0.25">
      <c r="B32" s="22"/>
      <c r="C32" s="13" t="s">
        <v>43</v>
      </c>
      <c r="D32" s="12" t="s">
        <v>33</v>
      </c>
      <c r="E32" s="10"/>
      <c r="F32" s="10"/>
      <c r="G32" s="10"/>
      <c r="H32" s="10"/>
      <c r="J32" s="14"/>
    </row>
    <row r="33" spans="2:10" ht="45" x14ac:dyDescent="0.25">
      <c r="B33" s="22"/>
      <c r="C33" s="63" t="s">
        <v>65</v>
      </c>
      <c r="D33" s="14">
        <v>5000</v>
      </c>
      <c r="E33" s="14">
        <v>3000</v>
      </c>
      <c r="F33" s="14"/>
      <c r="G33" s="14"/>
      <c r="H33" s="14"/>
      <c r="I33" s="31">
        <v>375000</v>
      </c>
      <c r="J33" s="14">
        <f t="shared" si="7"/>
        <v>8000</v>
      </c>
    </row>
    <row r="34" spans="2:10" ht="45" x14ac:dyDescent="0.25">
      <c r="B34" s="22"/>
      <c r="C34" s="63" t="s">
        <v>66</v>
      </c>
      <c r="D34" s="14">
        <v>5000</v>
      </c>
      <c r="E34" s="14">
        <v>3000</v>
      </c>
      <c r="F34" s="14"/>
      <c r="G34" s="14"/>
      <c r="H34" s="14"/>
      <c r="I34" s="31">
        <v>781250</v>
      </c>
      <c r="J34" s="14">
        <f t="shared" si="7"/>
        <v>8000</v>
      </c>
    </row>
    <row r="35" spans="2:10" ht="45" x14ac:dyDescent="0.25">
      <c r="B35" s="22"/>
      <c r="C35" s="63" t="s">
        <v>67</v>
      </c>
      <c r="D35" s="14">
        <v>5000</v>
      </c>
      <c r="E35" s="14">
        <v>3000</v>
      </c>
      <c r="F35" s="14"/>
      <c r="G35" s="14"/>
      <c r="H35" s="14"/>
      <c r="I35" s="31">
        <v>2083335</v>
      </c>
      <c r="J35" s="14">
        <f t="shared" si="7"/>
        <v>8000</v>
      </c>
    </row>
    <row r="36" spans="2:10" ht="30" x14ac:dyDescent="0.25">
      <c r="B36" s="22"/>
      <c r="C36" s="63" t="s">
        <v>68</v>
      </c>
      <c r="D36" s="14">
        <v>5000</v>
      </c>
      <c r="E36" s="14">
        <v>3000</v>
      </c>
      <c r="F36" s="14"/>
      <c r="G36" s="14"/>
      <c r="H36" s="14"/>
      <c r="I36" s="31"/>
      <c r="J36" s="14">
        <f t="shared" si="7"/>
        <v>8000</v>
      </c>
    </row>
    <row r="37" spans="2:10" ht="45" x14ac:dyDescent="0.25">
      <c r="B37" s="22"/>
      <c r="C37" s="63" t="s">
        <v>85</v>
      </c>
      <c r="D37" s="14">
        <v>25000</v>
      </c>
      <c r="E37" s="14">
        <v>15000</v>
      </c>
      <c r="F37" s="14"/>
      <c r="G37" s="14"/>
      <c r="H37" s="14"/>
      <c r="I37" s="31"/>
      <c r="J37" s="14">
        <f t="shared" si="7"/>
        <v>40000</v>
      </c>
    </row>
    <row r="38" spans="2:10" x14ac:dyDescent="0.25">
      <c r="B38" s="23"/>
      <c r="C38" s="9" t="s">
        <v>18</v>
      </c>
      <c r="D38" s="15">
        <f>SUM(D33:D37)</f>
        <v>45000</v>
      </c>
      <c r="E38" s="15">
        <f>SUM(E33:E37)</f>
        <v>27000</v>
      </c>
      <c r="F38" s="15">
        <f>SUM(F33:F36)</f>
        <v>0</v>
      </c>
      <c r="G38" s="15">
        <f>SUM(G33:G36)</f>
        <v>0</v>
      </c>
      <c r="H38" s="15">
        <f>SUM(H33:H36)</f>
        <v>0</v>
      </c>
      <c r="J38" s="15">
        <f t="shared" si="7"/>
        <v>72000</v>
      </c>
    </row>
    <row r="39" spans="2:10" x14ac:dyDescent="0.25">
      <c r="B39" s="23"/>
      <c r="C39" s="9" t="s">
        <v>19</v>
      </c>
      <c r="D39" s="15">
        <f>SUM(D38,D31,D28,D25,D22,D19,D12)</f>
        <v>118843.9</v>
      </c>
      <c r="E39" s="15">
        <f>SUM(E38,E31,E28,E25,E22,E19,E12)</f>
        <v>93119.81485000001</v>
      </c>
      <c r="F39" s="15">
        <f>SUM(F38,F31,F28,F25,F22,F19,F12)</f>
        <v>2133.5714285714284</v>
      </c>
      <c r="G39" s="15">
        <f>SUM(G38,G31,G28,G25,G22,G19,G12)</f>
        <v>2197.5785714285712</v>
      </c>
      <c r="H39" s="15">
        <f>SUM(H38,H31,H28,H25,H22,H19,H12)</f>
        <v>2263.5059285714283</v>
      </c>
      <c r="J39" s="15">
        <f t="shared" si="7"/>
        <v>218558.37077857141</v>
      </c>
    </row>
    <row r="40" spans="2:10" x14ac:dyDescent="0.25">
      <c r="B40" s="6"/>
      <c r="D40"/>
      <c r="E40"/>
      <c r="H40"/>
      <c r="I40"/>
      <c r="J40" t="s">
        <v>20</v>
      </c>
    </row>
    <row r="41" spans="2:10" ht="30" x14ac:dyDescent="0.25">
      <c r="B41" s="62" t="s">
        <v>51</v>
      </c>
      <c r="C41" s="16" t="s">
        <v>51</v>
      </c>
      <c r="D41" s="17"/>
      <c r="E41" s="17"/>
      <c r="F41" s="17"/>
      <c r="G41" s="17"/>
      <c r="H41" s="17"/>
      <c r="I41"/>
      <c r="J41" s="17" t="s">
        <v>20</v>
      </c>
    </row>
    <row r="42" spans="2:10" x14ac:dyDescent="0.25">
      <c r="B42" s="22"/>
      <c r="C42" s="24" t="s">
        <v>52</v>
      </c>
      <c r="D42" s="14">
        <f>D12*0.909</f>
        <v>50813.1</v>
      </c>
      <c r="E42" s="14">
        <f>E12*0.909</f>
        <v>45498.04065000001</v>
      </c>
      <c r="F42" s="14"/>
      <c r="G42" s="14"/>
      <c r="H42" s="14"/>
      <c r="J42" s="14">
        <f>SUM(D42:H42)</f>
        <v>96311.140650000016</v>
      </c>
    </row>
    <row r="43" spans="2:10" x14ac:dyDescent="0.25">
      <c r="B43" s="22"/>
      <c r="C43" s="24" t="s">
        <v>53</v>
      </c>
      <c r="D43" s="12"/>
      <c r="E43" s="10"/>
      <c r="F43" s="10"/>
      <c r="G43" s="10"/>
      <c r="H43" s="10"/>
      <c r="J43" s="14">
        <f t="shared" ref="J43:J44" si="8">SUM(D43:H43)</f>
        <v>0</v>
      </c>
    </row>
    <row r="44" spans="2:10" x14ac:dyDescent="0.25">
      <c r="B44" s="23"/>
      <c r="C44" s="9" t="s">
        <v>21</v>
      </c>
      <c r="D44" s="15">
        <f>SUM(D42:D43)</f>
        <v>50813.1</v>
      </c>
      <c r="E44" s="15">
        <f t="shared" ref="E44:H44" si="9">SUM(E42:E43)</f>
        <v>45498.04065000001</v>
      </c>
      <c r="F44" s="15">
        <f t="shared" si="9"/>
        <v>0</v>
      </c>
      <c r="G44" s="15">
        <f t="shared" si="9"/>
        <v>0</v>
      </c>
      <c r="H44" s="15">
        <f t="shared" si="9"/>
        <v>0</v>
      </c>
      <c r="J44" s="15">
        <f t="shared" si="8"/>
        <v>96311.140650000016</v>
      </c>
    </row>
    <row r="45" spans="2:10" ht="15.75" thickBot="1" x14ac:dyDescent="0.3">
      <c r="B45" s="6"/>
      <c r="D45"/>
      <c r="E45"/>
      <c r="H45"/>
      <c r="I45"/>
      <c r="J45" t="s">
        <v>20</v>
      </c>
    </row>
    <row r="46" spans="2:10" s="1" customFormat="1" ht="30.75" thickBot="1" x14ac:dyDescent="0.3">
      <c r="B46" s="18" t="s">
        <v>22</v>
      </c>
      <c r="C46" s="18"/>
      <c r="D46" s="19">
        <f>SUM(D44,D39)</f>
        <v>169657</v>
      </c>
      <c r="E46" s="19">
        <f t="shared" ref="E46:J46" si="10">SUM(E44,E39)</f>
        <v>138617.85550000001</v>
      </c>
      <c r="F46" s="19">
        <f t="shared" si="10"/>
        <v>2133.5714285714284</v>
      </c>
      <c r="G46" s="19">
        <f t="shared" si="10"/>
        <v>2197.5785714285712</v>
      </c>
      <c r="H46" s="19">
        <f t="shared" si="10"/>
        <v>2263.5059285714283</v>
      </c>
      <c r="I46" s="7">
        <f>SUM(I44,I39)</f>
        <v>0</v>
      </c>
      <c r="J46" s="19">
        <f t="shared" si="10"/>
        <v>314869.51142857142</v>
      </c>
    </row>
    <row r="47" spans="2:10" x14ac:dyDescent="0.25">
      <c r="B47" s="6"/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  <row r="60" spans="2:2" x14ac:dyDescent="0.25">
      <c r="B60" s="6"/>
    </row>
    <row r="61" spans="2:2" x14ac:dyDescent="0.25">
      <c r="B61" s="6"/>
    </row>
  </sheetData>
  <pageMargins left="0.7" right="0.7" top="0.75" bottom="0.75" header="0.3" footer="0.3"/>
  <pageSetup scale="89" fitToHeight="0" orientation="landscape" r:id="rId1"/>
  <ignoredErrors>
    <ignoredError sqref="J33:J35 J27 J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54"/>
  <sheetViews>
    <sheetView showGridLines="0" zoomScale="85" zoomScaleNormal="85" workbookViewId="0">
      <pane xSplit="3" ySplit="5" topLeftCell="D6" activePane="bottomRight" state="frozen"/>
      <selection pane="topRight" activeCell="R20" sqref="R20:W20"/>
      <selection pane="bottomLeft" activeCell="R20" sqref="R20:W20"/>
      <selection pane="bottomRight" activeCell="D49" sqref="D49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26" t="s">
        <v>69</v>
      </c>
    </row>
    <row r="3" spans="2:39" x14ac:dyDescent="0.25">
      <c r="B3" s="5"/>
    </row>
    <row r="4" spans="2:39" ht="18.75" x14ac:dyDescent="0.3">
      <c r="B4" s="32" t="s">
        <v>2</v>
      </c>
      <c r="C4" s="33"/>
      <c r="D4" s="33"/>
      <c r="E4" s="33"/>
      <c r="F4" s="33"/>
      <c r="G4" s="33"/>
      <c r="H4" s="33"/>
      <c r="I4" s="33"/>
      <c r="J4" s="34"/>
    </row>
    <row r="5" spans="2:39" ht="30" x14ac:dyDescent="0.25">
      <c r="B5" s="35" t="s">
        <v>3</v>
      </c>
      <c r="C5" s="35" t="s">
        <v>4</v>
      </c>
      <c r="D5" s="35" t="s">
        <v>5</v>
      </c>
      <c r="E5" s="36" t="s">
        <v>6</v>
      </c>
      <c r="F5" s="36" t="s">
        <v>7</v>
      </c>
      <c r="G5" s="36" t="s">
        <v>8</v>
      </c>
      <c r="H5" s="37" t="s">
        <v>9</v>
      </c>
      <c r="I5" s="38"/>
      <c r="J5" s="39" t="s">
        <v>10</v>
      </c>
    </row>
    <row r="6" spans="2:39" s="5" customFormat="1" x14ac:dyDescent="0.25">
      <c r="B6" s="21" t="s">
        <v>11</v>
      </c>
      <c r="C6" s="25" t="s">
        <v>32</v>
      </c>
      <c r="D6" s="10" t="s">
        <v>33</v>
      </c>
      <c r="E6" s="10" t="s">
        <v>33</v>
      </c>
      <c r="F6" s="10" t="s">
        <v>33</v>
      </c>
      <c r="G6" s="10"/>
      <c r="H6" s="10" t="s">
        <v>33</v>
      </c>
      <c r="I6" s="7"/>
      <c r="J6" s="8" t="s">
        <v>33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s="5" customFormat="1" x14ac:dyDescent="0.25">
      <c r="B7" s="67"/>
      <c r="C7" s="63" t="s">
        <v>91</v>
      </c>
      <c r="D7" s="14">
        <f>105000*0.05</f>
        <v>5250</v>
      </c>
      <c r="E7" s="14">
        <f>105000*0.05</f>
        <v>5250</v>
      </c>
      <c r="F7" s="14">
        <f>E7*1.03/1.5</f>
        <v>3605</v>
      </c>
      <c r="G7" s="14">
        <f>F7*1.03</f>
        <v>3713.15</v>
      </c>
      <c r="H7" s="14">
        <f>G7*1.03</f>
        <v>3824.5445</v>
      </c>
      <c r="I7" s="7"/>
      <c r="J7" s="14">
        <f>SUM(D7:H7)</f>
        <v>21642.694500000001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2"/>
      <c r="C8" s="63" t="s">
        <v>90</v>
      </c>
      <c r="D8" s="14">
        <f>95000*0.15</f>
        <v>14250</v>
      </c>
      <c r="E8" s="14">
        <f>95000*0.15</f>
        <v>14250</v>
      </c>
      <c r="F8" s="14">
        <f>E8*1.03/1.5</f>
        <v>9785</v>
      </c>
      <c r="G8" s="14">
        <f>F8*1.03</f>
        <v>10078.550000000001</v>
      </c>
      <c r="H8" s="14">
        <f>G8*1.03</f>
        <v>10380.906500000001</v>
      </c>
      <c r="I8" s="31">
        <v>450000</v>
      </c>
      <c r="J8" s="14">
        <f>SUM(D8:H8)</f>
        <v>58744.4565</v>
      </c>
    </row>
    <row r="9" spans="2:39" x14ac:dyDescent="0.25">
      <c r="B9" s="22"/>
      <c r="C9" s="9" t="s">
        <v>12</v>
      </c>
      <c r="D9" s="15">
        <f>SUM(D7:D8)</f>
        <v>19500</v>
      </c>
      <c r="E9" s="15">
        <f>SUM(E7:E8)</f>
        <v>19500</v>
      </c>
      <c r="F9" s="15">
        <f>SUM(F7:F8)</f>
        <v>13390</v>
      </c>
      <c r="G9" s="15">
        <f>SUM(G7:G8)</f>
        <v>13791.7</v>
      </c>
      <c r="H9" s="15">
        <f>SUM(H7:H8)</f>
        <v>14205.451000000001</v>
      </c>
      <c r="I9" s="7">
        <f>SUM(I8:I8)</f>
        <v>450000</v>
      </c>
      <c r="J9" s="15">
        <f>SUM(J7:J8)</f>
        <v>80387.150999999998</v>
      </c>
    </row>
    <row r="10" spans="2:39" x14ac:dyDescent="0.25">
      <c r="B10" s="22"/>
      <c r="C10" s="13" t="s">
        <v>34</v>
      </c>
      <c r="D10" s="12" t="s">
        <v>33</v>
      </c>
      <c r="E10" s="10"/>
      <c r="F10" s="10"/>
      <c r="G10" s="10"/>
      <c r="H10" s="10"/>
      <c r="J10" s="8" t="s">
        <v>33</v>
      </c>
    </row>
    <row r="11" spans="2:39" x14ac:dyDescent="0.25">
      <c r="B11" s="22"/>
      <c r="C11" s="63" t="s">
        <v>80</v>
      </c>
      <c r="D11" s="14">
        <f t="shared" ref="D11:H12" si="0">D7*0.321</f>
        <v>1685.25</v>
      </c>
      <c r="E11" s="14">
        <f t="shared" si="0"/>
        <v>1685.25</v>
      </c>
      <c r="F11" s="14">
        <f t="shared" si="0"/>
        <v>1157.2049999999999</v>
      </c>
      <c r="G11" s="14">
        <f t="shared" si="0"/>
        <v>1191.9211500000001</v>
      </c>
      <c r="H11" s="14">
        <f t="shared" si="0"/>
        <v>1227.6787845000001</v>
      </c>
      <c r="J11" s="14">
        <f>SUM(D11:H11)</f>
        <v>6947.3049344999999</v>
      </c>
    </row>
    <row r="12" spans="2:39" x14ac:dyDescent="0.25">
      <c r="B12" s="22"/>
      <c r="C12" s="63" t="s">
        <v>70</v>
      </c>
      <c r="D12" s="14">
        <f t="shared" si="0"/>
        <v>4574.25</v>
      </c>
      <c r="E12" s="14">
        <f t="shared" si="0"/>
        <v>4574.25</v>
      </c>
      <c r="F12" s="14">
        <f t="shared" si="0"/>
        <v>3140.9850000000001</v>
      </c>
      <c r="G12" s="14">
        <f t="shared" si="0"/>
        <v>3235.2145500000006</v>
      </c>
      <c r="H12" s="14">
        <f t="shared" si="0"/>
        <v>3332.2709865000002</v>
      </c>
      <c r="J12" s="14">
        <f>SUM(D12:H12)</f>
        <v>18856.970536500001</v>
      </c>
    </row>
    <row r="13" spans="2:39" x14ac:dyDescent="0.25">
      <c r="B13" s="22"/>
      <c r="C13" s="9" t="s">
        <v>13</v>
      </c>
      <c r="D13" s="15">
        <f t="shared" ref="D13:J13" si="1">SUM(D12:D12)</f>
        <v>4574.25</v>
      </c>
      <c r="E13" s="15">
        <f t="shared" si="1"/>
        <v>4574.25</v>
      </c>
      <c r="F13" s="15">
        <f t="shared" si="1"/>
        <v>3140.9850000000001</v>
      </c>
      <c r="G13" s="15">
        <f t="shared" si="1"/>
        <v>3235.2145500000006</v>
      </c>
      <c r="H13" s="15">
        <f t="shared" si="1"/>
        <v>3332.2709865000002</v>
      </c>
      <c r="I13" s="7">
        <f t="shared" si="1"/>
        <v>0</v>
      </c>
      <c r="J13" s="15">
        <f t="shared" si="1"/>
        <v>18856.970536500001</v>
      </c>
    </row>
    <row r="14" spans="2:39" x14ac:dyDescent="0.25">
      <c r="B14" s="22"/>
      <c r="C14" s="13" t="s">
        <v>38</v>
      </c>
      <c r="D14" s="12" t="s">
        <v>33</v>
      </c>
      <c r="E14" s="10"/>
      <c r="F14" s="10"/>
      <c r="G14" s="10"/>
      <c r="H14" s="10"/>
      <c r="J14" s="8" t="s">
        <v>33</v>
      </c>
    </row>
    <row r="15" spans="2:39" ht="30" x14ac:dyDescent="0.25">
      <c r="B15" s="22"/>
      <c r="C15" s="64" t="s">
        <v>89</v>
      </c>
      <c r="D15" s="14">
        <f>200*0.54</f>
        <v>108</v>
      </c>
      <c r="E15" s="14">
        <f t="shared" ref="E15:H15" si="2">200*0.54</f>
        <v>108</v>
      </c>
      <c r="F15" s="14">
        <f t="shared" si="2"/>
        <v>108</v>
      </c>
      <c r="G15" s="14">
        <f t="shared" si="2"/>
        <v>108</v>
      </c>
      <c r="H15" s="14">
        <f t="shared" si="2"/>
        <v>108</v>
      </c>
      <c r="J15" s="14">
        <f t="shared" ref="J15" si="3">SUM(D15:H15)</f>
        <v>540</v>
      </c>
    </row>
    <row r="16" spans="2:39" x14ac:dyDescent="0.25">
      <c r="B16" s="22"/>
      <c r="C16" s="9" t="s">
        <v>14</v>
      </c>
      <c r="D16" s="15">
        <f>D15</f>
        <v>108</v>
      </c>
      <c r="E16" s="15">
        <f t="shared" ref="E16:I16" si="4">E15</f>
        <v>108</v>
      </c>
      <c r="F16" s="15">
        <f t="shared" si="4"/>
        <v>108</v>
      </c>
      <c r="G16" s="15">
        <f t="shared" si="4"/>
        <v>108</v>
      </c>
      <c r="H16" s="15">
        <f t="shared" si="4"/>
        <v>108</v>
      </c>
      <c r="I16" s="15">
        <f t="shared" si="4"/>
        <v>0</v>
      </c>
      <c r="J16" s="15">
        <f>SUM(D16:H16)</f>
        <v>540</v>
      </c>
    </row>
    <row r="17" spans="2:10" x14ac:dyDescent="0.25">
      <c r="B17" s="22"/>
      <c r="C17" s="13" t="s">
        <v>39</v>
      </c>
      <c r="D17" s="14"/>
      <c r="E17" s="10"/>
      <c r="F17" s="10"/>
      <c r="G17" s="10"/>
      <c r="H17" s="10"/>
      <c r="J17" s="14" t="s">
        <v>20</v>
      </c>
    </row>
    <row r="18" spans="2:10" x14ac:dyDescent="0.25">
      <c r="B18" s="22"/>
      <c r="C18" s="64" t="s">
        <v>40</v>
      </c>
      <c r="D18" s="14"/>
      <c r="E18" s="10"/>
      <c r="F18" s="10"/>
      <c r="G18" s="10"/>
      <c r="H18" s="10"/>
      <c r="J18" s="14">
        <f>SUM(D18:H18)</f>
        <v>0</v>
      </c>
    </row>
    <row r="19" spans="2:10" x14ac:dyDescent="0.25">
      <c r="B19" s="22"/>
      <c r="C19" s="9" t="s">
        <v>15</v>
      </c>
      <c r="D19" s="11">
        <f>SUM(D18:D18)</f>
        <v>0</v>
      </c>
      <c r="E19" s="11">
        <f>SUM(E18:E18)</f>
        <v>0</v>
      </c>
      <c r="F19" s="11">
        <f>SUM(F18:F18)</f>
        <v>0</v>
      </c>
      <c r="G19" s="11">
        <f>SUM(G18:G18)</f>
        <v>0</v>
      </c>
      <c r="H19" s="11">
        <f>SUM(H18:H18)</f>
        <v>0</v>
      </c>
      <c r="J19" s="15">
        <f t="shared" ref="J19:J32" si="5">SUM(D19:H19)</f>
        <v>0</v>
      </c>
    </row>
    <row r="20" spans="2:10" x14ac:dyDescent="0.25">
      <c r="B20" s="22"/>
      <c r="C20" s="13" t="s">
        <v>41</v>
      </c>
      <c r="D20" s="12" t="s">
        <v>33</v>
      </c>
      <c r="E20" s="10"/>
      <c r="F20" s="10"/>
      <c r="G20" s="10"/>
      <c r="H20" s="10"/>
      <c r="J20" s="14"/>
    </row>
    <row r="21" spans="2:10" x14ac:dyDescent="0.25">
      <c r="B21" s="22"/>
      <c r="C21" s="64" t="s">
        <v>40</v>
      </c>
      <c r="D21" s="14"/>
      <c r="E21" s="14"/>
      <c r="F21" s="14"/>
      <c r="G21" s="14"/>
      <c r="H21" s="14"/>
      <c r="I21" s="31">
        <v>5000</v>
      </c>
      <c r="J21" s="14">
        <f t="shared" si="5"/>
        <v>0</v>
      </c>
    </row>
    <row r="22" spans="2:10" x14ac:dyDescent="0.25">
      <c r="B22" s="22"/>
      <c r="C22" s="9" t="s">
        <v>16</v>
      </c>
      <c r="D22" s="15">
        <f>SUM(D21:D21)</f>
        <v>0</v>
      </c>
      <c r="E22" s="15">
        <f>SUM(E21:E21)</f>
        <v>0</v>
      </c>
      <c r="F22" s="15">
        <f>SUM(F21:F21)</f>
        <v>0</v>
      </c>
      <c r="G22" s="15">
        <f>SUM(G21:G21)</f>
        <v>0</v>
      </c>
      <c r="H22" s="15">
        <f>SUM(H21:H21)</f>
        <v>0</v>
      </c>
      <c r="J22" s="15">
        <f t="shared" si="5"/>
        <v>0</v>
      </c>
    </row>
    <row r="23" spans="2:10" x14ac:dyDescent="0.25">
      <c r="B23" s="22"/>
      <c r="C23" s="13" t="s">
        <v>42</v>
      </c>
      <c r="D23" s="12" t="s">
        <v>33</v>
      </c>
      <c r="E23" s="10"/>
      <c r="F23" s="10"/>
      <c r="G23" s="10"/>
      <c r="H23" s="10"/>
      <c r="J23" s="14"/>
    </row>
    <row r="24" spans="2:10" x14ac:dyDescent="0.25">
      <c r="B24" s="22"/>
      <c r="C24" s="64" t="s">
        <v>40</v>
      </c>
      <c r="D24" s="14"/>
      <c r="E24" s="14"/>
      <c r="F24" s="14"/>
      <c r="G24" s="14"/>
      <c r="H24" s="14"/>
      <c r="I24" s="31">
        <v>5106000</v>
      </c>
      <c r="J24" s="14">
        <f t="shared" si="5"/>
        <v>0</v>
      </c>
    </row>
    <row r="25" spans="2:10" x14ac:dyDescent="0.25">
      <c r="B25" s="22"/>
      <c r="C25" s="9" t="s">
        <v>71</v>
      </c>
      <c r="D25" s="15">
        <f>SUM(D24:D24)</f>
        <v>0</v>
      </c>
      <c r="E25" s="15">
        <f>SUM(E24:E24)</f>
        <v>0</v>
      </c>
      <c r="F25" s="15">
        <f>SUM(F24:F24)</f>
        <v>0</v>
      </c>
      <c r="G25" s="15">
        <f>SUM(G24:G24)</f>
        <v>0</v>
      </c>
      <c r="H25" s="15">
        <f>SUM(H24:H24)</f>
        <v>0</v>
      </c>
      <c r="J25" s="15">
        <f t="shared" si="5"/>
        <v>0</v>
      </c>
    </row>
    <row r="26" spans="2:10" x14ac:dyDescent="0.25">
      <c r="B26" s="22"/>
      <c r="C26" s="13" t="s">
        <v>72</v>
      </c>
      <c r="D26" s="12" t="s">
        <v>33</v>
      </c>
      <c r="E26" s="10"/>
      <c r="F26" s="10"/>
      <c r="G26" s="10"/>
      <c r="H26" s="10"/>
      <c r="J26" s="14"/>
    </row>
    <row r="27" spans="2:10" ht="45" x14ac:dyDescent="0.25">
      <c r="B27" s="22"/>
      <c r="C27" s="63" t="s">
        <v>73</v>
      </c>
      <c r="D27" s="14">
        <v>75000</v>
      </c>
      <c r="E27" s="14">
        <v>70000</v>
      </c>
      <c r="F27" s="14">
        <v>50000</v>
      </c>
      <c r="G27" s="14">
        <v>50000</v>
      </c>
      <c r="H27" s="14">
        <v>50000</v>
      </c>
      <c r="I27" s="31">
        <v>375000</v>
      </c>
      <c r="J27" s="14">
        <f t="shared" si="5"/>
        <v>295000</v>
      </c>
    </row>
    <row r="28" spans="2:10" ht="45" x14ac:dyDescent="0.25">
      <c r="B28" s="22"/>
      <c r="C28" s="63" t="s">
        <v>74</v>
      </c>
      <c r="D28" s="14">
        <v>11000</v>
      </c>
      <c r="E28" s="14">
        <v>10000</v>
      </c>
      <c r="F28" s="14">
        <v>8000</v>
      </c>
      <c r="G28" s="14">
        <v>8000</v>
      </c>
      <c r="H28" s="14">
        <v>8000</v>
      </c>
      <c r="I28" s="31">
        <v>781250</v>
      </c>
      <c r="J28" s="14">
        <f t="shared" si="5"/>
        <v>45000</v>
      </c>
    </row>
    <row r="29" spans="2:10" ht="45" x14ac:dyDescent="0.25">
      <c r="B29" s="22"/>
      <c r="C29" s="63" t="s">
        <v>75</v>
      </c>
      <c r="D29" s="14">
        <v>8000</v>
      </c>
      <c r="E29" s="14">
        <v>8000</v>
      </c>
      <c r="F29" s="14">
        <v>7000</v>
      </c>
      <c r="G29" s="14">
        <v>6000</v>
      </c>
      <c r="H29" s="14">
        <v>6000</v>
      </c>
      <c r="I29" s="31">
        <v>2083335</v>
      </c>
      <c r="J29" s="14">
        <f t="shared" si="5"/>
        <v>35000</v>
      </c>
    </row>
    <row r="30" spans="2:10" ht="45" x14ac:dyDescent="0.25">
      <c r="B30" s="22"/>
      <c r="C30" s="63" t="s">
        <v>76</v>
      </c>
      <c r="D30" s="14">
        <v>6000</v>
      </c>
      <c r="E30" s="14">
        <v>6000</v>
      </c>
      <c r="F30" s="14">
        <v>6000</v>
      </c>
      <c r="G30" s="14">
        <v>6000</v>
      </c>
      <c r="H30" s="14">
        <v>6000</v>
      </c>
      <c r="J30" s="14">
        <f t="shared" si="5"/>
        <v>30000</v>
      </c>
    </row>
    <row r="31" spans="2:10" x14ac:dyDescent="0.25">
      <c r="B31" s="23"/>
      <c r="C31" s="9" t="s">
        <v>18</v>
      </c>
      <c r="D31" s="15">
        <f>SUM(D27:D30)</f>
        <v>100000</v>
      </c>
      <c r="E31" s="15">
        <f>SUM(E27:E30)</f>
        <v>94000</v>
      </c>
      <c r="F31" s="15">
        <f>SUM(F27:F30)</f>
        <v>71000</v>
      </c>
      <c r="G31" s="15">
        <f>SUM(G27:G30)</f>
        <v>70000</v>
      </c>
      <c r="H31" s="15">
        <f>SUM(H27:H30)</f>
        <v>70000</v>
      </c>
      <c r="J31" s="15">
        <f t="shared" si="5"/>
        <v>405000</v>
      </c>
    </row>
    <row r="32" spans="2:10" x14ac:dyDescent="0.25">
      <c r="B32" s="23"/>
      <c r="C32" s="9" t="s">
        <v>19</v>
      </c>
      <c r="D32" s="15">
        <f>SUM(D31,D25,D22,D19,D16,D13,D9)</f>
        <v>124182.25</v>
      </c>
      <c r="E32" s="15">
        <f>SUM(E31,E25,E22,E19,E16,E13,E9)</f>
        <v>118182.25</v>
      </c>
      <c r="F32" s="15">
        <f>SUM(F31,F25,F22,F19,F16,F13,F9)</f>
        <v>87638.985000000001</v>
      </c>
      <c r="G32" s="15">
        <f>SUM(G31,G25,G22,G19,G16,G13,G9)</f>
        <v>87134.914550000001</v>
      </c>
      <c r="H32" s="15">
        <f>SUM(H31,H25,H22,H19,H16,H13,H9)</f>
        <v>87645.721986500008</v>
      </c>
      <c r="J32" s="15">
        <f t="shared" si="5"/>
        <v>504784.1215365</v>
      </c>
    </row>
    <row r="33" spans="2:10" x14ac:dyDescent="0.25">
      <c r="B33" s="6"/>
      <c r="D33"/>
      <c r="E33"/>
      <c r="H33"/>
      <c r="I33"/>
      <c r="J33" t="s">
        <v>20</v>
      </c>
    </row>
    <row r="34" spans="2:10" ht="30" x14ac:dyDescent="0.25">
      <c r="B34" s="62" t="s">
        <v>51</v>
      </c>
      <c r="C34" s="16" t="s">
        <v>51</v>
      </c>
      <c r="D34" s="17"/>
      <c r="E34" s="17"/>
      <c r="F34" s="17"/>
      <c r="G34" s="17"/>
      <c r="H34" s="17"/>
      <c r="I34"/>
      <c r="J34" s="17" t="s">
        <v>20</v>
      </c>
    </row>
    <row r="35" spans="2:10" x14ac:dyDescent="0.25">
      <c r="B35" s="22"/>
      <c r="C35" s="24" t="s">
        <v>52</v>
      </c>
      <c r="D35" s="14">
        <f>D9*0.909</f>
        <v>17725.5</v>
      </c>
      <c r="E35" s="14">
        <f>E9*0.909</f>
        <v>17725.5</v>
      </c>
      <c r="F35" s="14">
        <f>F9*0.909</f>
        <v>12171.51</v>
      </c>
      <c r="G35" s="14">
        <f>G9*0.909</f>
        <v>12536.6553</v>
      </c>
      <c r="H35" s="14">
        <f>H9*0.909</f>
        <v>12912.754959000002</v>
      </c>
      <c r="J35" s="14">
        <f>SUM(D35:H35)</f>
        <v>73071.920259000006</v>
      </c>
    </row>
    <row r="36" spans="2:10" x14ac:dyDescent="0.25">
      <c r="B36" s="22"/>
      <c r="C36" s="24" t="s">
        <v>53</v>
      </c>
      <c r="D36" s="12"/>
      <c r="E36" s="10"/>
      <c r="F36" s="10"/>
      <c r="G36" s="10"/>
      <c r="H36" s="10"/>
      <c r="J36" s="14">
        <f t="shared" ref="J36:J37" si="6">SUM(D36:H36)</f>
        <v>0</v>
      </c>
    </row>
    <row r="37" spans="2:10" x14ac:dyDescent="0.25">
      <c r="B37" s="23"/>
      <c r="C37" s="9" t="s">
        <v>21</v>
      </c>
      <c r="D37" s="15">
        <f>SUM(D35:D36)</f>
        <v>17725.5</v>
      </c>
      <c r="E37" s="15">
        <f t="shared" ref="E37:H37" si="7">SUM(E35:E36)</f>
        <v>17725.5</v>
      </c>
      <c r="F37" s="15">
        <f t="shared" si="7"/>
        <v>12171.51</v>
      </c>
      <c r="G37" s="15">
        <f t="shared" si="7"/>
        <v>12536.6553</v>
      </c>
      <c r="H37" s="15">
        <f t="shared" si="7"/>
        <v>12912.754959000002</v>
      </c>
      <c r="J37" s="15">
        <f t="shared" si="6"/>
        <v>73071.920259000006</v>
      </c>
    </row>
    <row r="38" spans="2:10" ht="15.75" thickBot="1" x14ac:dyDescent="0.3">
      <c r="B38" s="6"/>
      <c r="D38"/>
      <c r="E38"/>
      <c r="H38"/>
      <c r="I38"/>
      <c r="J38" t="s">
        <v>20</v>
      </c>
    </row>
    <row r="39" spans="2:10" s="1" customFormat="1" ht="30.75" thickBot="1" x14ac:dyDescent="0.3">
      <c r="B39" s="18" t="s">
        <v>22</v>
      </c>
      <c r="C39" s="18"/>
      <c r="D39" s="19">
        <f>SUM(D37,D32)</f>
        <v>141907.75</v>
      </c>
      <c r="E39" s="19">
        <f t="shared" ref="E39:J39" si="8">SUM(E37,E32)</f>
        <v>135907.75</v>
      </c>
      <c r="F39" s="19">
        <f t="shared" si="8"/>
        <v>99810.494999999995</v>
      </c>
      <c r="G39" s="19">
        <f t="shared" si="8"/>
        <v>99671.56985</v>
      </c>
      <c r="H39" s="19">
        <f t="shared" si="8"/>
        <v>100558.47694550001</v>
      </c>
      <c r="I39" s="7">
        <f>SUM(I37,I32)</f>
        <v>0</v>
      </c>
      <c r="J39" s="19">
        <f t="shared" si="8"/>
        <v>577856.04179549997</v>
      </c>
    </row>
    <row r="40" spans="2:10" x14ac:dyDescent="0.25">
      <c r="B40" s="6"/>
    </row>
    <row r="41" spans="2:10" x14ac:dyDescent="0.25">
      <c r="B41" s="6"/>
    </row>
    <row r="42" spans="2:10" x14ac:dyDescent="0.25">
      <c r="B42" s="6"/>
    </row>
    <row r="43" spans="2:10" x14ac:dyDescent="0.25">
      <c r="B43" s="6"/>
    </row>
    <row r="44" spans="2:10" x14ac:dyDescent="0.25">
      <c r="B44" s="6"/>
    </row>
    <row r="45" spans="2:10" x14ac:dyDescent="0.25">
      <c r="B45" s="6"/>
    </row>
    <row r="46" spans="2:10" x14ac:dyDescent="0.25">
      <c r="B46" s="6"/>
    </row>
    <row r="47" spans="2:10" x14ac:dyDescent="0.25">
      <c r="B47" s="6"/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</sheetData>
  <pageMargins left="0.7" right="0.7" top="0.75" bottom="0.75" header="0.3" footer="0.3"/>
  <pageSetup scale="89" fitToHeight="0" orientation="landscape" r:id="rId1"/>
  <ignoredErrors>
    <ignoredError sqref="J8 J21 J24 J27:J2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FB6C31F7B677469C7CC8B9DD6B63D0" ma:contentTypeVersion="20" ma:contentTypeDescription="Create a new document." ma:contentTypeScope="" ma:versionID="41fe75f13e371b43ebb56c86ad494a43">
  <xsd:schema xmlns:xsd="http://www.w3.org/2001/XMLSchema" xmlns:xs="http://www.w3.org/2001/XMLSchema" xmlns:p="http://schemas.microsoft.com/office/2006/metadata/properties" xmlns:ns2="6a68dead-cc65-4be7-a1c5-fad9282055f1" xmlns:ns3="4a7dbaee-d756-4a4b-b1f5-897b4f3c31a2" targetNamespace="http://schemas.microsoft.com/office/2006/metadata/properties" ma:root="true" ma:fieldsID="daf1be0b90193904f6bcec89605ae193" ns2:_="" ns3:_="">
    <xsd:import namespace="6a68dead-cc65-4be7-a1c5-fad9282055f1"/>
    <xsd:import namespace="4a7dbaee-d756-4a4b-b1f5-897b4f3c31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te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68dead-cc65-4be7-a1c5-fad928205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940289e-7c2c-41a1-9630-5237cb6f5e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tes" ma:index="24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7dbaee-d756-4a4b-b1f5-897b4f3c31a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ba92791-a091-4576-94e9-d1a1f2b1cef0}" ma:internalName="TaxCatchAll" ma:showField="CatchAllData" ma:web="4a7dbaee-d756-4a4b-b1f5-897b4f3c31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a7dbaee-d756-4a4b-b1f5-897b4f3c31a2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6a68dead-cc65-4be7-a1c5-fad9282055f1">
      <Terms xmlns="http://schemas.microsoft.com/office/infopath/2007/PartnerControls"/>
    </lcf76f155ced4ddcb4097134ff3c332f>
    <TaxCatchAll xmlns="4a7dbaee-d756-4a4b-b1f5-897b4f3c31a2" xsi:nil="true"/>
    <Notes xmlns="6a68dead-cc65-4be7-a1c5-fad9282055f1" xsi:nil="true"/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10AE16-230B-44DC-8089-FE2356F36D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68dead-cc65-4be7-a1c5-fad9282055f1"/>
    <ds:schemaRef ds:uri="4a7dbaee-d756-4a4b-b1f5-897b4f3c31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4a7dbaee-d756-4a4b-b1f5-897b4f3c31a2"/>
    <ds:schemaRef ds:uri="http://schemas.openxmlformats.org/package/2006/metadata/core-properties"/>
    <ds:schemaRef ds:uri="6a68dead-cc65-4be7-a1c5-fad9282055f1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2024-04-01T20:05:24Z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0x010100F6FB6C31F7B677469C7CC8B9DD6B63D0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