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mapc365.sharepoint.com/sites/CleanEnergy/Shared Documents/CE Proposals/Climate Pollution Reduction Grant (Implementation)/Draft/"/>
    </mc:Choice>
  </mc:AlternateContent>
  <xr:revisionPtr revIDLastSave="1327" documentId="8_{9AC81A4E-8C8A-4607-AF8D-21B6E2B31B56}" xr6:coauthVersionLast="47" xr6:coauthVersionMax="47" xr10:uidLastSave="{F8DC015E-4873-4CCA-B0DE-2CCFD33F03B4}"/>
  <bookViews>
    <workbookView xWindow="-38520" yWindow="-120" windowWidth="38640" windowHeight="21840" tabRatio="597" activeTab="2" xr2:uid="{73486EEB-C9B2-432E-8ABB-7C9C32E4BB9A}"/>
  </bookViews>
  <sheets>
    <sheet name="Energy Model Output" sheetId="2" r:id="rId1"/>
    <sheet name="Pre- and Post-Retrofit Energy" sheetId="3" r:id="rId2"/>
    <sheet name="2030 and 2050 GHG Projections" sheetId="4" r:id="rId3"/>
    <sheet name="Emissions Factors" sheetId="1" r:id="rId4"/>
  </sheets>
  <calcPr calcId="191029"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4" l="1"/>
  <c r="C120" i="4"/>
  <c r="D120" i="4"/>
  <c r="E120" i="4"/>
  <c r="F120" i="4"/>
  <c r="G120" i="4"/>
  <c r="H120" i="4"/>
  <c r="I120" i="4"/>
  <c r="J120" i="4"/>
  <c r="K120" i="4"/>
  <c r="L120" i="4"/>
  <c r="M120" i="4"/>
  <c r="N120" i="4"/>
  <c r="O120" i="4"/>
  <c r="P120" i="4"/>
  <c r="Q120" i="4"/>
  <c r="R120" i="4"/>
  <c r="S120" i="4"/>
  <c r="T120" i="4"/>
  <c r="U120" i="4"/>
  <c r="V120" i="4"/>
  <c r="W120" i="4"/>
  <c r="X120" i="4"/>
  <c r="Y120" i="4"/>
  <c r="B120" i="4"/>
  <c r="C115" i="4" l="1"/>
  <c r="D115" i="4"/>
  <c r="E115" i="4"/>
  <c r="F115" i="4"/>
  <c r="G115" i="4"/>
  <c r="H115" i="4"/>
  <c r="I115" i="4"/>
  <c r="J115" i="4"/>
  <c r="K115" i="4"/>
  <c r="L115" i="4"/>
  <c r="M115" i="4"/>
  <c r="N115" i="4"/>
  <c r="O115" i="4"/>
  <c r="P115" i="4"/>
  <c r="Q115" i="4"/>
  <c r="R115" i="4"/>
  <c r="R116" i="4" s="1"/>
  <c r="S115" i="4"/>
  <c r="T115" i="4"/>
  <c r="U115" i="4"/>
  <c r="V115" i="4"/>
  <c r="W115" i="4"/>
  <c r="X115" i="4"/>
  <c r="Y115" i="4"/>
  <c r="B115" i="4"/>
  <c r="C114" i="4"/>
  <c r="D114" i="4"/>
  <c r="E114" i="4"/>
  <c r="F114" i="4"/>
  <c r="G114" i="4"/>
  <c r="G116" i="4" s="1"/>
  <c r="H114" i="4"/>
  <c r="I114" i="4"/>
  <c r="I116" i="4" s="1"/>
  <c r="J114" i="4"/>
  <c r="J116" i="4" s="1"/>
  <c r="K114" i="4"/>
  <c r="L114" i="4"/>
  <c r="M114" i="4"/>
  <c r="M116" i="4" s="1"/>
  <c r="M119" i="4" s="1"/>
  <c r="N114" i="4"/>
  <c r="N116" i="4" s="1"/>
  <c r="O114" i="4"/>
  <c r="P114" i="4"/>
  <c r="Q114" i="4"/>
  <c r="R114" i="4"/>
  <c r="S114" i="4"/>
  <c r="S116" i="4" s="1"/>
  <c r="T114" i="4"/>
  <c r="U114" i="4"/>
  <c r="U116" i="4" s="1"/>
  <c r="V114" i="4"/>
  <c r="V116" i="4" s="1"/>
  <c r="W114" i="4"/>
  <c r="X114" i="4"/>
  <c r="Y114" i="4"/>
  <c r="B86" i="4"/>
  <c r="C86" i="4"/>
  <c r="B114" i="4"/>
  <c r="B116" i="4" s="1"/>
  <c r="C111" i="4"/>
  <c r="D111" i="4"/>
  <c r="E111" i="4"/>
  <c r="F111" i="4"/>
  <c r="G111" i="4"/>
  <c r="G119" i="4" s="1"/>
  <c r="H111" i="4"/>
  <c r="I111" i="4"/>
  <c r="J111" i="4"/>
  <c r="K111" i="4"/>
  <c r="L111" i="4"/>
  <c r="M111" i="4"/>
  <c r="N111" i="4"/>
  <c r="O111" i="4"/>
  <c r="P111" i="4"/>
  <c r="Q111" i="4"/>
  <c r="R111" i="4"/>
  <c r="S111" i="4"/>
  <c r="T111" i="4"/>
  <c r="U111" i="4"/>
  <c r="V111" i="4"/>
  <c r="V119" i="4" s="1"/>
  <c r="W111" i="4"/>
  <c r="X111" i="4"/>
  <c r="Y111" i="4"/>
  <c r="B111" i="4"/>
  <c r="C116" i="4"/>
  <c r="C119" i="4" s="1"/>
  <c r="E116" i="4"/>
  <c r="E119" i="4" s="1"/>
  <c r="B83" i="4"/>
  <c r="D86" i="4"/>
  <c r="E86" i="4"/>
  <c r="F86" i="4"/>
  <c r="G86" i="4"/>
  <c r="H86" i="4"/>
  <c r="I86" i="4"/>
  <c r="J86" i="4"/>
  <c r="K86" i="4"/>
  <c r="L86" i="4"/>
  <c r="M86" i="4"/>
  <c r="N86" i="4"/>
  <c r="O86" i="4"/>
  <c r="P86" i="4"/>
  <c r="Q86" i="4"/>
  <c r="R86" i="4"/>
  <c r="S86" i="4"/>
  <c r="T86" i="4"/>
  <c r="U86" i="4"/>
  <c r="V86" i="4"/>
  <c r="W86" i="4"/>
  <c r="X86" i="4"/>
  <c r="Y86" i="4"/>
  <c r="E32" i="3"/>
  <c r="B48" i="3"/>
  <c r="B4" i="4"/>
  <c r="D9" i="3"/>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17" i="1"/>
  <c r="D28" i="1"/>
  <c r="D29" i="1" s="1"/>
  <c r="D30" i="1" s="1"/>
  <c r="D31" i="1" s="1"/>
  <c r="D32" i="1" s="1"/>
  <c r="D33" i="1" s="1"/>
  <c r="D34" i="1" s="1"/>
  <c r="D35" i="1" s="1"/>
  <c r="D36" i="1" s="1"/>
  <c r="D37" i="1" s="1"/>
  <c r="D38" i="1" s="1"/>
  <c r="D39" i="1" s="1"/>
  <c r="D40" i="1" s="1"/>
  <c r="D41" i="1" s="1"/>
  <c r="D42" i="1" s="1"/>
  <c r="D43" i="1" s="1"/>
  <c r="D44" i="1" s="1"/>
  <c r="D45" i="1" s="1"/>
  <c r="D27" i="1"/>
  <c r="E16" i="1"/>
  <c r="D25" i="1"/>
  <c r="D24" i="1"/>
  <c r="D23" i="1"/>
  <c r="D22" i="1"/>
  <c r="D21" i="1"/>
  <c r="D20" i="1"/>
  <c r="D19" i="1"/>
  <c r="D18" i="1"/>
  <c r="D17" i="1"/>
  <c r="D16" i="1"/>
  <c r="E12" i="3"/>
  <c r="E14" i="3"/>
  <c r="E16" i="3"/>
  <c r="N28" i="4" s="1"/>
  <c r="E10" i="3"/>
  <c r="E8" i="3"/>
  <c r="F26" i="2"/>
  <c r="F25" i="2"/>
  <c r="F24" i="2"/>
  <c r="F27" i="2" s="1"/>
  <c r="G30" i="2"/>
  <c r="G16" i="2"/>
  <c r="G7" i="2"/>
  <c r="G8" i="2"/>
  <c r="G9" i="2"/>
  <c r="G10" i="2"/>
  <c r="G11" i="2"/>
  <c r="G12" i="2"/>
  <c r="G13" i="2"/>
  <c r="G6" i="2"/>
  <c r="F13" i="2"/>
  <c r="F12" i="2"/>
  <c r="F11" i="2"/>
  <c r="F10" i="2"/>
  <c r="F9" i="2"/>
  <c r="F8" i="2"/>
  <c r="F7" i="2"/>
  <c r="F6" i="2"/>
  <c r="F14" i="2" s="1"/>
  <c r="F17" i="2" s="1"/>
  <c r="F20" i="2" s="1"/>
  <c r="X116" i="4" l="1"/>
  <c r="D116" i="4"/>
  <c r="W116" i="4"/>
  <c r="S119" i="4"/>
  <c r="X119" i="4"/>
  <c r="D119" i="4"/>
  <c r="W119" i="4"/>
  <c r="Y116" i="4"/>
  <c r="Y119" i="4" s="1"/>
  <c r="L116" i="4"/>
  <c r="F116" i="4"/>
  <c r="F119" i="4" s="1"/>
  <c r="J119" i="4"/>
  <c r="P116" i="4"/>
  <c r="P119" i="4" s="1"/>
  <c r="B119" i="4"/>
  <c r="B122" i="4" s="1"/>
  <c r="B129" i="4" s="1"/>
  <c r="B132" i="4" s="1"/>
  <c r="I119" i="4"/>
  <c r="L119" i="4"/>
  <c r="K116" i="4"/>
  <c r="K119" i="4" s="1"/>
  <c r="U119" i="4"/>
  <c r="H116" i="4"/>
  <c r="H119" i="4" s="1"/>
  <c r="Q116" i="4"/>
  <c r="Q119" i="4" s="1"/>
  <c r="T116" i="4"/>
  <c r="T119" i="4" s="1"/>
  <c r="O116" i="4"/>
  <c r="O119" i="4" s="1"/>
  <c r="R119" i="4"/>
  <c r="N119" i="4"/>
  <c r="F30" i="2"/>
  <c r="F34" i="2" s="1"/>
  <c r="D12" i="3"/>
  <c r="F12" i="3" s="1"/>
  <c r="D32" i="3"/>
  <c r="F32" i="3" s="1"/>
  <c r="D8" i="3"/>
  <c r="D16" i="3"/>
  <c r="D20" i="4" s="1"/>
  <c r="D10" i="3"/>
  <c r="F10" i="3" s="1"/>
  <c r="U17" i="4" s="1"/>
  <c r="D14" i="3"/>
  <c r="F14" i="3" s="1"/>
  <c r="W19" i="4" s="1"/>
  <c r="D7" i="3"/>
  <c r="D15" i="3"/>
  <c r="F15" i="3" s="1"/>
  <c r="D13" i="3"/>
  <c r="F13" i="3" s="1"/>
  <c r="D31" i="3"/>
  <c r="D11" i="3"/>
  <c r="V18" i="4" s="1"/>
  <c r="H59" i="4"/>
  <c r="P55" i="4"/>
  <c r="Y59" i="4"/>
  <c r="O55" i="4"/>
  <c r="N55" i="4"/>
  <c r="L55" i="4"/>
  <c r="K55" i="4"/>
  <c r="T59" i="4"/>
  <c r="K83" i="4"/>
  <c r="H18" i="4"/>
  <c r="X18" i="4"/>
  <c r="W18" i="4"/>
  <c r="R17" i="4"/>
  <c r="J18" i="4"/>
  <c r="G18" i="4"/>
  <c r="D18" i="4"/>
  <c r="E18" i="4"/>
  <c r="P17" i="4"/>
  <c r="Q18" i="4"/>
  <c r="H19" i="4"/>
  <c r="I18" i="4"/>
  <c r="U18" i="4"/>
  <c r="Y19" i="4"/>
  <c r="L16" i="4"/>
  <c r="K16" i="4"/>
  <c r="S18" i="4"/>
  <c r="J16" i="4"/>
  <c r="N17" i="4"/>
  <c r="R18" i="4"/>
  <c r="I16" i="4"/>
  <c r="N18" i="4"/>
  <c r="E16" i="4"/>
  <c r="M18" i="4"/>
  <c r="D16" i="4"/>
  <c r="L18" i="4"/>
  <c r="P19" i="4"/>
  <c r="B19" i="4"/>
  <c r="H16" i="4"/>
  <c r="F16" i="4"/>
  <c r="C16" i="4"/>
  <c r="N16" i="4"/>
  <c r="F19" i="4"/>
  <c r="M16" i="4"/>
  <c r="G16" i="4"/>
  <c r="B16" i="4"/>
  <c r="I17" i="4"/>
  <c r="E28" i="4"/>
  <c r="B28" i="4"/>
  <c r="F7" i="3"/>
  <c r="C28" i="4"/>
  <c r="F9" i="3"/>
  <c r="F8" i="3"/>
  <c r="U16" i="4" s="1"/>
  <c r="F28" i="4"/>
  <c r="G28" i="4"/>
  <c r="K28" i="4"/>
  <c r="T28" i="4"/>
  <c r="U28" i="4"/>
  <c r="V28" i="4"/>
  <c r="Y28" i="4"/>
  <c r="W28" i="4"/>
  <c r="O28" i="4"/>
  <c r="P28" i="4"/>
  <c r="Q28" i="4"/>
  <c r="R28" i="4"/>
  <c r="S28" i="4"/>
  <c r="D28" i="4"/>
  <c r="X28" i="4"/>
  <c r="H28" i="4"/>
  <c r="I28" i="4"/>
  <c r="J28" i="4"/>
  <c r="L28" i="4"/>
  <c r="M28" i="4"/>
  <c r="F33" i="2"/>
  <c r="B123" i="4" l="1"/>
  <c r="B130" i="4" s="1"/>
  <c r="B133" i="4" s="1"/>
  <c r="E20" i="4"/>
  <c r="J20" i="4"/>
  <c r="I20" i="4"/>
  <c r="I36" i="4" s="1"/>
  <c r="F16" i="3"/>
  <c r="B20" i="4"/>
  <c r="K20" i="4"/>
  <c r="K36" i="4" s="1"/>
  <c r="L20" i="4"/>
  <c r="F31" i="3"/>
  <c r="F83" i="4"/>
  <c r="P87" i="4"/>
  <c r="R59" i="4"/>
  <c r="H55" i="4"/>
  <c r="C87" i="4"/>
  <c r="Y83" i="4"/>
  <c r="E87" i="4"/>
  <c r="F87" i="4"/>
  <c r="G87" i="4"/>
  <c r="H87" i="4"/>
  <c r="T87" i="4"/>
  <c r="H83" i="4"/>
  <c r="F59" i="4"/>
  <c r="C59" i="4"/>
  <c r="I55" i="4"/>
  <c r="B55" i="4"/>
  <c r="I87" i="4"/>
  <c r="U87" i="4"/>
  <c r="I83" i="4"/>
  <c r="G59" i="4"/>
  <c r="B59" i="4"/>
  <c r="J55" i="4"/>
  <c r="J87" i="4"/>
  <c r="V87" i="4"/>
  <c r="J83" i="4"/>
  <c r="I59" i="4"/>
  <c r="M55" i="4"/>
  <c r="W87" i="4"/>
  <c r="Y87" i="4"/>
  <c r="T83" i="4"/>
  <c r="N87" i="4"/>
  <c r="U83" i="4"/>
  <c r="M59" i="4"/>
  <c r="T55" i="4"/>
  <c r="W83" i="4"/>
  <c r="Q87" i="4"/>
  <c r="E83" i="4"/>
  <c r="S87" i="4"/>
  <c r="L87" i="4"/>
  <c r="R83" i="4"/>
  <c r="R55" i="4"/>
  <c r="M87" i="4"/>
  <c r="S55" i="4"/>
  <c r="B87" i="4"/>
  <c r="O87" i="4"/>
  <c r="V83" i="4"/>
  <c r="D55" i="4"/>
  <c r="X83" i="4"/>
  <c r="Q59" i="4"/>
  <c r="F55" i="4"/>
  <c r="W55" i="4"/>
  <c r="G55" i="4"/>
  <c r="G83" i="4"/>
  <c r="K87" i="4"/>
  <c r="Q83" i="4"/>
  <c r="J59" i="4"/>
  <c r="Q55" i="4"/>
  <c r="X87" i="4"/>
  <c r="K59" i="4"/>
  <c r="L59" i="4"/>
  <c r="C55" i="4"/>
  <c r="C83" i="4"/>
  <c r="N59" i="4"/>
  <c r="U55" i="4"/>
  <c r="D87" i="4"/>
  <c r="D83" i="4"/>
  <c r="P59" i="4"/>
  <c r="E55" i="4"/>
  <c r="V55" i="4"/>
  <c r="R87" i="4"/>
  <c r="X55" i="4"/>
  <c r="S59" i="4"/>
  <c r="Y55" i="4"/>
  <c r="G20" i="4"/>
  <c r="G36" i="4" s="1"/>
  <c r="N19" i="4"/>
  <c r="P18" i="4"/>
  <c r="T18" i="4"/>
  <c r="Q17" i="4"/>
  <c r="G19" i="4"/>
  <c r="D17" i="4"/>
  <c r="D19" i="4"/>
  <c r="W17" i="4"/>
  <c r="T19" i="4"/>
  <c r="X19" i="4"/>
  <c r="T17" i="4"/>
  <c r="H20" i="4"/>
  <c r="H36" i="4" s="1"/>
  <c r="B17" i="4"/>
  <c r="B21" i="4" s="1"/>
  <c r="Q20" i="4"/>
  <c r="Q36" i="4" s="1"/>
  <c r="R20" i="4"/>
  <c r="R36" i="4" s="1"/>
  <c r="I19" i="4"/>
  <c r="M19" i="4"/>
  <c r="S17" i="4"/>
  <c r="L83" i="4"/>
  <c r="N83" i="4"/>
  <c r="P83" i="4"/>
  <c r="R19" i="4"/>
  <c r="E17" i="4"/>
  <c r="Y17" i="4"/>
  <c r="K17" i="4"/>
  <c r="V17" i="4"/>
  <c r="F20" i="4"/>
  <c r="F36" i="4" s="1"/>
  <c r="Q19" i="4"/>
  <c r="U19" i="4"/>
  <c r="V19" i="4"/>
  <c r="E19" i="4"/>
  <c r="J17" i="4"/>
  <c r="J21" i="4" s="1"/>
  <c r="F18" i="4"/>
  <c r="X17" i="4"/>
  <c r="U59" i="4"/>
  <c r="W59" i="4"/>
  <c r="E59" i="4"/>
  <c r="O19" i="4"/>
  <c r="J19" i="4"/>
  <c r="F11" i="3"/>
  <c r="C20" i="4"/>
  <c r="C36" i="4" s="1"/>
  <c r="M20" i="4"/>
  <c r="M36" i="4" s="1"/>
  <c r="S19" i="4"/>
  <c r="K18" i="4"/>
  <c r="H17" i="4"/>
  <c r="C19" i="4"/>
  <c r="B18" i="4"/>
  <c r="L17" i="4"/>
  <c r="Y18" i="4"/>
  <c r="M83" i="4"/>
  <c r="O83" i="4"/>
  <c r="O59" i="4"/>
  <c r="K19" i="4"/>
  <c r="X20" i="4"/>
  <c r="X36" i="4" s="1"/>
  <c r="N20" i="4"/>
  <c r="N36" i="4" s="1"/>
  <c r="O18" i="4"/>
  <c r="G17" i="4"/>
  <c r="F17" i="4"/>
  <c r="C18" i="4"/>
  <c r="L19" i="4"/>
  <c r="V59" i="4"/>
  <c r="D59" i="4"/>
  <c r="C17" i="4"/>
  <c r="M17" i="4"/>
  <c r="O17" i="4"/>
  <c r="X59" i="4"/>
  <c r="S83" i="4"/>
  <c r="B36" i="4"/>
  <c r="E36" i="4"/>
  <c r="P16" i="4"/>
  <c r="W16" i="4"/>
  <c r="Y16" i="4"/>
  <c r="S16" i="4"/>
  <c r="X16" i="4"/>
  <c r="R16" i="4"/>
  <c r="T16" i="4"/>
  <c r="O16" i="4"/>
  <c r="Q16" i="4"/>
  <c r="V16" i="4"/>
  <c r="D36" i="4"/>
  <c r="J36" i="4"/>
  <c r="I21" i="4" l="1"/>
  <c r="M21" i="4"/>
  <c r="L21" i="4"/>
  <c r="K21" i="4"/>
  <c r="L36" i="4"/>
  <c r="H21" i="4"/>
  <c r="G21" i="4"/>
  <c r="C21" i="4"/>
  <c r="W20" i="4"/>
  <c r="W36" i="4" s="1"/>
  <c r="S20" i="4"/>
  <c r="S36" i="4" s="1"/>
  <c r="Y20" i="4"/>
  <c r="Y36" i="4" s="1"/>
  <c r="U20" i="4"/>
  <c r="U36" i="4" s="1"/>
  <c r="P20" i="4"/>
  <c r="P36" i="4" s="1"/>
  <c r="V20" i="4"/>
  <c r="V36" i="4" s="1"/>
  <c r="O20" i="4"/>
  <c r="O36" i="4" s="1"/>
  <c r="T20" i="4"/>
  <c r="T36" i="4" s="1"/>
  <c r="F21" i="4"/>
  <c r="D21" i="4"/>
  <c r="N21" i="4"/>
  <c r="E21" i="4"/>
  <c r="O21" i="4"/>
  <c r="Q21" i="4"/>
  <c r="R21" i="4"/>
  <c r="X21" i="4"/>
  <c r="U21" i="4" l="1"/>
  <c r="W21" i="4"/>
  <c r="S21" i="4"/>
  <c r="P21" i="4"/>
  <c r="V21" i="4"/>
  <c r="T21" i="4"/>
  <c r="Y21" i="4"/>
  <c r="C30" i="2"/>
  <c r="C14" i="2"/>
  <c r="B27" i="2"/>
  <c r="B30" i="2" s="1"/>
  <c r="B14" i="2"/>
  <c r="B17" i="2" s="1"/>
  <c r="B20" i="2" s="1"/>
  <c r="E9" i="1"/>
  <c r="E7" i="1"/>
  <c r="C17" i="2" l="1"/>
  <c r="C33" i="2" s="1"/>
  <c r="G14" i="2"/>
  <c r="B34" i="2"/>
  <c r="C20" i="2"/>
  <c r="C34" i="2" s="1"/>
  <c r="B33" i="2"/>
  <c r="G17" i="2" l="1"/>
  <c r="E15" i="3"/>
  <c r="G20" i="2" l="1"/>
  <c r="G34" i="2" s="1"/>
  <c r="G33" i="2"/>
  <c r="E31" i="3"/>
  <c r="E9" i="3"/>
  <c r="E13" i="3"/>
  <c r="E7" i="3"/>
  <c r="E11" i="3"/>
  <c r="K26" i="4" l="1"/>
  <c r="K34" i="4" s="1"/>
  <c r="P26" i="4"/>
  <c r="P34" i="4" s="1"/>
  <c r="Q26" i="4"/>
  <c r="Q34" i="4" s="1"/>
  <c r="V26" i="4"/>
  <c r="V34" i="4" s="1"/>
  <c r="R26" i="4"/>
  <c r="R34" i="4" s="1"/>
  <c r="L26" i="4"/>
  <c r="L34" i="4" s="1"/>
  <c r="S26" i="4"/>
  <c r="S34" i="4" s="1"/>
  <c r="M26" i="4"/>
  <c r="M34" i="4" s="1"/>
  <c r="F26" i="4"/>
  <c r="F34" i="4" s="1"/>
  <c r="D26" i="4"/>
  <c r="D34" i="4" s="1"/>
  <c r="I26" i="4"/>
  <c r="I34" i="4" s="1"/>
  <c r="N26" i="4"/>
  <c r="N34" i="4" s="1"/>
  <c r="G26" i="4"/>
  <c r="G34" i="4" s="1"/>
  <c r="X26" i="4"/>
  <c r="X34" i="4" s="1"/>
  <c r="U26" i="4"/>
  <c r="U34" i="4" s="1"/>
  <c r="C26" i="4"/>
  <c r="C34" i="4" s="1"/>
  <c r="E26" i="4"/>
  <c r="E34" i="4" s="1"/>
  <c r="B26" i="4"/>
  <c r="B34" i="4" s="1"/>
  <c r="H26" i="4"/>
  <c r="H34" i="4" s="1"/>
  <c r="Y26" i="4"/>
  <c r="Y34" i="4" s="1"/>
  <c r="W26" i="4"/>
  <c r="W34" i="4" s="1"/>
  <c r="J26" i="4"/>
  <c r="J34" i="4" s="1"/>
  <c r="T26" i="4"/>
  <c r="T34" i="4" s="1"/>
  <c r="O26" i="4"/>
  <c r="O34" i="4" s="1"/>
  <c r="W25" i="4"/>
  <c r="W33" i="4" s="1"/>
  <c r="N25" i="4"/>
  <c r="N33" i="4" s="1"/>
  <c r="S25" i="4"/>
  <c r="S33" i="4" s="1"/>
  <c r="Y25" i="4"/>
  <c r="Y33" i="4" s="1"/>
  <c r="G25" i="4"/>
  <c r="G33" i="4" s="1"/>
  <c r="J25" i="4"/>
  <c r="J33" i="4" s="1"/>
  <c r="R25" i="4"/>
  <c r="R33" i="4" s="1"/>
  <c r="B25" i="4"/>
  <c r="B33" i="4" s="1"/>
  <c r="E25" i="4"/>
  <c r="E33" i="4" s="1"/>
  <c r="H25" i="4"/>
  <c r="H33" i="4" s="1"/>
  <c r="I25" i="4"/>
  <c r="I33" i="4" s="1"/>
  <c r="Q25" i="4"/>
  <c r="Q33" i="4" s="1"/>
  <c r="K25" i="4"/>
  <c r="K33" i="4" s="1"/>
  <c r="X25" i="4"/>
  <c r="X33" i="4" s="1"/>
  <c r="F25" i="4"/>
  <c r="F33" i="4" s="1"/>
  <c r="L25" i="4"/>
  <c r="L33" i="4" s="1"/>
  <c r="M25" i="4"/>
  <c r="M33" i="4" s="1"/>
  <c r="P25" i="4"/>
  <c r="P33" i="4" s="1"/>
  <c r="T25" i="4"/>
  <c r="T33" i="4" s="1"/>
  <c r="D25" i="4"/>
  <c r="D33" i="4" s="1"/>
  <c r="C25" i="4"/>
  <c r="C33" i="4" s="1"/>
  <c r="O25" i="4"/>
  <c r="O33" i="4" s="1"/>
  <c r="V25" i="4"/>
  <c r="V33" i="4" s="1"/>
  <c r="U25" i="4"/>
  <c r="U33" i="4" s="1"/>
  <c r="I88" i="4"/>
  <c r="I91" i="4" s="1"/>
  <c r="I92" i="4" s="1"/>
  <c r="U88" i="4"/>
  <c r="U91" i="4" s="1"/>
  <c r="U92" i="4" s="1"/>
  <c r="N58" i="4"/>
  <c r="N60" i="4" s="1"/>
  <c r="N63" i="4" s="1"/>
  <c r="N64" i="4" s="1"/>
  <c r="J88" i="4"/>
  <c r="J91" i="4" s="1"/>
  <c r="J92" i="4" s="1"/>
  <c r="V88" i="4"/>
  <c r="V91" i="4" s="1"/>
  <c r="V92" i="4" s="1"/>
  <c r="U58" i="4"/>
  <c r="U60" i="4" s="1"/>
  <c r="U63" i="4" s="1"/>
  <c r="U64" i="4" s="1"/>
  <c r="K88" i="4"/>
  <c r="K91" i="4" s="1"/>
  <c r="K92" i="4" s="1"/>
  <c r="W88" i="4"/>
  <c r="W91" i="4" s="1"/>
  <c r="W92" i="4" s="1"/>
  <c r="D58" i="4"/>
  <c r="D60" i="4" s="1"/>
  <c r="D63" i="4" s="1"/>
  <c r="D64" i="4" s="1"/>
  <c r="V58" i="4"/>
  <c r="V60" i="4" s="1"/>
  <c r="V63" i="4" s="1"/>
  <c r="V64" i="4" s="1"/>
  <c r="E58" i="4"/>
  <c r="E60" i="4" s="1"/>
  <c r="E63" i="4" s="1"/>
  <c r="E64" i="4" s="1"/>
  <c r="F58" i="4"/>
  <c r="F60" i="4" s="1"/>
  <c r="F63" i="4" s="1"/>
  <c r="F64" i="4" s="1"/>
  <c r="B58" i="4"/>
  <c r="B60" i="4" s="1"/>
  <c r="B63" i="4" s="1"/>
  <c r="B64" i="4" s="1"/>
  <c r="O88" i="4"/>
  <c r="O91" i="4" s="1"/>
  <c r="O92" i="4" s="1"/>
  <c r="I58" i="4"/>
  <c r="I60" i="4" s="1"/>
  <c r="I63" i="4" s="1"/>
  <c r="I64" i="4" s="1"/>
  <c r="K58" i="4"/>
  <c r="K60" i="4" s="1"/>
  <c r="K63" i="4" s="1"/>
  <c r="K64" i="4" s="1"/>
  <c r="L88" i="4"/>
  <c r="L91" i="4" s="1"/>
  <c r="L92" i="4" s="1"/>
  <c r="M88" i="4"/>
  <c r="M91" i="4" s="1"/>
  <c r="M92" i="4" s="1"/>
  <c r="Y88" i="4"/>
  <c r="Y91" i="4" s="1"/>
  <c r="Y92" i="4" s="1"/>
  <c r="Y58" i="4"/>
  <c r="Y60" i="4" s="1"/>
  <c r="Y63" i="4" s="1"/>
  <c r="Y64" i="4" s="1"/>
  <c r="N88" i="4"/>
  <c r="N91" i="4" s="1"/>
  <c r="N92" i="4" s="1"/>
  <c r="C88" i="4"/>
  <c r="C91" i="4" s="1"/>
  <c r="C92" i="4" s="1"/>
  <c r="G58" i="4"/>
  <c r="G60" i="4" s="1"/>
  <c r="G63" i="4" s="1"/>
  <c r="G64" i="4" s="1"/>
  <c r="H58" i="4"/>
  <c r="H60" i="4" s="1"/>
  <c r="H63" i="4" s="1"/>
  <c r="H64" i="4" s="1"/>
  <c r="P88" i="4"/>
  <c r="P91" i="4" s="1"/>
  <c r="P92" i="4" s="1"/>
  <c r="J58" i="4"/>
  <c r="J60" i="4" s="1"/>
  <c r="J63" i="4" s="1"/>
  <c r="J64" i="4" s="1"/>
  <c r="F88" i="4"/>
  <c r="F91" i="4" s="1"/>
  <c r="F92" i="4" s="1"/>
  <c r="G88" i="4"/>
  <c r="G91" i="4" s="1"/>
  <c r="G92" i="4" s="1"/>
  <c r="H88" i="4"/>
  <c r="H91" i="4" s="1"/>
  <c r="H92" i="4" s="1"/>
  <c r="M58" i="4"/>
  <c r="M60" i="4" s="1"/>
  <c r="M63" i="4" s="1"/>
  <c r="M64" i="4" s="1"/>
  <c r="X88" i="4"/>
  <c r="X91" i="4" s="1"/>
  <c r="X92" i="4" s="1"/>
  <c r="X58" i="4"/>
  <c r="X60" i="4" s="1"/>
  <c r="X63" i="4" s="1"/>
  <c r="X64" i="4" s="1"/>
  <c r="B88" i="4"/>
  <c r="B91" i="4" s="1"/>
  <c r="B92" i="4" s="1"/>
  <c r="D88" i="4"/>
  <c r="D91" i="4" s="1"/>
  <c r="D92" i="4" s="1"/>
  <c r="E88" i="4"/>
  <c r="E91" i="4" s="1"/>
  <c r="E92" i="4" s="1"/>
  <c r="Q88" i="4"/>
  <c r="Q91" i="4" s="1"/>
  <c r="Q92" i="4" s="1"/>
  <c r="R88" i="4"/>
  <c r="R91" i="4" s="1"/>
  <c r="R92" i="4" s="1"/>
  <c r="S88" i="4"/>
  <c r="S91" i="4" s="1"/>
  <c r="S92" i="4" s="1"/>
  <c r="L58" i="4"/>
  <c r="L60" i="4" s="1"/>
  <c r="L63" i="4" s="1"/>
  <c r="L64" i="4" s="1"/>
  <c r="T88" i="4"/>
  <c r="T91" i="4" s="1"/>
  <c r="T92" i="4" s="1"/>
  <c r="O58" i="4"/>
  <c r="O60" i="4" s="1"/>
  <c r="O63" i="4" s="1"/>
  <c r="O64" i="4" s="1"/>
  <c r="S58" i="4"/>
  <c r="S60" i="4" s="1"/>
  <c r="S63" i="4" s="1"/>
  <c r="S64" i="4" s="1"/>
  <c r="Q58" i="4"/>
  <c r="Q60" i="4" s="1"/>
  <c r="Q63" i="4" s="1"/>
  <c r="Q64" i="4" s="1"/>
  <c r="R58" i="4"/>
  <c r="R60" i="4" s="1"/>
  <c r="R63" i="4" s="1"/>
  <c r="R64" i="4" s="1"/>
  <c r="T58" i="4"/>
  <c r="T60" i="4" s="1"/>
  <c r="T63" i="4" s="1"/>
  <c r="T64" i="4" s="1"/>
  <c r="P58" i="4"/>
  <c r="P60" i="4" s="1"/>
  <c r="P63" i="4" s="1"/>
  <c r="P64" i="4" s="1"/>
  <c r="W58" i="4"/>
  <c r="W60" i="4" s="1"/>
  <c r="W63" i="4" s="1"/>
  <c r="W64" i="4" s="1"/>
  <c r="C58" i="4"/>
  <c r="C60" i="4" s="1"/>
  <c r="C63" i="4" s="1"/>
  <c r="C64" i="4" s="1"/>
  <c r="D24" i="4"/>
  <c r="P24" i="4"/>
  <c r="W24" i="4"/>
  <c r="U24" i="4"/>
  <c r="H24" i="4"/>
  <c r="T24" i="4"/>
  <c r="N24" i="4"/>
  <c r="Q24" i="4"/>
  <c r="B24" i="4"/>
  <c r="X24" i="4"/>
  <c r="E24" i="4"/>
  <c r="S24" i="4"/>
  <c r="Y24" i="4"/>
  <c r="K24" i="4"/>
  <c r="G24" i="4"/>
  <c r="L24" i="4"/>
  <c r="R24" i="4"/>
  <c r="I24" i="4"/>
  <c r="F24" i="4"/>
  <c r="O24" i="4"/>
  <c r="V24" i="4"/>
  <c r="C24" i="4"/>
  <c r="J24" i="4"/>
  <c r="M24" i="4"/>
  <c r="I27" i="4"/>
  <c r="I35" i="4" s="1"/>
  <c r="N27" i="4"/>
  <c r="N35" i="4" s="1"/>
  <c r="U27" i="4"/>
  <c r="U35" i="4" s="1"/>
  <c r="M27" i="4"/>
  <c r="M35" i="4" s="1"/>
  <c r="R27" i="4"/>
  <c r="R35" i="4" s="1"/>
  <c r="S27" i="4"/>
  <c r="S35" i="4" s="1"/>
  <c r="D27" i="4"/>
  <c r="D35" i="4" s="1"/>
  <c r="X27" i="4"/>
  <c r="X35" i="4" s="1"/>
  <c r="C27" i="4"/>
  <c r="C35" i="4" s="1"/>
  <c r="W27" i="4"/>
  <c r="W35" i="4" s="1"/>
  <c r="J27" i="4"/>
  <c r="J35" i="4" s="1"/>
  <c r="K27" i="4"/>
  <c r="K35" i="4" s="1"/>
  <c r="T27" i="4"/>
  <c r="T35" i="4" s="1"/>
  <c r="L27" i="4"/>
  <c r="L35" i="4" s="1"/>
  <c r="O27" i="4"/>
  <c r="O35" i="4" s="1"/>
  <c r="Q27" i="4"/>
  <c r="Q35" i="4" s="1"/>
  <c r="G27" i="4"/>
  <c r="G35" i="4" s="1"/>
  <c r="H27" i="4"/>
  <c r="H35" i="4" s="1"/>
  <c r="P27" i="4"/>
  <c r="P35" i="4" s="1"/>
  <c r="B27" i="4"/>
  <c r="B35" i="4" s="1"/>
  <c r="E27" i="4"/>
  <c r="E35" i="4" s="1"/>
  <c r="Y27" i="4"/>
  <c r="Y35" i="4" s="1"/>
  <c r="V27" i="4"/>
  <c r="V35" i="4" s="1"/>
  <c r="F27" i="4"/>
  <c r="F35" i="4" s="1"/>
  <c r="B94" i="4" l="1"/>
  <c r="B101" i="4" s="1"/>
  <c r="B104" i="4" s="1"/>
  <c r="V29" i="4"/>
  <c r="V32" i="4"/>
  <c r="V37" i="4" s="1"/>
  <c r="V38" i="4" s="1"/>
  <c r="B29" i="4"/>
  <c r="B32" i="4"/>
  <c r="B37" i="4" s="1"/>
  <c r="B38" i="4" s="1"/>
  <c r="B95" i="4"/>
  <c r="B102" i="4" s="1"/>
  <c r="B105" i="4" s="1"/>
  <c r="D29" i="4"/>
  <c r="D32" i="4"/>
  <c r="D37" i="4" s="1"/>
  <c r="D38" i="4" s="1"/>
  <c r="S29" i="4"/>
  <c r="S32" i="4"/>
  <c r="S37" i="4" s="1"/>
  <c r="S38" i="4" s="1"/>
  <c r="O29" i="4"/>
  <c r="O32" i="4"/>
  <c r="O37" i="4" s="1"/>
  <c r="O38" i="4" s="1"/>
  <c r="Q29" i="4"/>
  <c r="Q32" i="4"/>
  <c r="Q37" i="4" s="1"/>
  <c r="Q38" i="4" s="1"/>
  <c r="M29" i="4"/>
  <c r="M32" i="4"/>
  <c r="M37" i="4" s="1"/>
  <c r="M38" i="4" s="1"/>
  <c r="J29" i="4"/>
  <c r="J32" i="4"/>
  <c r="J37" i="4" s="1"/>
  <c r="J38" i="4" s="1"/>
  <c r="N29" i="4"/>
  <c r="N32" i="4"/>
  <c r="N37" i="4" s="1"/>
  <c r="N38" i="4" s="1"/>
  <c r="I32" i="4"/>
  <c r="I37" i="4" s="1"/>
  <c r="I38" i="4" s="1"/>
  <c r="I29" i="4"/>
  <c r="T29" i="4"/>
  <c r="T32" i="4"/>
  <c r="T37" i="4" s="1"/>
  <c r="T38" i="4" s="1"/>
  <c r="Y29" i="4"/>
  <c r="Y32" i="4"/>
  <c r="Y37" i="4" s="1"/>
  <c r="Y38" i="4" s="1"/>
  <c r="E32" i="4"/>
  <c r="E37" i="4" s="1"/>
  <c r="E38" i="4" s="1"/>
  <c r="E29" i="4"/>
  <c r="C32" i="4"/>
  <c r="C37" i="4" s="1"/>
  <c r="C38" i="4" s="1"/>
  <c r="C29" i="4"/>
  <c r="R29" i="4"/>
  <c r="R32" i="4"/>
  <c r="R37" i="4" s="1"/>
  <c r="R38" i="4" s="1"/>
  <c r="H29" i="4"/>
  <c r="H32" i="4"/>
  <c r="H37" i="4" s="1"/>
  <c r="H38" i="4" s="1"/>
  <c r="B67" i="4"/>
  <c r="B74" i="4" s="1"/>
  <c r="B77" i="4" s="1"/>
  <c r="F32" i="4"/>
  <c r="F37" i="4" s="1"/>
  <c r="F38" i="4" s="1"/>
  <c r="F29" i="4"/>
  <c r="L29" i="4"/>
  <c r="L32" i="4"/>
  <c r="L37" i="4" s="1"/>
  <c r="L38" i="4" s="1"/>
  <c r="U32" i="4"/>
  <c r="U37" i="4" s="1"/>
  <c r="U38" i="4" s="1"/>
  <c r="U29" i="4"/>
  <c r="B66" i="4"/>
  <c r="B73" i="4" s="1"/>
  <c r="B76" i="4" s="1"/>
  <c r="X29" i="4"/>
  <c r="X32" i="4"/>
  <c r="X37" i="4" s="1"/>
  <c r="X38" i="4" s="1"/>
  <c r="G32" i="4"/>
  <c r="G37" i="4" s="1"/>
  <c r="G38" i="4" s="1"/>
  <c r="G29" i="4"/>
  <c r="W29" i="4"/>
  <c r="W32" i="4"/>
  <c r="W37" i="4" s="1"/>
  <c r="W38" i="4" s="1"/>
  <c r="K29" i="4"/>
  <c r="K32" i="4"/>
  <c r="K37" i="4" s="1"/>
  <c r="K38" i="4" s="1"/>
  <c r="P32" i="4"/>
  <c r="P37" i="4" s="1"/>
  <c r="P38" i="4" s="1"/>
  <c r="P29" i="4"/>
  <c r="B41" i="4" l="1"/>
  <c r="B47" i="4" s="1"/>
  <c r="B7" i="4" s="1"/>
  <c r="B40" i="4"/>
  <c r="B46" i="4" s="1"/>
  <c r="B49" i="4" l="1"/>
  <c r="B6" i="4"/>
  <c r="B9" i="4" s="1"/>
  <c r="B10" i="4"/>
  <c r="B50" i="4"/>
</calcChain>
</file>

<file path=xl/sharedStrings.xml><?xml version="1.0" encoding="utf-8"?>
<sst xmlns="http://schemas.openxmlformats.org/spreadsheetml/2006/main" count="225" uniqueCount="103">
  <si>
    <t>Natural Gas</t>
  </si>
  <si>
    <t>kg CO2/MMBtu (GWP=1)</t>
  </si>
  <si>
    <t>g CH4/MMBtu (GWP=28)</t>
  </si>
  <si>
    <t>g N2O/MMBtu (GWP=265)</t>
  </si>
  <si>
    <t>EPA Emission Factors for GHG Inventories (2023)</t>
  </si>
  <si>
    <t>kg CO2e/MMBtu</t>
  </si>
  <si>
    <t>Electricity</t>
  </si>
  <si>
    <t>kg CO2e/MWh</t>
  </si>
  <si>
    <t>Massachusetts GHG Inventory - Appendix W: 2020 Emissions from Electricity Consumed in Massachusetts</t>
  </si>
  <si>
    <t>Pre-Retrofit</t>
  </si>
  <si>
    <t>Post-Retrofit</t>
  </si>
  <si>
    <t>Area Lights</t>
  </si>
  <si>
    <t>Space Heating</t>
  </si>
  <si>
    <t>Space Cooling</t>
  </si>
  <si>
    <t>Pumps &amp; Auxiliary Heat</t>
  </si>
  <si>
    <t>Vent Fans</t>
  </si>
  <si>
    <t>Heat Pump Supplemental Heat</t>
  </si>
  <si>
    <t>Domestic Hot Water</t>
  </si>
  <si>
    <t>Total</t>
  </si>
  <si>
    <t>Solar PV generation</t>
  </si>
  <si>
    <t>Total (net of PV)</t>
  </si>
  <si>
    <t>Electricity (kWh)</t>
  </si>
  <si>
    <t>Natural Gas (therms)</t>
  </si>
  <si>
    <t>Misc. Equip*</t>
  </si>
  <si>
    <t>Misc Equipment*</t>
  </si>
  <si>
    <t>*Misc equipment includes plug loads and appliances (cooking, laundry)</t>
  </si>
  <si>
    <t>Total Electricity Cost</t>
  </si>
  <si>
    <t>Total Gas Cost</t>
  </si>
  <si>
    <t>Total Energy Cost</t>
  </si>
  <si>
    <t>Total Site Energy Usage (MMBtu)</t>
  </si>
  <si>
    <t>This sheet captures results from eQUEST modeling of the representative multifamily building retrofitted through the AHDA.</t>
  </si>
  <si>
    <t>Electricity Cost ($/kWh)**</t>
  </si>
  <si>
    <t>Gas Cost ($/therm)***</t>
  </si>
  <si>
    <t>**Electricity costs are averaged between Eversource (A1 Residential pre-retrofit, A3 Residential Space Heating post-retrofit) and National Grid (R1) for 2023 based on analysis of rate structures</t>
  </si>
  <si>
    <t>***Gas costs are estimated from 2023 based on analysis of National Grid rate structure (G-51B - High Load Factor General Service Rate - Small)</t>
  </si>
  <si>
    <t>eQUEST Energy Model Output</t>
  </si>
  <si>
    <t>The representative building is 3 stories with 19 units. Per-unit estimates divide model outputs by 19 to be scaled to the Housing Authority properties to be retrofitted.</t>
  </si>
  <si>
    <t>Per Unit Estimates (for scaling purposes)</t>
  </si>
  <si>
    <t>Modeling completed in eQUEST (DOE-2.3) on behalf of Boston Housing Authority in 2023. Energy costs updated to reflect 2023 rate changes.</t>
  </si>
  <si>
    <t># of units</t>
  </si>
  <si>
    <t>Boston - Franklin Field</t>
  </si>
  <si>
    <t>Boston - Pond Street</t>
  </si>
  <si>
    <t>Boston - TBD</t>
  </si>
  <si>
    <t>Chelsea - Scrivano</t>
  </si>
  <si>
    <t>Lowell - NCV</t>
  </si>
  <si>
    <t>Fuel</t>
  </si>
  <si>
    <t>Post-Retrofit (Measure)</t>
  </si>
  <si>
    <t>BAU (post-2040)</t>
  </si>
  <si>
    <t>Units</t>
  </si>
  <si>
    <t>Source</t>
  </si>
  <si>
    <t>Year</t>
  </si>
  <si>
    <t>CES Minimum</t>
  </si>
  <si>
    <t>CES Minimum + CES-E and RPS Class II</t>
  </si>
  <si>
    <t>MA Clean Energy Standard Compliance Requirements</t>
  </si>
  <si>
    <t>Est. Electricity Emissions Factor (kg CO2e/MWh)</t>
  </si>
  <si>
    <t>Electric (MWh)</t>
  </si>
  <si>
    <t>Gas (MMBtu)</t>
  </si>
  <si>
    <t>BAU Scenario Emissions (MTCO2e)</t>
  </si>
  <si>
    <t>$/ton MTCO2e (2025-2030)</t>
  </si>
  <si>
    <t>$/ton MTCO2e (2025-2050)</t>
  </si>
  <si>
    <t>As noted in the Energy Model Output tab, the energy model results for the representative building was scaled down to a per-unit estimate for pre- and post-retrofit energy usage. These per-unit estimates are scaled up to estimate pre- and post-retrofit energy consumption at buildings targeted for retrofits through the AHDA. As discussed in Appendix C, BAU retrofits include end of life replacement for gas boilers with higher efficiency equipment, resulting in a 5% reduction in gas usage.</t>
  </si>
  <si>
    <t>Cumulative Reduction (MTCO2e) 2025-2030</t>
  </si>
  <si>
    <t>Cumulative Reduction (MTCO2e) 2025-2050</t>
  </si>
  <si>
    <t>Measure 1</t>
  </si>
  <si>
    <t>Measure 2</t>
  </si>
  <si>
    <t>Annual Methane Leakage per stove/oven</t>
  </si>
  <si>
    <t>kg CH4/year</t>
  </si>
  <si>
    <t>per Lebel et al. (2022)</t>
  </si>
  <si>
    <t>Boston - Mildred Hailey</t>
  </si>
  <si>
    <t>Adjusted GHG reductions (MTCO2e) 2025-2030</t>
  </si>
  <si>
    <t>Measure 1 CPRG Funding Request</t>
  </si>
  <si>
    <t>Does not include PV installation due to existing net metering contract</t>
  </si>
  <si>
    <t>Measure 3</t>
  </si>
  <si>
    <t>Number of Units Decarbonized by Year (cumulative)</t>
  </si>
  <si>
    <t>Measure 4</t>
  </si>
  <si>
    <t>Avg Unit Decarbonized</t>
  </si>
  <si>
    <t>Our estimate for Measure 3 assumes development of a streamlined procurement vehicle and procurement reforms for decarbonization measures that results in a 3% reduction in project costs. We assume that 100 units of public housing (with similar retrofit measures and energy usage characteristics to the model building as indicated above under Measure 2) will be decarbonized by 2030, benefitting from Measure 3 procurement vehicles/reforms, 300 units by 2040, and 600 units by 2050. We attribute 3% of the GHG emissions achieved from each project based on the cost reductions achieved.</t>
  </si>
  <si>
    <t>240 units of affordable housing</t>
  </si>
  <si>
    <t>Emissions from retrofitted units</t>
  </si>
  <si>
    <t>Emissions from units not yet retrofitted</t>
  </si>
  <si>
    <t>Total emissions from 240 units</t>
  </si>
  <si>
    <t>Measure 2 CPRG Funding Request</t>
  </si>
  <si>
    <t>Expected Additional Funding Awards</t>
  </si>
  <si>
    <t>% of GHG reductions attributed to CPRG funding</t>
  </si>
  <si>
    <t>600 units of affordable housing</t>
  </si>
  <si>
    <t>Measure 3 CPRG Funding Request</t>
  </si>
  <si>
    <t>Measure 4 CPRG Funding Request</t>
  </si>
  <si>
    <t>Total CPRG Funding Request</t>
  </si>
  <si>
    <t>Source: MA DOER</t>
  </si>
  <si>
    <t>We estimate that we will be able to make awards to 40 affordable housing owners and managers through the Technical Assistance Program. We estimate that technical assistance awards will enable 15% of the 40 awardees to proceed with projects by 2030 and 40% by 2040. We estimate that each project will involve 15 units of affordable housing with similar retrofit measures and energy usage characteristics to the model building. We attribute 20% of the GHG emissions achieved from each project to the technical assistance award due to the critical nature of enabling work to proceed.</t>
  </si>
  <si>
    <t>Adjusted GHG reductions (MTCO2e) 2025-2050</t>
  </si>
  <si>
    <t>Lowell - NCV*</t>
  </si>
  <si>
    <t>*Emissions from electricity are not included because Lowell Housing Authority purchases all electricity from a solar net meteer contract and is assumed to have zero electricity emissions</t>
  </si>
  <si>
    <t>AHDA Measure Scenario Emissions (MTCO2e)</t>
  </si>
  <si>
    <t>GHG Reductions (MTCO2e)</t>
  </si>
  <si>
    <t>AHDA Measure Scenario (MTCO2e)</t>
  </si>
  <si>
    <t>1100 units of affordable housing</t>
  </si>
  <si>
    <t>Total emissions from all 1100 units</t>
  </si>
  <si>
    <t>Total emissions from all 600 units</t>
  </si>
  <si>
    <t>Our estimate for Measure 4 assumes that the activities of the regional community of practice will provide capacity building, knowledge sharing, and resource development that will enable owners of affordable housing to pursue decarbonization retrofits. We assume that building owners participating in the Energy Cohort will decarbonize an additional 200 units by 2030, 700 units by 2040, and 1300 units by 2050 than they otherwise would have due to support received from Energy Cohort activities. We attribute 1% of the GHG emissions achieved from these projects to support provided through the community of practice.</t>
  </si>
  <si>
    <t>Chelsea - Mace</t>
  </si>
  <si>
    <t>Adjusted Total</t>
  </si>
  <si>
    <t>Values in red are estimated (CES-E and other requirements on top of CES minimum defined in statute are calculated year-to-year)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</si>
</sst>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quot;$&quot;#,##0"/>
    <numFmt numFmtId="166" formatCode="_(* #,##0.0_);_(* \(#,##0.0\);_(* &quot;-&quot;??_);_(@_)"/>
    <numFmt numFmtId="167" formatCode="0.0%"/>
  </numFmts>
  <fonts count="8" x14ac:knownFonts="1">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i/>
      <sz val="11"/>
      <color theme="1"/>
      <name val="Aptos Narrow"/>
      <family val="2"/>
      <scheme val="minor"/>
    </font>
    <font>
      <b/>
      <sz val="18"/>
      <color theme="1"/>
      <name val="Aptos Narrow"/>
      <family val="2"/>
      <scheme val="minor"/>
    </font>
    <font>
      <sz val="11"/>
      <name val="Aptos Narrow"/>
      <family val="2"/>
      <scheme val="minor"/>
    </font>
    <font>
      <b/>
      <sz val="18"/>
      <color theme="0"/>
      <name val="Aptos Narrow"/>
      <family val="2"/>
      <scheme val="minor"/>
    </font>
  </fonts>
  <fills count="7">
    <fill>
      <patternFill patternType="none"/>
    </fill>
    <fill>
      <patternFill patternType="gray125"/>
    </fill>
    <fill>
      <patternFill patternType="solid">
        <fgColor theme="9" tint="0.59999389629810485"/>
        <bgColor indexed="64"/>
      </patternFill>
    </fill>
    <fill>
      <patternFill patternType="solid">
        <fgColor theme="7" tint="0.39997558519241921"/>
        <bgColor indexed="64"/>
      </patternFill>
    </fill>
    <fill>
      <patternFill patternType="solid">
        <fgColor theme="5"/>
        <bgColor indexed="64"/>
      </patternFill>
    </fill>
    <fill>
      <patternFill patternType="solid">
        <fgColor theme="8" tint="0.59999389629810485"/>
        <bgColor indexed="64"/>
      </patternFill>
    </fill>
    <fill>
      <patternFill patternType="solid">
        <fgColor theme="4"/>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2" fontId="0" fillId="0" borderId="0" xfId="0" applyNumberFormat="1"/>
    <xf numFmtId="0" fontId="3" fillId="0" borderId="0" xfId="0" applyFont="1"/>
    <xf numFmtId="3" fontId="0" fillId="0" borderId="0" xfId="0" applyNumberFormat="1"/>
    <xf numFmtId="0" fontId="4" fillId="0" borderId="0" xfId="0" applyFont="1"/>
    <xf numFmtId="8" fontId="0" fillId="0" borderId="0" xfId="0" applyNumberFormat="1"/>
    <xf numFmtId="6" fontId="0" fillId="0" borderId="0" xfId="0" applyNumberFormat="1"/>
    <xf numFmtId="165" fontId="0" fillId="0" borderId="0" xfId="0" applyNumberFormat="1"/>
    <xf numFmtId="0" fontId="3" fillId="0" borderId="1" xfId="0" applyFont="1" applyBorder="1"/>
    <xf numFmtId="0" fontId="0" fillId="0" borderId="1" xfId="0" applyBorder="1"/>
    <xf numFmtId="3" fontId="0" fillId="0" borderId="1" xfId="0" applyNumberFormat="1" applyBorder="1"/>
    <xf numFmtId="8" fontId="0" fillId="0" borderId="1" xfId="0" applyNumberFormat="1" applyBorder="1"/>
    <xf numFmtId="6" fontId="0" fillId="0" borderId="1" xfId="0" applyNumberFormat="1" applyBorder="1"/>
    <xf numFmtId="164" fontId="0" fillId="0" borderId="1" xfId="0" applyNumberFormat="1" applyBorder="1"/>
    <xf numFmtId="165" fontId="0" fillId="0" borderId="1" xfId="0" applyNumberFormat="1" applyBorder="1"/>
    <xf numFmtId="1" fontId="0" fillId="0" borderId="1" xfId="0" applyNumberFormat="1" applyBorder="1"/>
    <xf numFmtId="166" fontId="0" fillId="0" borderId="0" xfId="1" applyNumberFormat="1" applyFont="1"/>
    <xf numFmtId="0" fontId="0" fillId="0" borderId="0" xfId="0" applyAlignment="1">
      <alignment horizontal="left" wrapText="1"/>
    </xf>
    <xf numFmtId="166" fontId="0" fillId="0" borderId="0" xfId="0" applyNumberFormat="1"/>
    <xf numFmtId="9" fontId="0" fillId="0" borderId="0" xfId="0" applyNumberFormat="1"/>
    <xf numFmtId="167" fontId="0" fillId="0" borderId="0" xfId="0" applyNumberFormat="1"/>
    <xf numFmtId="167" fontId="2" fillId="0" borderId="0" xfId="0" applyNumberFormat="1" applyFont="1"/>
    <xf numFmtId="0" fontId="2" fillId="0" borderId="0" xfId="0" applyFont="1"/>
    <xf numFmtId="43" fontId="0" fillId="0" borderId="0" xfId="0" applyNumberFormat="1"/>
    <xf numFmtId="165" fontId="0" fillId="0" borderId="0" xfId="2" applyNumberFormat="1" applyFont="1"/>
    <xf numFmtId="9" fontId="0" fillId="0" borderId="0" xfId="3" applyFont="1"/>
    <xf numFmtId="165" fontId="0" fillId="0" borderId="0" xfId="3" applyNumberFormat="1" applyFont="1"/>
    <xf numFmtId="0" fontId="5" fillId="2" borderId="0" xfId="0" applyFont="1" applyFill="1"/>
    <xf numFmtId="0" fontId="5" fillId="3" borderId="0" xfId="0" applyFont="1" applyFill="1"/>
    <xf numFmtId="167" fontId="6" fillId="0" borderId="0" xfId="0" applyNumberFormat="1" applyFont="1"/>
    <xf numFmtId="0" fontId="3" fillId="0" borderId="0" xfId="0" applyFont="1" applyAlignment="1">
      <alignment wrapText="1"/>
    </xf>
    <xf numFmtId="0" fontId="5" fillId="4" borderId="0" xfId="0" applyFont="1" applyFill="1"/>
    <xf numFmtId="0" fontId="5" fillId="5" borderId="0" xfId="0" applyFont="1" applyFill="1"/>
    <xf numFmtId="0" fontId="7" fillId="6" borderId="0" xfId="0" applyFont="1" applyFill="1"/>
    <xf numFmtId="0" fontId="6" fillId="0" borderId="0" xfId="0" applyFont="1"/>
    <xf numFmtId="166" fontId="0" fillId="0" borderId="0" xfId="1" applyNumberFormat="1" applyFont="1" applyFill="1"/>
    <xf numFmtId="0" fontId="4" fillId="0" borderId="2" xfId="0" applyFont="1" applyBorder="1" applyAlignment="1">
      <alignment horizontal="left" wrapText="1"/>
    </xf>
    <xf numFmtId="0" fontId="0" fillId="0" borderId="0" xfId="0" applyAlignment="1">
      <alignment horizontal="left" wrapText="1"/>
    </xf>
    <xf numFmtId="0" fontId="0" fillId="0" borderId="0" xfId="0" applyAlignment="1">
      <alignment wrapText="1"/>
    </xf>
    <xf numFmtId="0" fontId="0" fillId="0" borderId="0" xfId="0" applyFill="1"/>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E7F5F-BF85-4818-900F-7FFF2F50F39F}">
  <dimension ref="A1:G47"/>
  <sheetViews>
    <sheetView workbookViewId="0">
      <selection activeCell="P27" sqref="P27"/>
    </sheetView>
  </sheetViews>
  <sheetFormatPr defaultRowHeight="15" x14ac:dyDescent="0.25"/>
  <cols>
    <col min="1" max="1" width="30.28515625" customWidth="1"/>
    <col min="2" max="2" width="20.5703125" customWidth="1"/>
    <col min="3" max="3" width="16.85546875" customWidth="1"/>
    <col min="4" max="4" width="10.85546875" bestFit="1" customWidth="1"/>
    <col min="5" max="5" width="30.42578125" customWidth="1"/>
    <col min="6" max="7" width="13.5703125" customWidth="1"/>
  </cols>
  <sheetData>
    <row r="1" spans="1:7" x14ac:dyDescent="0.25">
      <c r="A1" t="s">
        <v>30</v>
      </c>
    </row>
    <row r="2" spans="1:7" x14ac:dyDescent="0.25">
      <c r="A2" t="s">
        <v>36</v>
      </c>
    </row>
    <row r="4" spans="1:7" x14ac:dyDescent="0.25">
      <c r="A4" s="2" t="s">
        <v>35</v>
      </c>
      <c r="E4" s="2" t="s">
        <v>37</v>
      </c>
    </row>
    <row r="5" spans="1:7" x14ac:dyDescent="0.25">
      <c r="A5" s="8" t="s">
        <v>21</v>
      </c>
      <c r="B5" s="8" t="s">
        <v>9</v>
      </c>
      <c r="C5" s="8" t="s">
        <v>10</v>
      </c>
      <c r="E5" s="8" t="s">
        <v>21</v>
      </c>
      <c r="F5" s="8" t="s">
        <v>9</v>
      </c>
      <c r="G5" s="8" t="s">
        <v>10</v>
      </c>
    </row>
    <row r="6" spans="1:7" x14ac:dyDescent="0.25">
      <c r="A6" s="9" t="s">
        <v>11</v>
      </c>
      <c r="B6" s="10">
        <v>69545</v>
      </c>
      <c r="C6" s="10">
        <v>65884</v>
      </c>
      <c r="E6" s="9" t="s">
        <v>11</v>
      </c>
      <c r="F6" s="10">
        <f>B6/19</f>
        <v>3660.2631578947367</v>
      </c>
      <c r="G6" s="10">
        <f>C6/19</f>
        <v>3467.5789473684213</v>
      </c>
    </row>
    <row r="7" spans="1:7" x14ac:dyDescent="0.25">
      <c r="A7" s="9" t="s">
        <v>23</v>
      </c>
      <c r="B7" s="10">
        <v>50510</v>
      </c>
      <c r="C7" s="10">
        <v>67089</v>
      </c>
      <c r="E7" s="9" t="s">
        <v>23</v>
      </c>
      <c r="F7" s="10">
        <f t="shared" ref="F7:F13" si="0">B7/19</f>
        <v>2658.4210526315787</v>
      </c>
      <c r="G7" s="10">
        <f t="shared" ref="G7:G16" si="1">C7/19</f>
        <v>3531</v>
      </c>
    </row>
    <row r="8" spans="1:7" x14ac:dyDescent="0.25">
      <c r="A8" s="9" t="s">
        <v>12</v>
      </c>
      <c r="B8" s="9">
        <v>913</v>
      </c>
      <c r="C8" s="10">
        <v>55869</v>
      </c>
      <c r="E8" s="9" t="s">
        <v>12</v>
      </c>
      <c r="F8" s="10">
        <f t="shared" si="0"/>
        <v>48.05263157894737</v>
      </c>
      <c r="G8" s="10">
        <f t="shared" si="1"/>
        <v>2940.4736842105262</v>
      </c>
    </row>
    <row r="9" spans="1:7" x14ac:dyDescent="0.25">
      <c r="A9" s="9" t="s">
        <v>16</v>
      </c>
      <c r="B9" s="9">
        <v>0</v>
      </c>
      <c r="C9" s="10">
        <v>177</v>
      </c>
      <c r="E9" s="9" t="s">
        <v>16</v>
      </c>
      <c r="F9" s="10">
        <f t="shared" si="0"/>
        <v>0</v>
      </c>
      <c r="G9" s="10">
        <f t="shared" si="1"/>
        <v>9.3157894736842106</v>
      </c>
    </row>
    <row r="10" spans="1:7" x14ac:dyDescent="0.25">
      <c r="A10" s="9" t="s">
        <v>13</v>
      </c>
      <c r="B10" s="10">
        <v>25456</v>
      </c>
      <c r="C10" s="10">
        <v>19434</v>
      </c>
      <c r="E10" s="9" t="s">
        <v>13</v>
      </c>
      <c r="F10" s="10">
        <f t="shared" si="0"/>
        <v>1339.7894736842106</v>
      </c>
      <c r="G10" s="10">
        <f t="shared" si="1"/>
        <v>1022.8421052631579</v>
      </c>
    </row>
    <row r="11" spans="1:7" x14ac:dyDescent="0.25">
      <c r="A11" s="9" t="s">
        <v>14</v>
      </c>
      <c r="B11" s="10">
        <v>4604</v>
      </c>
      <c r="C11" s="10">
        <v>11289</v>
      </c>
      <c r="E11" s="9" t="s">
        <v>14</v>
      </c>
      <c r="F11" s="10">
        <f t="shared" si="0"/>
        <v>242.31578947368422</v>
      </c>
      <c r="G11" s="10">
        <f t="shared" si="1"/>
        <v>594.15789473684208</v>
      </c>
    </row>
    <row r="12" spans="1:7" x14ac:dyDescent="0.25">
      <c r="A12" s="9" t="s">
        <v>15</v>
      </c>
      <c r="B12" s="10">
        <v>0</v>
      </c>
      <c r="C12" s="10">
        <v>10493</v>
      </c>
      <c r="E12" s="9" t="s">
        <v>15</v>
      </c>
      <c r="F12" s="10">
        <f t="shared" si="0"/>
        <v>0</v>
      </c>
      <c r="G12" s="10">
        <f t="shared" si="1"/>
        <v>552.26315789473688</v>
      </c>
    </row>
    <row r="13" spans="1:7" x14ac:dyDescent="0.25">
      <c r="A13" s="9" t="s">
        <v>17</v>
      </c>
      <c r="B13" s="10">
        <v>0</v>
      </c>
      <c r="C13" s="10">
        <v>36125</v>
      </c>
      <c r="E13" s="9" t="s">
        <v>17</v>
      </c>
      <c r="F13" s="10">
        <f t="shared" si="0"/>
        <v>0</v>
      </c>
      <c r="G13" s="10">
        <f t="shared" si="1"/>
        <v>1901.3157894736842</v>
      </c>
    </row>
    <row r="14" spans="1:7" x14ac:dyDescent="0.25">
      <c r="A14" s="9" t="s">
        <v>18</v>
      </c>
      <c r="B14" s="10">
        <f>SUM(B6:B13)</f>
        <v>151028</v>
      </c>
      <c r="C14" s="10">
        <f>SUM(C6:C13)</f>
        <v>266360</v>
      </c>
      <c r="E14" s="9" t="s">
        <v>18</v>
      </c>
      <c r="F14" s="10">
        <f>SUM(F6:F13)</f>
        <v>7948.8421052631575</v>
      </c>
      <c r="G14" s="10">
        <f t="shared" si="1"/>
        <v>14018.947368421053</v>
      </c>
    </row>
    <row r="15" spans="1:7" x14ac:dyDescent="0.25">
      <c r="A15" s="9"/>
      <c r="B15" s="9"/>
      <c r="C15" s="9"/>
      <c r="E15" s="9"/>
      <c r="F15" s="9"/>
      <c r="G15" s="9"/>
    </row>
    <row r="16" spans="1:7" x14ac:dyDescent="0.25">
      <c r="A16" s="9" t="s">
        <v>19</v>
      </c>
      <c r="B16" s="9"/>
      <c r="C16" s="10">
        <v>-32983</v>
      </c>
      <c r="E16" s="9" t="s">
        <v>19</v>
      </c>
      <c r="F16" s="9"/>
      <c r="G16" s="10">
        <f t="shared" si="1"/>
        <v>-1735.9473684210527</v>
      </c>
    </row>
    <row r="17" spans="1:7" x14ac:dyDescent="0.25">
      <c r="A17" s="9" t="s">
        <v>20</v>
      </c>
      <c r="B17" s="10">
        <f>SUM(B14,B16)</f>
        <v>151028</v>
      </c>
      <c r="C17" s="10">
        <f>SUM(C14,C16)</f>
        <v>233377</v>
      </c>
      <c r="E17" s="9" t="s">
        <v>20</v>
      </c>
      <c r="F17" s="10">
        <f>SUM(F14,F16)</f>
        <v>7948.8421052631575</v>
      </c>
      <c r="G17" s="10">
        <f>SUM(G14,G16)</f>
        <v>12283</v>
      </c>
    </row>
    <row r="18" spans="1:7" x14ac:dyDescent="0.25">
      <c r="A18" s="9"/>
      <c r="B18" s="10"/>
      <c r="C18" s="10"/>
      <c r="E18" s="9"/>
      <c r="F18" s="10"/>
      <c r="G18" s="10"/>
    </row>
    <row r="19" spans="1:7" x14ac:dyDescent="0.25">
      <c r="A19" s="9" t="s">
        <v>31</v>
      </c>
      <c r="B19" s="11">
        <v>0.32100000000000001</v>
      </c>
      <c r="C19" s="11">
        <v>0.317</v>
      </c>
      <c r="D19" s="5"/>
      <c r="E19" s="9" t="s">
        <v>31</v>
      </c>
      <c r="F19" s="11">
        <v>0.32100000000000001</v>
      </c>
      <c r="G19" s="11">
        <v>0.317</v>
      </c>
    </row>
    <row r="20" spans="1:7" x14ac:dyDescent="0.25">
      <c r="A20" s="9" t="s">
        <v>26</v>
      </c>
      <c r="B20" s="12">
        <f>B19*B17</f>
        <v>48479.987999999998</v>
      </c>
      <c r="C20" s="12">
        <f>C19*C17</f>
        <v>73980.509000000005</v>
      </c>
      <c r="E20" s="9" t="s">
        <v>26</v>
      </c>
      <c r="F20" s="12">
        <f>F19*F17</f>
        <v>2551.5783157894734</v>
      </c>
      <c r="G20" s="12">
        <f>G19*G17</f>
        <v>3893.7110000000002</v>
      </c>
    </row>
    <row r="21" spans="1:7" x14ac:dyDescent="0.25">
      <c r="C21" s="3"/>
    </row>
    <row r="23" spans="1:7" x14ac:dyDescent="0.25">
      <c r="A23" s="8" t="s">
        <v>22</v>
      </c>
      <c r="B23" s="8" t="s">
        <v>9</v>
      </c>
      <c r="C23" s="8" t="s">
        <v>10</v>
      </c>
      <c r="E23" s="8" t="s">
        <v>22</v>
      </c>
      <c r="F23" s="8" t="s">
        <v>9</v>
      </c>
      <c r="G23" s="8" t="s">
        <v>10</v>
      </c>
    </row>
    <row r="24" spans="1:7" x14ac:dyDescent="0.25">
      <c r="A24" s="9" t="s">
        <v>24</v>
      </c>
      <c r="B24" s="9">
        <v>277</v>
      </c>
      <c r="C24" s="9">
        <v>0</v>
      </c>
      <c r="E24" s="9" t="s">
        <v>24</v>
      </c>
      <c r="F24" s="15">
        <f>B24/19</f>
        <v>14.578947368421053</v>
      </c>
      <c r="G24" s="9">
        <v>0</v>
      </c>
    </row>
    <row r="25" spans="1:7" x14ac:dyDescent="0.25">
      <c r="A25" s="9" t="s">
        <v>12</v>
      </c>
      <c r="B25" s="10">
        <v>13893</v>
      </c>
      <c r="C25" s="9">
        <v>0</v>
      </c>
      <c r="E25" s="9" t="s">
        <v>12</v>
      </c>
      <c r="F25" s="15">
        <f>B25/19</f>
        <v>731.21052631578948</v>
      </c>
      <c r="G25" s="9">
        <v>0</v>
      </c>
    </row>
    <row r="26" spans="1:7" x14ac:dyDescent="0.25">
      <c r="A26" s="9" t="s">
        <v>17</v>
      </c>
      <c r="B26" s="10">
        <v>4174</v>
      </c>
      <c r="C26" s="9">
        <v>0</v>
      </c>
      <c r="E26" s="9" t="s">
        <v>17</v>
      </c>
      <c r="F26" s="15">
        <f>B26/19</f>
        <v>219.68421052631578</v>
      </c>
      <c r="G26" s="9">
        <v>0</v>
      </c>
    </row>
    <row r="27" spans="1:7" x14ac:dyDescent="0.25">
      <c r="A27" s="9" t="s">
        <v>18</v>
      </c>
      <c r="B27" s="10">
        <f>SUM(B24:B26)</f>
        <v>18344</v>
      </c>
      <c r="C27" s="9">
        <v>0</v>
      </c>
      <c r="E27" s="9" t="s">
        <v>18</v>
      </c>
      <c r="F27" s="10">
        <f>SUM(F24:F26)</f>
        <v>965.47368421052624</v>
      </c>
      <c r="G27" s="9">
        <v>0</v>
      </c>
    </row>
    <row r="28" spans="1:7" x14ac:dyDescent="0.25">
      <c r="A28" s="9"/>
      <c r="B28" s="10"/>
      <c r="C28" s="9"/>
      <c r="E28" s="9"/>
      <c r="F28" s="10"/>
      <c r="G28" s="9"/>
    </row>
    <row r="29" spans="1:7" x14ac:dyDescent="0.25">
      <c r="A29" s="9" t="s">
        <v>32</v>
      </c>
      <c r="B29" s="13">
        <v>1.74</v>
      </c>
      <c r="C29" s="13">
        <v>1.74</v>
      </c>
      <c r="E29" s="9" t="s">
        <v>32</v>
      </c>
      <c r="F29" s="13">
        <v>1.74</v>
      </c>
      <c r="G29" s="13">
        <v>1.74</v>
      </c>
    </row>
    <row r="30" spans="1:7" x14ac:dyDescent="0.25">
      <c r="A30" s="9" t="s">
        <v>27</v>
      </c>
      <c r="B30" s="14">
        <f>B29*B27</f>
        <v>31918.560000000001</v>
      </c>
      <c r="C30" s="14">
        <f>C29*C27</f>
        <v>0</v>
      </c>
      <c r="E30" s="9" t="s">
        <v>27</v>
      </c>
      <c r="F30" s="14">
        <f>F29*F27</f>
        <v>1679.9242105263156</v>
      </c>
      <c r="G30" s="14">
        <f>G29*G27</f>
        <v>0</v>
      </c>
    </row>
    <row r="31" spans="1:7" x14ac:dyDescent="0.25">
      <c r="B31" s="7"/>
      <c r="F31" s="7"/>
    </row>
    <row r="32" spans="1:7" x14ac:dyDescent="0.25">
      <c r="B32" s="7"/>
      <c r="F32" s="7"/>
    </row>
    <row r="33" spans="1:7" x14ac:dyDescent="0.25">
      <c r="A33" s="8" t="s">
        <v>29</v>
      </c>
      <c r="B33" s="10">
        <f>B17*3.412/1000+B27/10</f>
        <v>2349.7075359999999</v>
      </c>
      <c r="C33" s="10">
        <f>C17*3.412/1000</f>
        <v>796.28232400000002</v>
      </c>
      <c r="E33" s="8" t="s">
        <v>29</v>
      </c>
      <c r="F33" s="10">
        <f>F17*3.412/1000+F27/10</f>
        <v>123.66881768421052</v>
      </c>
      <c r="G33" s="10">
        <f>G17*3.412/1000</f>
        <v>41.909596000000001</v>
      </c>
    </row>
    <row r="34" spans="1:7" x14ac:dyDescent="0.25">
      <c r="A34" s="8" t="s">
        <v>28</v>
      </c>
      <c r="B34" s="14">
        <f>SUM(B20,B30)</f>
        <v>80398.547999999995</v>
      </c>
      <c r="C34" s="14">
        <f>SUM(C20,C30)</f>
        <v>73980.509000000005</v>
      </c>
      <c r="E34" s="8" t="s">
        <v>28</v>
      </c>
      <c r="F34" s="14">
        <f>SUM(F20,F30)</f>
        <v>4231.5025263157895</v>
      </c>
      <c r="G34" s="14">
        <f>SUM(G20,G30)</f>
        <v>3893.7110000000002</v>
      </c>
    </row>
    <row r="35" spans="1:7" ht="36.75" customHeight="1" x14ac:dyDescent="0.25">
      <c r="A35" s="36" t="s">
        <v>38</v>
      </c>
      <c r="B35" s="36"/>
      <c r="C35" s="36"/>
      <c r="G35" s="7"/>
    </row>
    <row r="37" spans="1:7" x14ac:dyDescent="0.25">
      <c r="A37" s="4" t="s">
        <v>25</v>
      </c>
    </row>
    <row r="38" spans="1:7" x14ac:dyDescent="0.25">
      <c r="A38" s="4" t="s">
        <v>33</v>
      </c>
    </row>
    <row r="39" spans="1:7" x14ac:dyDescent="0.25">
      <c r="A39" s="4" t="s">
        <v>34</v>
      </c>
    </row>
    <row r="46" spans="1:7" x14ac:dyDescent="0.25">
      <c r="C46" s="3"/>
    </row>
    <row r="47" spans="1:7" x14ac:dyDescent="0.25">
      <c r="C47" s="3"/>
    </row>
  </sheetData>
  <mergeCells count="1">
    <mergeCell ref="A35:C3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89508-E03D-47B0-9EC1-FBD7055EBB3E}">
  <dimension ref="A1:J115"/>
  <sheetViews>
    <sheetView workbookViewId="0">
      <selection activeCell="J33" sqref="J33"/>
    </sheetView>
  </sheetViews>
  <sheetFormatPr defaultRowHeight="15" x14ac:dyDescent="0.25"/>
  <cols>
    <col min="1" max="1" width="36" customWidth="1"/>
    <col min="2" max="2" width="9.7109375" customWidth="1"/>
    <col min="3" max="3" width="15.5703125" customWidth="1"/>
    <col min="4" max="4" width="13.5703125" customWidth="1"/>
    <col min="5" max="5" width="21.7109375" customWidth="1"/>
    <col min="6" max="6" width="16.28515625" customWidth="1"/>
    <col min="10" max="10" width="13.28515625" bestFit="1" customWidth="1"/>
  </cols>
  <sheetData>
    <row r="1" spans="1:7" ht="24" x14ac:dyDescent="0.4">
      <c r="A1" s="27" t="s">
        <v>63</v>
      </c>
    </row>
    <row r="2" spans="1:7" x14ac:dyDescent="0.25">
      <c r="A2" s="37" t="s">
        <v>60</v>
      </c>
      <c r="B2" s="37"/>
      <c r="C2" s="37"/>
      <c r="D2" s="37"/>
      <c r="E2" s="37"/>
    </row>
    <row r="3" spans="1:7" x14ac:dyDescent="0.25">
      <c r="A3" s="37"/>
      <c r="B3" s="37"/>
      <c r="C3" s="37"/>
      <c r="D3" s="37"/>
      <c r="E3" s="37"/>
    </row>
    <row r="4" spans="1:7" ht="45" customHeight="1" x14ac:dyDescent="0.25">
      <c r="A4" s="37"/>
      <c r="B4" s="37"/>
      <c r="C4" s="37"/>
      <c r="D4" s="37"/>
      <c r="E4" s="37"/>
    </row>
    <row r="5" spans="1:7" x14ac:dyDescent="0.25">
      <c r="A5" s="17"/>
      <c r="B5" s="17"/>
      <c r="C5" s="17"/>
      <c r="D5" s="17"/>
      <c r="E5" s="17"/>
    </row>
    <row r="6" spans="1:7" x14ac:dyDescent="0.25">
      <c r="B6" s="2" t="s">
        <v>39</v>
      </c>
      <c r="C6" s="2" t="s">
        <v>45</v>
      </c>
      <c r="D6" s="2" t="s">
        <v>9</v>
      </c>
      <c r="E6" s="2" t="s">
        <v>46</v>
      </c>
      <c r="F6" s="2" t="s">
        <v>47</v>
      </c>
    </row>
    <row r="7" spans="1:7" x14ac:dyDescent="0.25">
      <c r="A7" s="2" t="s">
        <v>40</v>
      </c>
      <c r="B7">
        <v>129</v>
      </c>
      <c r="C7" t="s">
        <v>55</v>
      </c>
      <c r="D7" s="16">
        <f>'Energy Model Output'!F$17*B7/1000</f>
        <v>1025.4006315789472</v>
      </c>
      <c r="E7" s="16">
        <f>'Energy Model Output'!G$17*B7/1000</f>
        <v>1584.5070000000001</v>
      </c>
      <c r="F7" s="18">
        <f>D7</f>
        <v>1025.4006315789472</v>
      </c>
    </row>
    <row r="8" spans="1:7" x14ac:dyDescent="0.25">
      <c r="A8" s="2"/>
      <c r="B8" s="2"/>
      <c r="C8" t="s">
        <v>56</v>
      </c>
      <c r="D8" s="16">
        <f>'Energy Model Output'!F$27*B7/10</f>
        <v>12454.610526315788</v>
      </c>
      <c r="E8" s="16">
        <f>'Energy Model Output'!G$27*B7</f>
        <v>0</v>
      </c>
      <c r="F8" s="18">
        <f>D8*0.95</f>
        <v>11831.879999999997</v>
      </c>
    </row>
    <row r="9" spans="1:7" x14ac:dyDescent="0.25">
      <c r="A9" s="2" t="s">
        <v>41</v>
      </c>
      <c r="B9">
        <v>44</v>
      </c>
      <c r="C9" t="s">
        <v>55</v>
      </c>
      <c r="D9" s="16">
        <f>'Energy Model Output'!F$17*B9/1000</f>
        <v>349.74905263157893</v>
      </c>
      <c r="E9" s="16">
        <f>'Energy Model Output'!G$17*B9/1000</f>
        <v>540.452</v>
      </c>
      <c r="F9" s="18">
        <f>D9</f>
        <v>349.74905263157893</v>
      </c>
    </row>
    <row r="10" spans="1:7" x14ac:dyDescent="0.25">
      <c r="A10" s="2"/>
      <c r="B10" s="2"/>
      <c r="C10" t="s">
        <v>56</v>
      </c>
      <c r="D10" s="16">
        <f>'Energy Model Output'!F$27*B9/10</f>
        <v>4248.0842105263155</v>
      </c>
      <c r="E10" s="16">
        <f>'Energy Model Output'!G$27*B9</f>
        <v>0</v>
      </c>
      <c r="F10" s="18">
        <f>D10*0.95</f>
        <v>4035.6799999999994</v>
      </c>
    </row>
    <row r="11" spans="1:7" x14ac:dyDescent="0.25">
      <c r="A11" s="2" t="s">
        <v>68</v>
      </c>
      <c r="B11" s="39">
        <v>72</v>
      </c>
      <c r="C11" t="s">
        <v>55</v>
      </c>
      <c r="D11" s="16">
        <f>'Energy Model Output'!F$17*B11/1000</f>
        <v>572.31663157894729</v>
      </c>
      <c r="E11" s="16">
        <f>'Energy Model Output'!G$17*B11/1000</f>
        <v>884.37599999999998</v>
      </c>
      <c r="F11" s="18">
        <f>D11</f>
        <v>572.31663157894729</v>
      </c>
    </row>
    <row r="12" spans="1:7" x14ac:dyDescent="0.25">
      <c r="A12" s="2"/>
      <c r="B12" s="2"/>
      <c r="C12" t="s">
        <v>56</v>
      </c>
      <c r="D12" s="16">
        <f>'Energy Model Output'!F$27*B11/10</f>
        <v>6951.410526315789</v>
      </c>
      <c r="E12" s="16">
        <f>'Energy Model Output'!G$27*B11</f>
        <v>0</v>
      </c>
      <c r="F12" s="18">
        <f>D12*0.95</f>
        <v>6603.8399999999992</v>
      </c>
    </row>
    <row r="13" spans="1:7" x14ac:dyDescent="0.25">
      <c r="A13" s="2" t="s">
        <v>100</v>
      </c>
      <c r="B13">
        <v>96</v>
      </c>
      <c r="C13" t="s">
        <v>55</v>
      </c>
      <c r="D13" s="16">
        <f>'Energy Model Output'!F$17*B13/1000</f>
        <v>763.0888421052631</v>
      </c>
      <c r="E13" s="16">
        <f>'Energy Model Output'!G$17*B13/1000</f>
        <v>1179.1679999999999</v>
      </c>
      <c r="F13" s="18">
        <f>D13</f>
        <v>763.0888421052631</v>
      </c>
    </row>
    <row r="14" spans="1:7" x14ac:dyDescent="0.25">
      <c r="A14" s="2"/>
      <c r="B14" s="2"/>
      <c r="C14" t="s">
        <v>56</v>
      </c>
      <c r="D14" s="16">
        <f>'Energy Model Output'!F$27*B13/10</f>
        <v>9268.5473684210519</v>
      </c>
      <c r="E14" s="16">
        <f>'Energy Model Output'!G$27*B13</f>
        <v>0</v>
      </c>
      <c r="F14" s="18">
        <f>D14*0.95</f>
        <v>8805.119999999999</v>
      </c>
    </row>
    <row r="15" spans="1:7" x14ac:dyDescent="0.25">
      <c r="A15" s="2" t="s">
        <v>44</v>
      </c>
      <c r="B15">
        <v>92</v>
      </c>
      <c r="C15" t="s">
        <v>55</v>
      </c>
      <c r="D15" s="16">
        <f>'Energy Model Output'!F$17*B15/1000</f>
        <v>731.29347368421043</v>
      </c>
      <c r="E15" s="16">
        <f>'Energy Model Output'!G$14*B15/1000</f>
        <v>1289.7431578947369</v>
      </c>
      <c r="F15" s="18">
        <f>D15</f>
        <v>731.29347368421043</v>
      </c>
      <c r="G15" s="4" t="s">
        <v>71</v>
      </c>
    </row>
    <row r="16" spans="1:7" x14ac:dyDescent="0.25">
      <c r="A16" s="2"/>
      <c r="B16" s="2"/>
      <c r="C16" t="s">
        <v>56</v>
      </c>
      <c r="D16" s="16">
        <f>'Energy Model Output'!F$27*B15/10</f>
        <v>8882.3578947368405</v>
      </c>
      <c r="E16" s="16">
        <f>'Energy Model Output'!G$27*B15</f>
        <v>0</v>
      </c>
      <c r="F16" s="18">
        <f>D16*0.95</f>
        <v>8438.239999999998</v>
      </c>
    </row>
    <row r="19" spans="1:10" x14ac:dyDescent="0.25">
      <c r="A19" t="s">
        <v>65</v>
      </c>
      <c r="B19">
        <v>0.64900000000000002</v>
      </c>
      <c r="C19" t="s">
        <v>66</v>
      </c>
      <c r="D19" s="4" t="s">
        <v>67</v>
      </c>
    </row>
    <row r="21" spans="1:10" x14ac:dyDescent="0.25">
      <c r="D21" s="23"/>
      <c r="E21" s="23"/>
    </row>
    <row r="22" spans="1:10" ht="24" x14ac:dyDescent="0.4">
      <c r="A22" s="28" t="s">
        <v>64</v>
      </c>
      <c r="D22" s="23"/>
    </row>
    <row r="23" spans="1:10" x14ac:dyDescent="0.25">
      <c r="A23" s="37" t="s">
        <v>89</v>
      </c>
      <c r="B23" s="37"/>
      <c r="C23" s="37"/>
      <c r="D23" s="37"/>
      <c r="E23" s="37"/>
      <c r="F23" s="37"/>
    </row>
    <row r="24" spans="1:10" x14ac:dyDescent="0.25">
      <c r="A24" s="37"/>
      <c r="B24" s="37"/>
      <c r="C24" s="37"/>
      <c r="D24" s="37"/>
      <c r="E24" s="37"/>
      <c r="F24" s="37"/>
    </row>
    <row r="25" spans="1:10" x14ac:dyDescent="0.25">
      <c r="A25" s="37"/>
      <c r="B25" s="37"/>
      <c r="C25" s="37"/>
      <c r="D25" s="37"/>
      <c r="E25" s="37"/>
      <c r="F25" s="37"/>
    </row>
    <row r="26" spans="1:10" x14ac:dyDescent="0.25">
      <c r="A26" s="37"/>
      <c r="B26" s="37"/>
      <c r="C26" s="37"/>
      <c r="D26" s="37"/>
      <c r="E26" s="37"/>
      <c r="F26" s="37"/>
    </row>
    <row r="27" spans="1:10" x14ac:dyDescent="0.25">
      <c r="A27" s="37"/>
      <c r="B27" s="37"/>
      <c r="C27" s="37"/>
      <c r="D27" s="37"/>
      <c r="E27" s="37"/>
      <c r="F27" s="37"/>
    </row>
    <row r="28" spans="1:10" x14ac:dyDescent="0.25">
      <c r="A28" s="37"/>
      <c r="B28" s="37"/>
      <c r="C28" s="37"/>
      <c r="D28" s="37"/>
      <c r="E28" s="37"/>
      <c r="F28" s="37"/>
    </row>
    <row r="30" spans="1:10" x14ac:dyDescent="0.25">
      <c r="B30" s="2" t="s">
        <v>39</v>
      </c>
      <c r="C30" s="2" t="s">
        <v>45</v>
      </c>
      <c r="D30" s="2" t="s">
        <v>9</v>
      </c>
      <c r="E30" s="2" t="s">
        <v>46</v>
      </c>
      <c r="F30" s="2" t="s">
        <v>47</v>
      </c>
    </row>
    <row r="31" spans="1:10" x14ac:dyDescent="0.25">
      <c r="A31" s="2" t="s">
        <v>75</v>
      </c>
      <c r="B31">
        <v>1</v>
      </c>
      <c r="C31" t="s">
        <v>55</v>
      </c>
      <c r="D31" s="16">
        <f>'Energy Model Output'!F$17*B31/1000</f>
        <v>7.9488421052631573</v>
      </c>
      <c r="E31" s="16">
        <f>'Energy Model Output'!G$17*B31/1000</f>
        <v>12.282999999999999</v>
      </c>
      <c r="F31" s="18">
        <f>D31</f>
        <v>7.9488421052631573</v>
      </c>
      <c r="J31" s="23"/>
    </row>
    <row r="32" spans="1:10" x14ac:dyDescent="0.25">
      <c r="C32" t="s">
        <v>56</v>
      </c>
      <c r="D32" s="16">
        <f>'Energy Model Output'!F$27*B31/10</f>
        <v>96.547368421052624</v>
      </c>
      <c r="E32" s="16">
        <f>'Energy Model Output'!G$27*B31/1000</f>
        <v>0</v>
      </c>
      <c r="F32" s="18">
        <f>D32*0.95</f>
        <v>91.719999999999985</v>
      </c>
      <c r="J32" s="23"/>
    </row>
    <row r="33" spans="1:10" x14ac:dyDescent="0.25">
      <c r="J33" s="23"/>
    </row>
    <row r="34" spans="1:10" x14ac:dyDescent="0.25">
      <c r="A34" s="2" t="s">
        <v>50</v>
      </c>
      <c r="B34" s="2" t="s">
        <v>73</v>
      </c>
    </row>
    <row r="35" spans="1:10" x14ac:dyDescent="0.25">
      <c r="A35">
        <v>2027</v>
      </c>
      <c r="B35">
        <v>0</v>
      </c>
      <c r="C35" s="34"/>
    </row>
    <row r="36" spans="1:10" x14ac:dyDescent="0.25">
      <c r="A36">
        <v>2028</v>
      </c>
      <c r="B36">
        <v>30</v>
      </c>
      <c r="C36" s="34"/>
    </row>
    <row r="37" spans="1:10" x14ac:dyDescent="0.25">
      <c r="A37">
        <v>2029</v>
      </c>
      <c r="B37">
        <v>60</v>
      </c>
      <c r="C37" s="34"/>
    </row>
    <row r="38" spans="1:10" x14ac:dyDescent="0.25">
      <c r="A38">
        <v>2030</v>
      </c>
      <c r="B38">
        <v>90</v>
      </c>
      <c r="C38" s="34"/>
    </row>
    <row r="39" spans="1:10" x14ac:dyDescent="0.25">
      <c r="A39">
        <v>2031</v>
      </c>
      <c r="B39">
        <v>105</v>
      </c>
      <c r="C39" s="34"/>
    </row>
    <row r="40" spans="1:10" x14ac:dyDescent="0.25">
      <c r="A40">
        <v>2032</v>
      </c>
      <c r="B40">
        <v>120</v>
      </c>
      <c r="C40" s="34"/>
    </row>
    <row r="41" spans="1:10" x14ac:dyDescent="0.25">
      <c r="A41">
        <v>2033</v>
      </c>
      <c r="B41">
        <v>135</v>
      </c>
      <c r="C41" s="34"/>
    </row>
    <row r="42" spans="1:10" x14ac:dyDescent="0.25">
      <c r="A42">
        <v>2034</v>
      </c>
      <c r="B42">
        <v>150</v>
      </c>
      <c r="C42" s="34"/>
    </row>
    <row r="43" spans="1:10" x14ac:dyDescent="0.25">
      <c r="A43">
        <v>2035</v>
      </c>
      <c r="B43">
        <v>165</v>
      </c>
      <c r="C43" s="34"/>
    </row>
    <row r="44" spans="1:10" x14ac:dyDescent="0.25">
      <c r="A44">
        <v>2036</v>
      </c>
      <c r="B44">
        <v>180</v>
      </c>
      <c r="C44" s="34"/>
    </row>
    <row r="45" spans="1:10" x14ac:dyDescent="0.25">
      <c r="A45">
        <v>2037</v>
      </c>
      <c r="B45">
        <v>195</v>
      </c>
      <c r="C45" s="34"/>
    </row>
    <row r="46" spans="1:10" x14ac:dyDescent="0.25">
      <c r="A46">
        <v>2038</v>
      </c>
      <c r="B46">
        <v>210</v>
      </c>
      <c r="C46" s="34"/>
    </row>
    <row r="47" spans="1:10" x14ac:dyDescent="0.25">
      <c r="A47">
        <v>2039</v>
      </c>
      <c r="B47">
        <v>225</v>
      </c>
      <c r="C47" s="34"/>
    </row>
    <row r="48" spans="1:10" x14ac:dyDescent="0.25">
      <c r="A48">
        <v>2040</v>
      </c>
      <c r="B48">
        <f>40*0.4*15</f>
        <v>240</v>
      </c>
    </row>
    <row r="50" spans="1:6" ht="24" x14ac:dyDescent="0.4">
      <c r="A50" s="31" t="s">
        <v>72</v>
      </c>
    </row>
    <row r="51" spans="1:6" x14ac:dyDescent="0.25">
      <c r="A51" s="38" t="s">
        <v>76</v>
      </c>
      <c r="B51" s="38"/>
      <c r="C51" s="38"/>
      <c r="D51" s="38"/>
      <c r="E51" s="38"/>
      <c r="F51" s="38"/>
    </row>
    <row r="52" spans="1:6" x14ac:dyDescent="0.25">
      <c r="A52" s="38"/>
      <c r="B52" s="38"/>
      <c r="C52" s="38"/>
      <c r="D52" s="38"/>
      <c r="E52" s="38"/>
      <c r="F52" s="38"/>
    </row>
    <row r="53" spans="1:6" x14ac:dyDescent="0.25">
      <c r="A53" s="38"/>
      <c r="B53" s="38"/>
      <c r="C53" s="38"/>
      <c r="D53" s="38"/>
      <c r="E53" s="38"/>
      <c r="F53" s="38"/>
    </row>
    <row r="54" spans="1:6" x14ac:dyDescent="0.25">
      <c r="A54" s="38"/>
      <c r="B54" s="38"/>
      <c r="C54" s="38"/>
      <c r="D54" s="38"/>
      <c r="E54" s="38"/>
      <c r="F54" s="38"/>
    </row>
    <row r="55" spans="1:6" x14ac:dyDescent="0.25">
      <c r="A55" s="38"/>
      <c r="B55" s="38"/>
      <c r="C55" s="38"/>
      <c r="D55" s="38"/>
      <c r="E55" s="38"/>
      <c r="F55" s="38"/>
    </row>
    <row r="58" spans="1:6" x14ac:dyDescent="0.25">
      <c r="A58" s="2" t="s">
        <v>50</v>
      </c>
      <c r="B58" s="2" t="s">
        <v>73</v>
      </c>
    </row>
    <row r="59" spans="1:6" x14ac:dyDescent="0.25">
      <c r="A59">
        <v>2027</v>
      </c>
      <c r="B59">
        <v>0</v>
      </c>
    </row>
    <row r="60" spans="1:6" x14ac:dyDescent="0.25">
      <c r="A60">
        <v>2028</v>
      </c>
      <c r="B60">
        <v>40</v>
      </c>
    </row>
    <row r="61" spans="1:6" x14ac:dyDescent="0.25">
      <c r="A61">
        <v>2029</v>
      </c>
      <c r="B61">
        <v>70</v>
      </c>
    </row>
    <row r="62" spans="1:6" x14ac:dyDescent="0.25">
      <c r="A62">
        <v>2030</v>
      </c>
      <c r="B62">
        <v>100</v>
      </c>
    </row>
    <row r="63" spans="1:6" x14ac:dyDescent="0.25">
      <c r="A63">
        <v>2031</v>
      </c>
      <c r="B63">
        <v>120</v>
      </c>
    </row>
    <row r="64" spans="1:6" x14ac:dyDescent="0.25">
      <c r="A64">
        <v>2032</v>
      </c>
      <c r="B64">
        <v>140</v>
      </c>
    </row>
    <row r="65" spans="1:2" x14ac:dyDescent="0.25">
      <c r="A65">
        <v>2033</v>
      </c>
      <c r="B65">
        <v>160</v>
      </c>
    </row>
    <row r="66" spans="1:2" x14ac:dyDescent="0.25">
      <c r="A66">
        <v>2034</v>
      </c>
      <c r="B66">
        <v>180</v>
      </c>
    </row>
    <row r="67" spans="1:2" x14ac:dyDescent="0.25">
      <c r="A67">
        <v>2035</v>
      </c>
      <c r="B67">
        <v>200</v>
      </c>
    </row>
    <row r="68" spans="1:2" x14ac:dyDescent="0.25">
      <c r="A68">
        <v>2036</v>
      </c>
      <c r="B68">
        <v>220</v>
      </c>
    </row>
    <row r="69" spans="1:2" x14ac:dyDescent="0.25">
      <c r="A69">
        <v>2037</v>
      </c>
      <c r="B69">
        <v>240</v>
      </c>
    </row>
    <row r="70" spans="1:2" x14ac:dyDescent="0.25">
      <c r="A70">
        <v>2038</v>
      </c>
      <c r="B70">
        <v>260</v>
      </c>
    </row>
    <row r="71" spans="1:2" x14ac:dyDescent="0.25">
      <c r="A71">
        <v>2039</v>
      </c>
      <c r="B71">
        <v>280</v>
      </c>
    </row>
    <row r="72" spans="1:2" x14ac:dyDescent="0.25">
      <c r="A72">
        <v>2040</v>
      </c>
      <c r="B72">
        <v>300</v>
      </c>
    </row>
    <row r="73" spans="1:2" x14ac:dyDescent="0.25">
      <c r="A73">
        <v>2041</v>
      </c>
      <c r="B73">
        <v>330</v>
      </c>
    </row>
    <row r="74" spans="1:2" x14ac:dyDescent="0.25">
      <c r="A74">
        <v>2042</v>
      </c>
      <c r="B74">
        <v>360</v>
      </c>
    </row>
    <row r="75" spans="1:2" x14ac:dyDescent="0.25">
      <c r="A75">
        <v>2043</v>
      </c>
      <c r="B75">
        <v>390</v>
      </c>
    </row>
    <row r="76" spans="1:2" x14ac:dyDescent="0.25">
      <c r="A76">
        <v>2044</v>
      </c>
      <c r="B76">
        <v>420</v>
      </c>
    </row>
    <row r="77" spans="1:2" x14ac:dyDescent="0.25">
      <c r="A77">
        <v>2045</v>
      </c>
      <c r="B77">
        <v>450</v>
      </c>
    </row>
    <row r="78" spans="1:2" x14ac:dyDescent="0.25">
      <c r="A78">
        <v>2046</v>
      </c>
      <c r="B78">
        <v>480</v>
      </c>
    </row>
    <row r="79" spans="1:2" x14ac:dyDescent="0.25">
      <c r="A79">
        <v>2047</v>
      </c>
      <c r="B79">
        <v>510</v>
      </c>
    </row>
    <row r="80" spans="1:2" x14ac:dyDescent="0.25">
      <c r="A80">
        <v>2048</v>
      </c>
      <c r="B80">
        <v>540</v>
      </c>
    </row>
    <row r="81" spans="1:6" x14ac:dyDescent="0.25">
      <c r="A81">
        <v>2049</v>
      </c>
      <c r="B81">
        <v>570</v>
      </c>
    </row>
    <row r="82" spans="1:6" x14ac:dyDescent="0.25">
      <c r="A82">
        <v>2050</v>
      </c>
      <c r="B82">
        <v>600</v>
      </c>
    </row>
    <row r="84" spans="1:6" ht="24" x14ac:dyDescent="0.4">
      <c r="A84" s="32" t="s">
        <v>74</v>
      </c>
    </row>
    <row r="85" spans="1:6" ht="15" customHeight="1" x14ac:dyDescent="0.25">
      <c r="A85" s="37" t="s">
        <v>99</v>
      </c>
      <c r="B85" s="37"/>
      <c r="C85" s="37"/>
      <c r="D85" s="37"/>
      <c r="E85" s="37"/>
      <c r="F85" s="37"/>
    </row>
    <row r="86" spans="1:6" x14ac:dyDescent="0.25">
      <c r="A86" s="37"/>
      <c r="B86" s="37"/>
      <c r="C86" s="37"/>
      <c r="D86" s="37"/>
      <c r="E86" s="37"/>
      <c r="F86" s="37"/>
    </row>
    <row r="87" spans="1:6" x14ac:dyDescent="0.25">
      <c r="A87" s="37"/>
      <c r="B87" s="37"/>
      <c r="C87" s="37"/>
      <c r="D87" s="37"/>
      <c r="E87" s="37"/>
      <c r="F87" s="37"/>
    </row>
    <row r="88" spans="1:6" x14ac:dyDescent="0.25">
      <c r="A88" s="37"/>
      <c r="B88" s="37"/>
      <c r="C88" s="37"/>
      <c r="D88" s="37"/>
      <c r="E88" s="37"/>
      <c r="F88" s="37"/>
    </row>
    <row r="89" spans="1:6" x14ac:dyDescent="0.25">
      <c r="A89" s="37"/>
      <c r="B89" s="37"/>
      <c r="C89" s="37"/>
      <c r="D89" s="37"/>
      <c r="E89" s="37"/>
      <c r="F89" s="37"/>
    </row>
    <row r="91" spans="1:6" x14ac:dyDescent="0.25">
      <c r="A91" s="2" t="s">
        <v>50</v>
      </c>
      <c r="B91" s="2" t="s">
        <v>73</v>
      </c>
    </row>
    <row r="92" spans="1:6" x14ac:dyDescent="0.25">
      <c r="A92">
        <v>2027</v>
      </c>
      <c r="B92">
        <v>50</v>
      </c>
    </row>
    <row r="93" spans="1:6" x14ac:dyDescent="0.25">
      <c r="A93">
        <v>2028</v>
      </c>
      <c r="B93">
        <v>100</v>
      </c>
    </row>
    <row r="94" spans="1:6" x14ac:dyDescent="0.25">
      <c r="A94">
        <v>2029</v>
      </c>
      <c r="B94">
        <v>150</v>
      </c>
    </row>
    <row r="95" spans="1:6" x14ac:dyDescent="0.25">
      <c r="A95">
        <v>2030</v>
      </c>
      <c r="B95">
        <v>200</v>
      </c>
    </row>
    <row r="96" spans="1:6" x14ac:dyDescent="0.25">
      <c r="A96">
        <v>2031</v>
      </c>
      <c r="B96">
        <v>250</v>
      </c>
    </row>
    <row r="97" spans="1:2" x14ac:dyDescent="0.25">
      <c r="A97">
        <v>2032</v>
      </c>
      <c r="B97">
        <v>300</v>
      </c>
    </row>
    <row r="98" spans="1:2" x14ac:dyDescent="0.25">
      <c r="A98">
        <v>2033</v>
      </c>
      <c r="B98">
        <v>350</v>
      </c>
    </row>
    <row r="99" spans="1:2" x14ac:dyDescent="0.25">
      <c r="A99">
        <v>2034</v>
      </c>
      <c r="B99">
        <v>400</v>
      </c>
    </row>
    <row r="100" spans="1:2" x14ac:dyDescent="0.25">
      <c r="A100">
        <v>2035</v>
      </c>
      <c r="B100">
        <v>450</v>
      </c>
    </row>
    <row r="101" spans="1:2" x14ac:dyDescent="0.25">
      <c r="A101">
        <v>2036</v>
      </c>
      <c r="B101">
        <v>500</v>
      </c>
    </row>
    <row r="102" spans="1:2" x14ac:dyDescent="0.25">
      <c r="A102">
        <v>2037</v>
      </c>
      <c r="B102">
        <v>550</v>
      </c>
    </row>
    <row r="103" spans="1:2" x14ac:dyDescent="0.25">
      <c r="A103">
        <v>2038</v>
      </c>
      <c r="B103">
        <v>600</v>
      </c>
    </row>
    <row r="104" spans="1:2" x14ac:dyDescent="0.25">
      <c r="A104">
        <v>2039</v>
      </c>
      <c r="B104">
        <v>650</v>
      </c>
    </row>
    <row r="105" spans="1:2" x14ac:dyDescent="0.25">
      <c r="A105">
        <v>2040</v>
      </c>
      <c r="B105">
        <v>700</v>
      </c>
    </row>
    <row r="106" spans="1:2" x14ac:dyDescent="0.25">
      <c r="A106">
        <v>2041</v>
      </c>
      <c r="B106">
        <v>760</v>
      </c>
    </row>
    <row r="107" spans="1:2" x14ac:dyDescent="0.25">
      <c r="A107">
        <v>2042</v>
      </c>
      <c r="B107">
        <v>820</v>
      </c>
    </row>
    <row r="108" spans="1:2" x14ac:dyDescent="0.25">
      <c r="A108">
        <v>2043</v>
      </c>
      <c r="B108">
        <v>880</v>
      </c>
    </row>
    <row r="109" spans="1:2" x14ac:dyDescent="0.25">
      <c r="A109">
        <v>2044</v>
      </c>
      <c r="B109">
        <v>940</v>
      </c>
    </row>
    <row r="110" spans="1:2" x14ac:dyDescent="0.25">
      <c r="A110">
        <v>2045</v>
      </c>
      <c r="B110">
        <v>1000</v>
      </c>
    </row>
    <row r="111" spans="1:2" x14ac:dyDescent="0.25">
      <c r="A111">
        <v>2046</v>
      </c>
      <c r="B111">
        <v>1060</v>
      </c>
    </row>
    <row r="112" spans="1:2" x14ac:dyDescent="0.25">
      <c r="A112">
        <v>2047</v>
      </c>
      <c r="B112">
        <v>1120</v>
      </c>
    </row>
    <row r="113" spans="1:2" x14ac:dyDescent="0.25">
      <c r="A113">
        <v>2048</v>
      </c>
      <c r="B113">
        <v>1180</v>
      </c>
    </row>
    <row r="114" spans="1:2" x14ac:dyDescent="0.25">
      <c r="A114">
        <v>2049</v>
      </c>
      <c r="B114">
        <v>1240</v>
      </c>
    </row>
    <row r="115" spans="1:2" x14ac:dyDescent="0.25">
      <c r="A115">
        <v>2050</v>
      </c>
      <c r="B115">
        <v>1300</v>
      </c>
    </row>
  </sheetData>
  <mergeCells count="4">
    <mergeCell ref="A85:F89"/>
    <mergeCell ref="A2:E4"/>
    <mergeCell ref="A23:F28"/>
    <mergeCell ref="A51:F5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8D46C-24FD-492A-96E2-A028C459F82C}">
  <dimension ref="A1:Z133"/>
  <sheetViews>
    <sheetView tabSelected="1" workbookViewId="0">
      <selection activeCell="D12" sqref="D12"/>
    </sheetView>
  </sheetViews>
  <sheetFormatPr defaultRowHeight="15" x14ac:dyDescent="0.25"/>
  <cols>
    <col min="1" max="1" width="63.5703125" customWidth="1"/>
    <col min="2" max="2" width="14.28515625" customWidth="1"/>
    <col min="3" max="25" width="8.42578125" customWidth="1"/>
  </cols>
  <sheetData>
    <row r="1" spans="1:25" ht="24" x14ac:dyDescent="0.4">
      <c r="A1" s="33" t="s">
        <v>18</v>
      </c>
    </row>
    <row r="3" spans="1:25" x14ac:dyDescent="0.25">
      <c r="A3" s="2" t="s">
        <v>87</v>
      </c>
      <c r="B3" s="24">
        <f>SUM(B43,B69,B97,B125)</f>
        <v>49334217</v>
      </c>
    </row>
    <row r="4" spans="1:25" x14ac:dyDescent="0.25">
      <c r="A4" s="2" t="s">
        <v>82</v>
      </c>
      <c r="B4" s="24">
        <f>SUM(B44,B70,B98,B126)</f>
        <v>15600000</v>
      </c>
    </row>
    <row r="5" spans="1:25" x14ac:dyDescent="0.25">
      <c r="A5" s="2"/>
      <c r="B5" s="25"/>
    </row>
    <row r="6" spans="1:25" x14ac:dyDescent="0.25">
      <c r="A6" s="2" t="s">
        <v>69</v>
      </c>
      <c r="B6" s="16">
        <f>SUM(B46,B73,B101,B129)</f>
        <v>6590.5651126326929</v>
      </c>
    </row>
    <row r="7" spans="1:25" x14ac:dyDescent="0.25">
      <c r="A7" s="2" t="s">
        <v>90</v>
      </c>
      <c r="B7" s="16">
        <f>SUM(B47,B74,B102,B130)</f>
        <v>44306.620709159506</v>
      </c>
    </row>
    <row r="9" spans="1:25" x14ac:dyDescent="0.25">
      <c r="A9" s="2" t="s">
        <v>58</v>
      </c>
      <c r="B9" s="24">
        <f>$B$3/B6</f>
        <v>7485.5822159221125</v>
      </c>
    </row>
    <row r="10" spans="1:25" x14ac:dyDescent="0.25">
      <c r="A10" s="2" t="s">
        <v>59</v>
      </c>
      <c r="B10" s="24">
        <f>$B$3/B7</f>
        <v>1113.4727995583996</v>
      </c>
    </row>
    <row r="13" spans="1:25" ht="24" x14ac:dyDescent="0.4">
      <c r="A13" s="27" t="s">
        <v>63</v>
      </c>
    </row>
    <row r="14" spans="1:25" x14ac:dyDescent="0.25">
      <c r="B14" s="2">
        <v>2027</v>
      </c>
      <c r="C14" s="2">
        <v>2028</v>
      </c>
      <c r="D14" s="2">
        <v>2029</v>
      </c>
      <c r="E14" s="2">
        <v>2030</v>
      </c>
      <c r="F14" s="2">
        <v>2031</v>
      </c>
      <c r="G14" s="2">
        <v>2032</v>
      </c>
      <c r="H14" s="2">
        <v>2033</v>
      </c>
      <c r="I14" s="2">
        <v>2034</v>
      </c>
      <c r="J14" s="2">
        <v>2035</v>
      </c>
      <c r="K14" s="2">
        <v>2036</v>
      </c>
      <c r="L14" s="2">
        <v>2037</v>
      </c>
      <c r="M14" s="2">
        <v>2038</v>
      </c>
      <c r="N14" s="2">
        <v>2039</v>
      </c>
      <c r="O14" s="2">
        <v>2040</v>
      </c>
      <c r="P14" s="2">
        <v>2041</v>
      </c>
      <c r="Q14" s="2">
        <v>2042</v>
      </c>
      <c r="R14" s="2">
        <v>2043</v>
      </c>
      <c r="S14" s="2">
        <v>2044</v>
      </c>
      <c r="T14" s="2">
        <v>2045</v>
      </c>
      <c r="U14" s="2">
        <v>2046</v>
      </c>
      <c r="V14" s="2">
        <v>2047</v>
      </c>
      <c r="W14" s="2">
        <v>2048</v>
      </c>
      <c r="X14" s="2">
        <v>2049</v>
      </c>
      <c r="Y14" s="2">
        <v>2050</v>
      </c>
    </row>
    <row r="15" spans="1:25" x14ac:dyDescent="0.25">
      <c r="A15" s="2" t="s">
        <v>57</v>
      </c>
    </row>
    <row r="16" spans="1:25" x14ac:dyDescent="0.25">
      <c r="A16" t="s">
        <v>40</v>
      </c>
      <c r="B16" s="16">
        <f>('Pre- and Post-Retrofit Energy'!$D7*INDEX('Emissions Factors'!$E$16:$E$46,MATCH('2030 and 2050 GHG Projections'!B$14,'Emissions Factors'!$B$16:$B$46,0))+'Emissions Factors'!$E$7*IF('2030 and 2050 GHG Projections'!B$14&lt;2040,'Pre- and Post-Retrofit Energy'!$D8,'Pre- and Post-Retrofit Energy'!$F8))/1000+('Pre- and Post-Retrofit Energy'!$B$19*'Pre- and Post-Retrofit Energy'!$B7*28)/1000</f>
        <v>767.21779830527339</v>
      </c>
      <c r="C16" s="16">
        <f>('Pre- and Post-Retrofit Energy'!$D7*INDEX('Emissions Factors'!$E$16:$E$46,MATCH('2030 and 2050 GHG Projections'!C$14,'Emissions Factors'!$B$16:$B$46,0))+'Emissions Factors'!$E$7*IF('2030 and 2050 GHG Projections'!C$14&lt;2040,'Pre- and Post-Retrofit Energy'!$D8,'Pre- and Post-Retrofit Energy'!$F8))/1000+('Pre- and Post-Retrofit Energy'!$B$19*'Pre- and Post-Retrofit Energy'!$B7*28)/1000</f>
        <v>741.27138838763153</v>
      </c>
      <c r="D16" s="16">
        <f>('Pre- and Post-Retrofit Energy'!$D7*INDEX('Emissions Factors'!$E$16:$E$46,MATCH('2030 and 2050 GHG Projections'!D$14,'Emissions Factors'!$B$16:$B$46,0))+'Emissions Factors'!$E$7*IF('2030 and 2050 GHG Projections'!D$14&lt;2040,'Pre- and Post-Retrofit Energy'!$D8,'Pre- and Post-Retrofit Energy'!$F8))/1000+('Pre- and Post-Retrofit Energy'!$B$19*'Pre- and Post-Retrofit Energy'!$B7*28)/1000</f>
        <v>719.64938012292998</v>
      </c>
      <c r="E16" s="16">
        <f>('Pre- and Post-Retrofit Energy'!$D7*INDEX('Emissions Factors'!$E$16:$E$46,MATCH('2030 and 2050 GHG Projections'!E$14,'Emissions Factors'!$B$16:$B$46,0))+'Emissions Factors'!$E$7*IF('2030 and 2050 GHG Projections'!E$14&lt;2040,'Pre- and Post-Retrofit Energy'!$D8,'Pre- and Post-Retrofit Energy'!$F8))/1000+('Pre- and Post-Retrofit Energy'!$B$19*'Pre- and Post-Retrofit Energy'!$B7*28)/1000</f>
        <v>707.10861532940305</v>
      </c>
      <c r="F16" s="16">
        <f>('Pre- and Post-Retrofit Energy'!$D7*INDEX('Emissions Factors'!$E$16:$E$46,MATCH('2030 and 2050 GHG Projections'!F$14,'Emissions Factors'!$B$16:$B$46,0))+'Emissions Factors'!$E$7*IF('2030 and 2050 GHG Projections'!F$14&lt;2040,'Pre- and Post-Retrofit Energy'!$D8,'Pre- and Post-Retrofit Energy'!$F8))/1000+('Pre- and Post-Retrofit Energy'!$B$19*'Pre- and Post-Retrofit Energy'!$B7*28)/1000</f>
        <v>704.94641450293284</v>
      </c>
      <c r="G16" s="16">
        <f>('Pre- and Post-Retrofit Energy'!$D7*INDEX('Emissions Factors'!$E$16:$E$46,MATCH('2030 and 2050 GHG Projections'!G$14,'Emissions Factors'!$B$16:$B$46,0))+'Emissions Factors'!$E$7*IF('2030 and 2050 GHG Projections'!G$14&lt;2040,'Pre- and Post-Retrofit Energy'!$D8,'Pre- and Post-Retrofit Energy'!$F8))/1000+('Pre- and Post-Retrofit Energy'!$B$19*'Pre- and Post-Retrofit Energy'!$B7*28)/1000</f>
        <v>702.78421367646274</v>
      </c>
      <c r="H16" s="16">
        <f>('Pre- and Post-Retrofit Energy'!$D7*INDEX('Emissions Factors'!$E$16:$E$46,MATCH('2030 and 2050 GHG Projections'!H$14,'Emissions Factors'!$B$16:$B$46,0))+'Emissions Factors'!$E$7*IF('2030 and 2050 GHG Projections'!H$14&lt;2040,'Pre- and Post-Retrofit Energy'!$D8,'Pre- and Post-Retrofit Energy'!$F8))/1000+('Pre- and Post-Retrofit Energy'!$B$19*'Pre- and Post-Retrofit Energy'!$B7*28)/1000</f>
        <v>700.62201284999253</v>
      </c>
      <c r="I16" s="16">
        <f>('Pre- and Post-Retrofit Energy'!$D7*INDEX('Emissions Factors'!$E$16:$E$46,MATCH('2030 and 2050 GHG Projections'!I$14,'Emissions Factors'!$B$16:$B$46,0))+'Emissions Factors'!$E$7*IF('2030 and 2050 GHG Projections'!I$14&lt;2040,'Pre- and Post-Retrofit Energy'!$D8,'Pre- and Post-Retrofit Energy'!$F8))/1000+('Pre- and Post-Retrofit Energy'!$B$19*'Pre- and Post-Retrofit Energy'!$B7*28)/1000</f>
        <v>698.45981202352243</v>
      </c>
      <c r="J16" s="16">
        <f>('Pre- and Post-Retrofit Energy'!$D7*INDEX('Emissions Factors'!$E$16:$E$46,MATCH('2030 and 2050 GHG Projections'!J$14,'Emissions Factors'!$B$16:$B$46,0))+'Emissions Factors'!$E$7*IF('2030 and 2050 GHG Projections'!J$14&lt;2040,'Pre- and Post-Retrofit Energy'!$D8,'Pre- and Post-Retrofit Energy'!$F8))/1000+('Pre- and Post-Retrofit Energy'!$B$19*'Pre- and Post-Retrofit Energy'!$B7*28)/1000</f>
        <v>696.29761119705222</v>
      </c>
      <c r="K16" s="16">
        <f>('Pre- and Post-Retrofit Energy'!$D7*INDEX('Emissions Factors'!$E$16:$E$46,MATCH('2030 and 2050 GHG Projections'!K$14,'Emissions Factors'!$B$16:$B$46,0))+'Emissions Factors'!$E$7*IF('2030 and 2050 GHG Projections'!K$14&lt;2040,'Pre- and Post-Retrofit Energy'!$D8,'Pre- and Post-Retrofit Energy'!$F8))/1000+('Pre- and Post-Retrofit Energy'!$B$19*'Pre- and Post-Retrofit Energy'!$B7*28)/1000</f>
        <v>694.13541037058212</v>
      </c>
      <c r="L16" s="16">
        <f>('Pre- and Post-Retrofit Energy'!$D7*INDEX('Emissions Factors'!$E$16:$E$46,MATCH('2030 and 2050 GHG Projections'!L$14,'Emissions Factors'!$B$16:$B$46,0))+'Emissions Factors'!$E$7*IF('2030 and 2050 GHG Projections'!L$14&lt;2040,'Pre- and Post-Retrofit Energy'!$D8,'Pre- and Post-Retrofit Energy'!$F8))/1000+('Pre- and Post-Retrofit Energy'!$B$19*'Pre- and Post-Retrofit Energy'!$B7*28)/1000</f>
        <v>691.97320954411191</v>
      </c>
      <c r="M16" s="16">
        <f>('Pre- and Post-Retrofit Energy'!$D7*INDEX('Emissions Factors'!$E$16:$E$46,MATCH('2030 and 2050 GHG Projections'!M$14,'Emissions Factors'!$B$16:$B$46,0))+'Emissions Factors'!$E$7*IF('2030 and 2050 GHG Projections'!M$14&lt;2040,'Pre- and Post-Retrofit Energy'!$D8,'Pre- and Post-Retrofit Energy'!$F8))/1000+('Pre- and Post-Retrofit Energy'!$B$19*'Pre- and Post-Retrofit Energy'!$B7*28)/1000</f>
        <v>689.81100871764181</v>
      </c>
      <c r="N16" s="16">
        <f>('Pre- and Post-Retrofit Energy'!$D7*INDEX('Emissions Factors'!$E$16:$E$46,MATCH('2030 and 2050 GHG Projections'!N$14,'Emissions Factors'!$B$16:$B$46,0))+'Emissions Factors'!$E$7*IF('2030 and 2050 GHG Projections'!N$14&lt;2040,'Pre- and Post-Retrofit Energy'!$D8,'Pre- and Post-Retrofit Energy'!$F8))/1000+('Pre- and Post-Retrofit Energy'!$B$19*'Pre- and Post-Retrofit Energy'!$B7*28)/1000</f>
        <v>687.6488078911716</v>
      </c>
      <c r="O16" s="16">
        <f>('Pre- and Post-Retrofit Energy'!$D7*INDEX('Emissions Factors'!$E$16:$E$46,MATCH('2030 and 2050 GHG Projections'!O$14,'Emissions Factors'!$B$16:$B$46,0))+'Emissions Factors'!$E$7*IF('2030 and 2050 GHG Projections'!O$14&lt;2040,'Pre- and Post-Retrofit Energy'!$D8,'Pre- and Post-Retrofit Energy'!$F8))/1000+('Pre- and Post-Retrofit Energy'!$B$19*'Pre- and Post-Retrofit Energy'!$B7*28)/1000</f>
        <v>652.41058652470144</v>
      </c>
      <c r="P16" s="16">
        <f>('Pre- and Post-Retrofit Energy'!$D7*INDEX('Emissions Factors'!$E$16:$E$46,MATCH('2030 and 2050 GHG Projections'!P$14,'Emissions Factors'!$B$16:$B$46,0))+'Emissions Factors'!$E$7*IF('2030 and 2050 GHG Projections'!P$14&lt;2040,'Pre- and Post-Retrofit Energy'!$D8,'Pre- and Post-Retrofit Energy'!$F8))/1000+('Pre- and Post-Retrofit Energy'!$B$19*'Pre- and Post-Retrofit Energy'!$B7*28)/1000</f>
        <v>650.24838569823123</v>
      </c>
      <c r="Q16" s="16">
        <f>('Pre- and Post-Retrofit Energy'!$D7*INDEX('Emissions Factors'!$E$16:$E$46,MATCH('2030 and 2050 GHG Projections'!Q$14,'Emissions Factors'!$B$16:$B$46,0))+'Emissions Factors'!$E$7*IF('2030 and 2050 GHG Projections'!Q$14&lt;2040,'Pre- and Post-Retrofit Energy'!$D8,'Pre- and Post-Retrofit Energy'!$F8))/1000+('Pre- and Post-Retrofit Energy'!$B$19*'Pre- and Post-Retrofit Energy'!$B7*28)/1000</f>
        <v>648.08618487176113</v>
      </c>
      <c r="R16" s="16">
        <f>('Pre- and Post-Retrofit Energy'!$D7*INDEX('Emissions Factors'!$E$16:$E$46,MATCH('2030 and 2050 GHG Projections'!R$14,'Emissions Factors'!$B$16:$B$46,0))+'Emissions Factors'!$E$7*IF('2030 and 2050 GHG Projections'!R$14&lt;2040,'Pre- and Post-Retrofit Energy'!$D8,'Pre- and Post-Retrofit Energy'!$F8))/1000+('Pre- and Post-Retrofit Energy'!$B$19*'Pre- and Post-Retrofit Energy'!$B7*28)/1000</f>
        <v>645.92398404529092</v>
      </c>
      <c r="S16" s="16">
        <f>('Pre- and Post-Retrofit Energy'!$D7*INDEX('Emissions Factors'!$E$16:$E$46,MATCH('2030 and 2050 GHG Projections'!S$14,'Emissions Factors'!$B$16:$B$46,0))+'Emissions Factors'!$E$7*IF('2030 and 2050 GHG Projections'!S$14&lt;2040,'Pre- and Post-Retrofit Energy'!$D8,'Pre- and Post-Retrofit Energy'!$F8))/1000+('Pre- and Post-Retrofit Energy'!$B$19*'Pre- and Post-Retrofit Energy'!$B7*28)/1000</f>
        <v>643.76178321882071</v>
      </c>
      <c r="T16" s="16">
        <f>('Pre- and Post-Retrofit Energy'!$D7*INDEX('Emissions Factors'!$E$16:$E$46,MATCH('2030 and 2050 GHG Projections'!T$14,'Emissions Factors'!$B$16:$B$46,0))+'Emissions Factors'!$E$7*IF('2030 and 2050 GHG Projections'!T$14&lt;2040,'Pre- and Post-Retrofit Energy'!$D8,'Pre- and Post-Retrofit Energy'!$F8))/1000+('Pre- and Post-Retrofit Energy'!$B$19*'Pre- and Post-Retrofit Energy'!$B7*28)/1000</f>
        <v>641.59958239235073</v>
      </c>
      <c r="U16" s="16">
        <f>('Pre- and Post-Retrofit Energy'!$D7*INDEX('Emissions Factors'!$E$16:$E$46,MATCH('2030 and 2050 GHG Projections'!U$14,'Emissions Factors'!$B$16:$B$46,0))+'Emissions Factors'!$E$7*IF('2030 and 2050 GHG Projections'!U$14&lt;2040,'Pre- and Post-Retrofit Energy'!$D8,'Pre- and Post-Retrofit Energy'!$F8))/1000+('Pre- and Post-Retrofit Energy'!$B$19*'Pre- and Post-Retrofit Energy'!$B7*28)/1000</f>
        <v>639.4373815658804</v>
      </c>
      <c r="V16" s="16">
        <f>('Pre- and Post-Retrofit Energy'!$D7*INDEX('Emissions Factors'!$E$16:$E$46,MATCH('2030 and 2050 GHG Projections'!V$14,'Emissions Factors'!$B$16:$B$46,0))+'Emissions Factors'!$E$7*IF('2030 and 2050 GHG Projections'!V$14&lt;2040,'Pre- and Post-Retrofit Energy'!$D8,'Pre- and Post-Retrofit Energy'!$F8))/1000+('Pre- and Post-Retrofit Energy'!$B$19*'Pre- and Post-Retrofit Energy'!$B7*28)/1000</f>
        <v>637.27518073941042</v>
      </c>
      <c r="W16" s="16">
        <f>('Pre- and Post-Retrofit Energy'!$D7*INDEX('Emissions Factors'!$E$16:$E$46,MATCH('2030 and 2050 GHG Projections'!W$14,'Emissions Factors'!$B$16:$B$46,0))+'Emissions Factors'!$E$7*IF('2030 and 2050 GHG Projections'!W$14&lt;2040,'Pre- and Post-Retrofit Energy'!$D8,'Pre- and Post-Retrofit Energy'!$F8))/1000+('Pre- and Post-Retrofit Energy'!$B$19*'Pre- and Post-Retrofit Energy'!$B7*28)/1000</f>
        <v>635.1129799129402</v>
      </c>
      <c r="X16" s="16">
        <f>('Pre- and Post-Retrofit Energy'!$D7*INDEX('Emissions Factors'!$E$16:$E$46,MATCH('2030 and 2050 GHG Projections'!X$14,'Emissions Factors'!$B$16:$B$46,0))+'Emissions Factors'!$E$7*IF('2030 and 2050 GHG Projections'!X$14&lt;2040,'Pre- and Post-Retrofit Energy'!$D8,'Pre- and Post-Retrofit Energy'!$F8))/1000+('Pre- and Post-Retrofit Energy'!$B$19*'Pre- and Post-Retrofit Energy'!$B7*28)/1000</f>
        <v>632.95077908647011</v>
      </c>
      <c r="Y16" s="16">
        <f>('Pre- and Post-Retrofit Energy'!$D7*INDEX('Emissions Factors'!$E$16:$E$46,MATCH('2030 and 2050 GHG Projections'!Y$14,'Emissions Factors'!$B$16:$B$46,0))+'Emissions Factors'!$E$7*IF('2030 and 2050 GHG Projections'!Y$14&lt;2040,'Pre- and Post-Retrofit Energy'!$D8,'Pre- and Post-Retrofit Energy'!$F8))/1000+('Pre- and Post-Retrofit Energy'!$B$19*'Pre- and Post-Retrofit Energy'!$B7*28)/1000</f>
        <v>630.78857825999989</v>
      </c>
    </row>
    <row r="17" spans="1:26" x14ac:dyDescent="0.25">
      <c r="A17" t="s">
        <v>41</v>
      </c>
      <c r="B17" s="16">
        <f>('Pre- and Post-Retrofit Energy'!$D9*INDEX('Emissions Factors'!$E$16:$E$46,MATCH('2030 and 2050 GHG Projections'!B$14,'Emissions Factors'!$B$16:$B$46,0))+'Emissions Factors'!$E$7*IF('2030 and 2050 GHG Projections'!B$14&lt;2040,'Pre- and Post-Retrofit Energy'!$D10,'Pre- and Post-Retrofit Energy'!$F10))/1000+('Pre- and Post-Retrofit Energy'!$B$19*'Pre- and Post-Retrofit Energy'!$B9*28)/1000</f>
        <v>261.68669089482194</v>
      </c>
      <c r="C17" s="16">
        <f>('Pre- and Post-Retrofit Energy'!$D9*INDEX('Emissions Factors'!$E$16:$E$46,MATCH('2030 and 2050 GHG Projections'!C$14,'Emissions Factors'!$B$16:$B$46,0))+'Emissions Factors'!$E$7*IF('2030 and 2050 GHG Projections'!C$14&lt;2040,'Pre- and Post-Retrofit Energy'!$D10,'Pre- and Post-Retrofit Energy'!$F10))/1000+('Pre- and Post-Retrofit Energy'!$B$19*'Pre- and Post-Retrofit Energy'!$B9*28)/1000</f>
        <v>252.83675262833938</v>
      </c>
      <c r="D17" s="16">
        <f>('Pre- and Post-Retrofit Energy'!$D9*INDEX('Emissions Factors'!$E$16:$E$46,MATCH('2030 and 2050 GHG Projections'!D$14,'Emissions Factors'!$B$16:$B$46,0))+'Emissions Factors'!$E$7*IF('2030 and 2050 GHG Projections'!D$14&lt;2040,'Pre- and Post-Retrofit Energy'!$D10,'Pre- and Post-Retrofit Energy'!$F10))/1000+('Pre- and Post-Retrofit Energy'!$B$19*'Pre- and Post-Retrofit Energy'!$B9*28)/1000</f>
        <v>245.4618040729373</v>
      </c>
      <c r="E17" s="16">
        <f>('Pre- and Post-Retrofit Energy'!$D9*INDEX('Emissions Factors'!$E$16:$E$46,MATCH('2030 and 2050 GHG Projections'!E$14,'Emissions Factors'!$B$16:$B$46,0))+'Emissions Factors'!$E$7*IF('2030 and 2050 GHG Projections'!E$14&lt;2040,'Pre- and Post-Retrofit Energy'!$D10,'Pre- and Post-Retrofit Energy'!$F10))/1000+('Pre- and Post-Retrofit Energy'!$B$19*'Pre- and Post-Retrofit Energy'!$B9*28)/1000</f>
        <v>241.18433391080413</v>
      </c>
      <c r="F17" s="16">
        <f>('Pre- and Post-Retrofit Energy'!$D9*INDEX('Emissions Factors'!$E$16:$E$46,MATCH('2030 and 2050 GHG Projections'!F$14,'Emissions Factors'!$B$16:$B$46,0))+'Emissions Factors'!$E$7*IF('2030 and 2050 GHG Projections'!F$14&lt;2040,'Pre- and Post-Retrofit Energy'!$D10,'Pre- and Post-Retrofit Energy'!$F10))/1000+('Pre- and Post-Retrofit Energy'!$B$19*'Pre- and Post-Retrofit Energy'!$B9*28)/1000</f>
        <v>240.44683905526389</v>
      </c>
      <c r="G17" s="16">
        <f>('Pre- and Post-Retrofit Energy'!$D9*INDEX('Emissions Factors'!$E$16:$E$46,MATCH('2030 and 2050 GHG Projections'!G$14,'Emissions Factors'!$B$16:$B$46,0))+'Emissions Factors'!$E$7*IF('2030 and 2050 GHG Projections'!G$14&lt;2040,'Pre- and Post-Retrofit Energy'!$D10,'Pre- and Post-Retrofit Energy'!$F10))/1000+('Pre- and Post-Retrofit Energy'!$B$19*'Pre- and Post-Retrofit Energy'!$B9*28)/1000</f>
        <v>239.70934419972372</v>
      </c>
      <c r="H17" s="16">
        <f>('Pre- and Post-Retrofit Energy'!$D9*INDEX('Emissions Factors'!$E$16:$E$46,MATCH('2030 and 2050 GHG Projections'!H$14,'Emissions Factors'!$B$16:$B$46,0))+'Emissions Factors'!$E$7*IF('2030 and 2050 GHG Projections'!H$14&lt;2040,'Pre- and Post-Retrofit Energy'!$D10,'Pre- and Post-Retrofit Energy'!$F10))/1000+('Pre- and Post-Retrofit Energy'!$B$19*'Pre- and Post-Retrofit Energy'!$B9*28)/1000</f>
        <v>238.97184934418348</v>
      </c>
      <c r="I17" s="16">
        <f>('Pre- and Post-Retrofit Energy'!$D9*INDEX('Emissions Factors'!$E$16:$E$46,MATCH('2030 and 2050 GHG Projections'!I$14,'Emissions Factors'!$B$16:$B$46,0))+'Emissions Factors'!$E$7*IF('2030 and 2050 GHG Projections'!I$14&lt;2040,'Pre- and Post-Retrofit Energy'!$D10,'Pre- and Post-Retrofit Energy'!$F10))/1000+('Pre- and Post-Retrofit Energy'!$B$19*'Pre- and Post-Retrofit Energy'!$B9*28)/1000</f>
        <v>238.23435448864328</v>
      </c>
      <c r="J17" s="16">
        <f>('Pre- and Post-Retrofit Energy'!$D9*INDEX('Emissions Factors'!$E$16:$E$46,MATCH('2030 and 2050 GHG Projections'!J$14,'Emissions Factors'!$B$16:$B$46,0))+'Emissions Factors'!$E$7*IF('2030 and 2050 GHG Projections'!J$14&lt;2040,'Pre- and Post-Retrofit Energy'!$D10,'Pre- and Post-Retrofit Energy'!$F10))/1000+('Pre- and Post-Retrofit Energy'!$B$19*'Pre- and Post-Retrofit Energy'!$B9*28)/1000</f>
        <v>237.49685963310307</v>
      </c>
      <c r="K17" s="16">
        <f>('Pre- and Post-Retrofit Energy'!$D9*INDEX('Emissions Factors'!$E$16:$E$46,MATCH('2030 and 2050 GHG Projections'!K$14,'Emissions Factors'!$B$16:$B$46,0))+'Emissions Factors'!$E$7*IF('2030 and 2050 GHG Projections'!K$14&lt;2040,'Pre- and Post-Retrofit Energy'!$D10,'Pre- and Post-Retrofit Energy'!$F10))/1000+('Pre- and Post-Retrofit Energy'!$B$19*'Pre- and Post-Retrofit Energy'!$B9*28)/1000</f>
        <v>236.75936477756287</v>
      </c>
      <c r="L17" s="16">
        <f>('Pre- and Post-Retrofit Energy'!$D9*INDEX('Emissions Factors'!$E$16:$E$46,MATCH('2030 and 2050 GHG Projections'!L$14,'Emissions Factors'!$B$16:$B$46,0))+'Emissions Factors'!$E$7*IF('2030 and 2050 GHG Projections'!L$14&lt;2040,'Pre- and Post-Retrofit Energy'!$D10,'Pre- and Post-Retrofit Energy'!$F10))/1000+('Pre- and Post-Retrofit Energy'!$B$19*'Pre- and Post-Retrofit Energy'!$B9*28)/1000</f>
        <v>236.02186992202266</v>
      </c>
      <c r="M17" s="16">
        <f>('Pre- and Post-Retrofit Energy'!$D9*INDEX('Emissions Factors'!$E$16:$E$46,MATCH('2030 and 2050 GHG Projections'!M$14,'Emissions Factors'!$B$16:$B$46,0))+'Emissions Factors'!$E$7*IF('2030 and 2050 GHG Projections'!M$14&lt;2040,'Pre- and Post-Retrofit Energy'!$D10,'Pre- and Post-Retrofit Energy'!$F10))/1000+('Pre- and Post-Retrofit Energy'!$B$19*'Pre- and Post-Retrofit Energy'!$B9*28)/1000</f>
        <v>235.28437506648245</v>
      </c>
      <c r="N17" s="16">
        <f>('Pre- and Post-Retrofit Energy'!$D9*INDEX('Emissions Factors'!$E$16:$E$46,MATCH('2030 and 2050 GHG Projections'!N$14,'Emissions Factors'!$B$16:$B$46,0))+'Emissions Factors'!$E$7*IF('2030 and 2050 GHG Projections'!N$14&lt;2040,'Pre- and Post-Retrofit Energy'!$D10,'Pre- and Post-Retrofit Energy'!$F10))/1000+('Pre- and Post-Retrofit Energy'!$B$19*'Pre- and Post-Retrofit Energy'!$B9*28)/1000</f>
        <v>234.54688021094222</v>
      </c>
      <c r="O17" s="16">
        <f>('Pre- and Post-Retrofit Energy'!$D9*INDEX('Emissions Factors'!$E$16:$E$46,MATCH('2030 and 2050 GHG Projections'!O$14,'Emissions Factors'!$B$16:$B$46,0))+'Emissions Factors'!$E$7*IF('2030 and 2050 GHG Projections'!O$14&lt;2040,'Pre- and Post-Retrofit Energy'!$D10,'Pre- and Post-Retrofit Energy'!$F10))/1000+('Pre- and Post-Retrofit Energy'!$B$19*'Pre- and Post-Retrofit Energy'!$B9*28)/1000</f>
        <v>222.52764191540206</v>
      </c>
      <c r="P17" s="16">
        <f>('Pre- and Post-Retrofit Energy'!$D9*INDEX('Emissions Factors'!$E$16:$E$46,MATCH('2030 and 2050 GHG Projections'!P$14,'Emissions Factors'!$B$16:$B$46,0))+'Emissions Factors'!$E$7*IF('2030 and 2050 GHG Projections'!P$14&lt;2040,'Pre- and Post-Retrofit Energy'!$D10,'Pre- and Post-Retrofit Energy'!$F10))/1000+('Pre- and Post-Retrofit Energy'!$B$19*'Pre- and Post-Retrofit Energy'!$B9*28)/1000</f>
        <v>221.79014705986182</v>
      </c>
      <c r="Q17" s="16">
        <f>('Pre- and Post-Retrofit Energy'!$D9*INDEX('Emissions Factors'!$E$16:$E$46,MATCH('2030 and 2050 GHG Projections'!Q$14,'Emissions Factors'!$B$16:$B$46,0))+'Emissions Factors'!$E$7*IF('2030 and 2050 GHG Projections'!Q$14&lt;2040,'Pre- and Post-Retrofit Energy'!$D10,'Pre- and Post-Retrofit Energy'!$F10))/1000+('Pre- and Post-Retrofit Energy'!$B$19*'Pre- and Post-Retrofit Energy'!$B9*28)/1000</f>
        <v>221.05265220432165</v>
      </c>
      <c r="R17" s="16">
        <f>('Pre- and Post-Retrofit Energy'!$D9*INDEX('Emissions Factors'!$E$16:$E$46,MATCH('2030 and 2050 GHG Projections'!R$14,'Emissions Factors'!$B$16:$B$46,0))+'Emissions Factors'!$E$7*IF('2030 and 2050 GHG Projections'!R$14&lt;2040,'Pre- and Post-Retrofit Energy'!$D10,'Pre- and Post-Retrofit Energy'!$F10))/1000+('Pre- and Post-Retrofit Energy'!$B$19*'Pre- and Post-Retrofit Energy'!$B9*28)/1000</f>
        <v>220.31515734878141</v>
      </c>
      <c r="S17" s="16">
        <f>('Pre- and Post-Retrofit Energy'!$D9*INDEX('Emissions Factors'!$E$16:$E$46,MATCH('2030 and 2050 GHG Projections'!S$14,'Emissions Factors'!$B$16:$B$46,0))+'Emissions Factors'!$E$7*IF('2030 and 2050 GHG Projections'!S$14&lt;2040,'Pre- and Post-Retrofit Energy'!$D10,'Pre- and Post-Retrofit Energy'!$F10))/1000+('Pre- and Post-Retrofit Energy'!$B$19*'Pre- and Post-Retrofit Energy'!$B9*28)/1000</f>
        <v>219.57766249324121</v>
      </c>
      <c r="T17" s="16">
        <f>('Pre- and Post-Retrofit Energy'!$D9*INDEX('Emissions Factors'!$E$16:$E$46,MATCH('2030 and 2050 GHG Projections'!T$14,'Emissions Factors'!$B$16:$B$46,0))+'Emissions Factors'!$E$7*IF('2030 and 2050 GHG Projections'!T$14&lt;2040,'Pre- and Post-Retrofit Energy'!$D10,'Pre- and Post-Retrofit Energy'!$F10))/1000+('Pre- and Post-Retrofit Energy'!$B$19*'Pre- and Post-Retrofit Energy'!$B9*28)/1000</f>
        <v>218.840167637701</v>
      </c>
      <c r="U17" s="16">
        <f>('Pre- and Post-Retrofit Energy'!$D9*INDEX('Emissions Factors'!$E$16:$E$46,MATCH('2030 and 2050 GHG Projections'!U$14,'Emissions Factors'!$B$16:$B$46,0))+'Emissions Factors'!$E$7*IF('2030 and 2050 GHG Projections'!U$14&lt;2040,'Pre- and Post-Retrofit Energy'!$D10,'Pre- and Post-Retrofit Energy'!$F10))/1000+('Pre- and Post-Retrofit Energy'!$B$19*'Pre- and Post-Retrofit Energy'!$B9*28)/1000</f>
        <v>218.10267278216077</v>
      </c>
      <c r="V17" s="16">
        <f>('Pre- and Post-Retrofit Energy'!$D9*INDEX('Emissions Factors'!$E$16:$E$46,MATCH('2030 and 2050 GHG Projections'!V$14,'Emissions Factors'!$B$16:$B$46,0))+'Emissions Factors'!$E$7*IF('2030 and 2050 GHG Projections'!V$14&lt;2040,'Pre- and Post-Retrofit Energy'!$D10,'Pre- and Post-Retrofit Energy'!$F10))/1000+('Pre- and Post-Retrofit Energy'!$B$19*'Pre- and Post-Retrofit Energy'!$B9*28)/1000</f>
        <v>217.36517792662059</v>
      </c>
      <c r="W17" s="16">
        <f>('Pre- and Post-Retrofit Energy'!$D9*INDEX('Emissions Factors'!$E$16:$E$46,MATCH('2030 and 2050 GHG Projections'!W$14,'Emissions Factors'!$B$16:$B$46,0))+'Emissions Factors'!$E$7*IF('2030 and 2050 GHG Projections'!W$14&lt;2040,'Pre- and Post-Retrofit Energy'!$D10,'Pre- and Post-Retrofit Energy'!$F10))/1000+('Pre- and Post-Retrofit Energy'!$B$19*'Pre- and Post-Retrofit Energy'!$B9*28)/1000</f>
        <v>216.62768307108036</v>
      </c>
      <c r="X17" s="16">
        <f>('Pre- and Post-Retrofit Energy'!$D9*INDEX('Emissions Factors'!$E$16:$E$46,MATCH('2030 and 2050 GHG Projections'!X$14,'Emissions Factors'!$B$16:$B$46,0))+'Emissions Factors'!$E$7*IF('2030 and 2050 GHG Projections'!X$14&lt;2040,'Pre- and Post-Retrofit Energy'!$D10,'Pre- and Post-Retrofit Energy'!$F10))/1000+('Pre- and Post-Retrofit Energy'!$B$19*'Pre- and Post-Retrofit Energy'!$B9*28)/1000</f>
        <v>215.89018821554015</v>
      </c>
      <c r="Y17" s="16">
        <f>('Pre- and Post-Retrofit Energy'!$D9*INDEX('Emissions Factors'!$E$16:$E$46,MATCH('2030 and 2050 GHG Projections'!Y$14,'Emissions Factors'!$B$16:$B$46,0))+'Emissions Factors'!$E$7*IF('2030 and 2050 GHG Projections'!Y$14&lt;2040,'Pre- and Post-Retrofit Energy'!$D10,'Pre- and Post-Retrofit Energy'!$F10))/1000+('Pre- and Post-Retrofit Energy'!$B$19*'Pre- and Post-Retrofit Energy'!$B9*28)/1000</f>
        <v>215.15269335999997</v>
      </c>
    </row>
    <row r="18" spans="1:26" x14ac:dyDescent="0.25">
      <c r="A18" t="s">
        <v>42</v>
      </c>
      <c r="B18" s="16">
        <f>('Pre- and Post-Retrofit Energy'!$D11*INDEX('Emissions Factors'!$E$16:$E$46,MATCH('2030 and 2050 GHG Projections'!B$14,'Emissions Factors'!$B$16:$B$46,0))+'Emissions Factors'!$E$7*IF('2030 and 2050 GHG Projections'!B$14&lt;2040,'Pre- and Post-Retrofit Energy'!$D12,'Pre- and Post-Retrofit Energy'!$F12))/1000+('Pre- and Post-Retrofit Energy'!$B$19*'Pre- and Post-Retrofit Energy'!$B11*28)/1000</f>
        <v>428.21458510061768</v>
      </c>
      <c r="C18" s="16">
        <f>('Pre- and Post-Retrofit Energy'!$D11*INDEX('Emissions Factors'!$E$16:$E$46,MATCH('2030 and 2050 GHG Projections'!C$14,'Emissions Factors'!$B$16:$B$46,0))+'Emissions Factors'!$E$7*IF('2030 and 2050 GHG Projections'!C$14&lt;2040,'Pre- and Post-Retrofit Energy'!$D12,'Pre- and Post-Retrofit Energy'!$F12))/1000+('Pre- and Post-Retrofit Energy'!$B$19*'Pre- and Post-Retrofit Energy'!$B11*28)/1000</f>
        <v>413.73286793728266</v>
      </c>
      <c r="D18" s="16">
        <f>('Pre- and Post-Retrofit Energy'!$D11*INDEX('Emissions Factors'!$E$16:$E$46,MATCH('2030 and 2050 GHG Projections'!D$14,'Emissions Factors'!$B$16:$B$46,0))+'Emissions Factors'!$E$7*IF('2030 and 2050 GHG Projections'!D$14&lt;2040,'Pre- and Post-Retrofit Energy'!$D12,'Pre- and Post-Retrofit Energy'!$F12))/1000+('Pre- and Post-Retrofit Energy'!$B$19*'Pre- and Post-Retrofit Energy'!$B11*28)/1000</f>
        <v>401.66477030117022</v>
      </c>
      <c r="E18" s="16">
        <f>('Pre- and Post-Retrofit Energy'!$D11*INDEX('Emissions Factors'!$E$16:$E$46,MATCH('2030 and 2050 GHG Projections'!E$14,'Emissions Factors'!$B$16:$B$46,0))+'Emissions Factors'!$E$7*IF('2030 and 2050 GHG Projections'!E$14&lt;2040,'Pre- and Post-Retrofit Energy'!$D12,'Pre- and Post-Retrofit Energy'!$F12))/1000+('Pre- and Post-Retrofit Energy'!$B$19*'Pre- and Post-Retrofit Energy'!$B11*28)/1000</f>
        <v>394.66527367222494</v>
      </c>
      <c r="F18" s="16">
        <f>('Pre- and Post-Retrofit Energy'!$D11*INDEX('Emissions Factors'!$E$16:$E$46,MATCH('2030 and 2050 GHG Projections'!F$14,'Emissions Factors'!$B$16:$B$46,0))+'Emissions Factors'!$E$7*IF('2030 and 2050 GHG Projections'!F$14&lt;2040,'Pre- and Post-Retrofit Energy'!$D12,'Pre- and Post-Retrofit Energy'!$F12))/1000+('Pre- and Post-Retrofit Energy'!$B$19*'Pre- and Post-Retrofit Energy'!$B11*28)/1000</f>
        <v>393.45846390861368</v>
      </c>
      <c r="G18" s="16">
        <f>('Pre- and Post-Retrofit Energy'!$D11*INDEX('Emissions Factors'!$E$16:$E$46,MATCH('2030 and 2050 GHG Projections'!G$14,'Emissions Factors'!$B$16:$B$46,0))+'Emissions Factors'!$E$7*IF('2030 and 2050 GHG Projections'!G$14&lt;2040,'Pre- and Post-Retrofit Energy'!$D12,'Pre- and Post-Retrofit Energy'!$F12))/1000+('Pre- and Post-Retrofit Energy'!$B$19*'Pre- and Post-Retrofit Energy'!$B11*28)/1000</f>
        <v>392.25165414500248</v>
      </c>
      <c r="H18" s="16">
        <f>('Pre- and Post-Retrofit Energy'!$D11*INDEX('Emissions Factors'!$E$16:$E$46,MATCH('2030 and 2050 GHG Projections'!H$14,'Emissions Factors'!$B$16:$B$46,0))+'Emissions Factors'!$E$7*IF('2030 and 2050 GHG Projections'!H$14&lt;2040,'Pre- and Post-Retrofit Energy'!$D12,'Pre- and Post-Retrofit Energy'!$F12))/1000+('Pre- and Post-Retrofit Energy'!$B$19*'Pre- and Post-Retrofit Energy'!$B11*28)/1000</f>
        <v>391.04484438139121</v>
      </c>
      <c r="I18" s="16">
        <f>('Pre- and Post-Retrofit Energy'!$D11*INDEX('Emissions Factors'!$E$16:$E$46,MATCH('2030 and 2050 GHG Projections'!I$14,'Emissions Factors'!$B$16:$B$46,0))+'Emissions Factors'!$E$7*IF('2030 and 2050 GHG Projections'!I$14&lt;2040,'Pre- and Post-Retrofit Energy'!$D12,'Pre- and Post-Retrofit Energy'!$F12))/1000+('Pre- and Post-Retrofit Energy'!$B$19*'Pre- and Post-Retrofit Energy'!$B11*28)/1000</f>
        <v>389.8380346177799</v>
      </c>
      <c r="J18" s="16">
        <f>('Pre- and Post-Retrofit Energy'!$D11*INDEX('Emissions Factors'!$E$16:$E$46,MATCH('2030 and 2050 GHG Projections'!J$14,'Emissions Factors'!$B$16:$B$46,0))+'Emissions Factors'!$E$7*IF('2030 and 2050 GHG Projections'!J$14&lt;2040,'Pre- and Post-Retrofit Energy'!$D12,'Pre- and Post-Retrofit Energy'!$F12))/1000+('Pre- and Post-Retrofit Energy'!$B$19*'Pre- and Post-Retrofit Energy'!$B11*28)/1000</f>
        <v>388.63122485416869</v>
      </c>
      <c r="K18" s="16">
        <f>('Pre- and Post-Retrofit Energy'!$D11*INDEX('Emissions Factors'!$E$16:$E$46,MATCH('2030 and 2050 GHG Projections'!K$14,'Emissions Factors'!$B$16:$B$46,0))+'Emissions Factors'!$E$7*IF('2030 and 2050 GHG Projections'!K$14&lt;2040,'Pre- and Post-Retrofit Energy'!$D12,'Pre- and Post-Retrofit Energy'!$F12))/1000+('Pre- and Post-Retrofit Energy'!$B$19*'Pre- and Post-Retrofit Energy'!$B11*28)/1000</f>
        <v>387.42441509055743</v>
      </c>
      <c r="L18" s="16">
        <f>('Pre- and Post-Retrofit Energy'!$D11*INDEX('Emissions Factors'!$E$16:$E$46,MATCH('2030 and 2050 GHG Projections'!L$14,'Emissions Factors'!$B$16:$B$46,0))+'Emissions Factors'!$E$7*IF('2030 and 2050 GHG Projections'!L$14&lt;2040,'Pre- and Post-Retrofit Energy'!$D12,'Pre- and Post-Retrofit Energy'!$F12))/1000+('Pre- and Post-Retrofit Energy'!$B$19*'Pre- and Post-Retrofit Energy'!$B11*28)/1000</f>
        <v>386.21760532694623</v>
      </c>
      <c r="M18" s="16">
        <f>('Pre- and Post-Retrofit Energy'!$D11*INDEX('Emissions Factors'!$E$16:$E$46,MATCH('2030 and 2050 GHG Projections'!M$14,'Emissions Factors'!$B$16:$B$46,0))+'Emissions Factors'!$E$7*IF('2030 and 2050 GHG Projections'!M$14&lt;2040,'Pre- and Post-Retrofit Energy'!$D12,'Pre- and Post-Retrofit Energy'!$F12))/1000+('Pre- and Post-Retrofit Energy'!$B$19*'Pre- and Post-Retrofit Energy'!$B11*28)/1000</f>
        <v>385.01079556333491</v>
      </c>
      <c r="N18" s="16">
        <f>('Pre- and Post-Retrofit Energy'!$D11*INDEX('Emissions Factors'!$E$16:$E$46,MATCH('2030 and 2050 GHG Projections'!N$14,'Emissions Factors'!$B$16:$B$46,0))+'Emissions Factors'!$E$7*IF('2030 and 2050 GHG Projections'!N$14&lt;2040,'Pre- and Post-Retrofit Energy'!$D12,'Pre- and Post-Retrofit Energy'!$F12))/1000+('Pre- and Post-Retrofit Energy'!$B$19*'Pre- and Post-Retrofit Energy'!$B11*28)/1000</f>
        <v>383.8039857997237</v>
      </c>
      <c r="O18" s="16">
        <f>('Pre- and Post-Retrofit Energy'!$D11*INDEX('Emissions Factors'!$E$16:$E$46,MATCH('2030 and 2050 GHG Projections'!O$14,'Emissions Factors'!$B$16:$B$46,0))+'Emissions Factors'!$E$7*IF('2030 and 2050 GHG Projections'!O$14&lt;2040,'Pre- and Post-Retrofit Energy'!$D12,'Pre- and Post-Retrofit Energy'!$F12))/1000+('Pre- and Post-Retrofit Energy'!$B$19*'Pre- and Post-Retrofit Energy'!$B11*28)/1000</f>
        <v>364.13614131611246</v>
      </c>
      <c r="P18" s="16">
        <f>('Pre- and Post-Retrofit Energy'!$D11*INDEX('Emissions Factors'!$E$16:$E$46,MATCH('2030 and 2050 GHG Projections'!P$14,'Emissions Factors'!$B$16:$B$46,0))+'Emissions Factors'!$E$7*IF('2030 and 2050 GHG Projections'!P$14&lt;2040,'Pre- and Post-Retrofit Energy'!$D12,'Pre- and Post-Retrofit Energy'!$F12))/1000+('Pre- and Post-Retrofit Energy'!$B$19*'Pre- and Post-Retrofit Energy'!$B11*28)/1000</f>
        <v>362.9293315525012</v>
      </c>
      <c r="Q18" s="16">
        <f>('Pre- and Post-Retrofit Energy'!$D11*INDEX('Emissions Factors'!$E$16:$E$46,MATCH('2030 and 2050 GHG Projections'!Q$14,'Emissions Factors'!$B$16:$B$46,0))+'Emissions Factors'!$E$7*IF('2030 and 2050 GHG Projections'!Q$14&lt;2040,'Pre- and Post-Retrofit Energy'!$D12,'Pre- and Post-Retrofit Energy'!$F12))/1000+('Pre- and Post-Retrofit Energy'!$B$19*'Pre- and Post-Retrofit Energy'!$B11*28)/1000</f>
        <v>361.72252178888994</v>
      </c>
      <c r="R18" s="16">
        <f>('Pre- and Post-Retrofit Energy'!$D11*INDEX('Emissions Factors'!$E$16:$E$46,MATCH('2030 and 2050 GHG Projections'!R$14,'Emissions Factors'!$B$16:$B$46,0))+'Emissions Factors'!$E$7*IF('2030 and 2050 GHG Projections'!R$14&lt;2040,'Pre- and Post-Retrofit Energy'!$D12,'Pre- and Post-Retrofit Energy'!$F12))/1000+('Pre- and Post-Retrofit Energy'!$B$19*'Pre- and Post-Retrofit Energy'!$B11*28)/1000</f>
        <v>360.51571202527867</v>
      </c>
      <c r="S18" s="16">
        <f>('Pre- and Post-Retrofit Energy'!$D11*INDEX('Emissions Factors'!$E$16:$E$46,MATCH('2030 and 2050 GHG Projections'!S$14,'Emissions Factors'!$B$16:$B$46,0))+'Emissions Factors'!$E$7*IF('2030 and 2050 GHG Projections'!S$14&lt;2040,'Pre- and Post-Retrofit Energy'!$D12,'Pre- and Post-Retrofit Energy'!$F12))/1000+('Pre- and Post-Retrofit Energy'!$B$19*'Pre- and Post-Retrofit Energy'!$B11*28)/1000</f>
        <v>359.30890226166747</v>
      </c>
      <c r="T18" s="16">
        <f>('Pre- and Post-Retrofit Energy'!$D11*INDEX('Emissions Factors'!$E$16:$E$46,MATCH('2030 and 2050 GHG Projections'!T$14,'Emissions Factors'!$B$16:$B$46,0))+'Emissions Factors'!$E$7*IF('2030 and 2050 GHG Projections'!T$14&lt;2040,'Pre- and Post-Retrofit Energy'!$D12,'Pre- and Post-Retrofit Energy'!$F12))/1000+('Pre- and Post-Retrofit Energy'!$B$19*'Pre- and Post-Retrofit Energy'!$B11*28)/1000</f>
        <v>358.10209249805621</v>
      </c>
      <c r="U18" s="16">
        <f>('Pre- and Post-Retrofit Energy'!$D11*INDEX('Emissions Factors'!$E$16:$E$46,MATCH('2030 and 2050 GHG Projections'!U$14,'Emissions Factors'!$B$16:$B$46,0))+'Emissions Factors'!$E$7*IF('2030 and 2050 GHG Projections'!U$14&lt;2040,'Pre- and Post-Retrofit Energy'!$D12,'Pre- and Post-Retrofit Energy'!$F12))/1000+('Pre- and Post-Retrofit Energy'!$B$19*'Pre- and Post-Retrofit Energy'!$B11*28)/1000</f>
        <v>356.89528273444489</v>
      </c>
      <c r="V18" s="16">
        <f>('Pre- and Post-Retrofit Energy'!$D11*INDEX('Emissions Factors'!$E$16:$E$46,MATCH('2030 and 2050 GHG Projections'!V$14,'Emissions Factors'!$B$16:$B$46,0))+'Emissions Factors'!$E$7*IF('2030 and 2050 GHG Projections'!V$14&lt;2040,'Pre- and Post-Retrofit Energy'!$D12,'Pre- and Post-Retrofit Energy'!$F12))/1000+('Pre- and Post-Retrofit Energy'!$B$19*'Pre- and Post-Retrofit Energy'!$B11*28)/1000</f>
        <v>355.68847297083369</v>
      </c>
      <c r="W18" s="16">
        <f>('Pre- and Post-Retrofit Energy'!$D11*INDEX('Emissions Factors'!$E$16:$E$46,MATCH('2030 and 2050 GHG Projections'!W$14,'Emissions Factors'!$B$16:$B$46,0))+'Emissions Factors'!$E$7*IF('2030 and 2050 GHG Projections'!W$14&lt;2040,'Pre- and Post-Retrofit Energy'!$D12,'Pre- and Post-Retrofit Energy'!$F12))/1000+('Pre- and Post-Retrofit Energy'!$B$19*'Pre- and Post-Retrofit Energy'!$B11*28)/1000</f>
        <v>354.48166320722243</v>
      </c>
      <c r="X18" s="16">
        <f>('Pre- and Post-Retrofit Energy'!$D11*INDEX('Emissions Factors'!$E$16:$E$46,MATCH('2030 and 2050 GHG Projections'!X$14,'Emissions Factors'!$B$16:$B$46,0))+'Emissions Factors'!$E$7*IF('2030 and 2050 GHG Projections'!X$14&lt;2040,'Pre- and Post-Retrofit Energy'!$D12,'Pre- and Post-Retrofit Energy'!$F12))/1000+('Pre- and Post-Retrofit Energy'!$B$19*'Pre- and Post-Retrofit Energy'!$B11*28)/1000</f>
        <v>353.27485344361122</v>
      </c>
      <c r="Y18" s="16">
        <f>('Pre- and Post-Retrofit Energy'!$D11*INDEX('Emissions Factors'!$E$16:$E$46,MATCH('2030 and 2050 GHG Projections'!Y$14,'Emissions Factors'!$B$16:$B$46,0))+'Emissions Factors'!$E$7*IF('2030 and 2050 GHG Projections'!Y$14&lt;2040,'Pre- and Post-Retrofit Energy'!$D12,'Pre- and Post-Retrofit Energy'!$F12))/1000+('Pre- and Post-Retrofit Energy'!$B$19*'Pre- and Post-Retrofit Energy'!$B11*28)/1000</f>
        <v>352.06804367999996</v>
      </c>
    </row>
    <row r="19" spans="1:26" x14ac:dyDescent="0.25">
      <c r="A19" t="s">
        <v>43</v>
      </c>
      <c r="B19" s="16">
        <f>('Pre- and Post-Retrofit Energy'!$D13*INDEX('Emissions Factors'!$E$16:$E$46,MATCH('2030 and 2050 GHG Projections'!B$14,'Emissions Factors'!$B$16:$B$46,0))+'Emissions Factors'!$E$7*IF('2030 and 2050 GHG Projections'!B$14&lt;2040,'Pre- and Post-Retrofit Energy'!$D14,'Pre- and Post-Retrofit Energy'!$F14))/1000+('Pre- and Post-Retrofit Energy'!$B$19*'Pre- and Post-Retrofit Energy'!$B13*28)/1000</f>
        <v>570.95278013415691</v>
      </c>
      <c r="C19" s="16">
        <f>('Pre- and Post-Retrofit Energy'!$D13*INDEX('Emissions Factors'!$E$16:$E$46,MATCH('2030 and 2050 GHG Projections'!C$14,'Emissions Factors'!$B$16:$B$46,0))+'Emissions Factors'!$E$7*IF('2030 and 2050 GHG Projections'!C$14&lt;2040,'Pre- and Post-Retrofit Energy'!$D14,'Pre- and Post-Retrofit Energy'!$F14))/1000+('Pre- and Post-Retrofit Energy'!$B$19*'Pre- and Post-Retrofit Energy'!$B13*28)/1000</f>
        <v>551.64382391637696</v>
      </c>
      <c r="D19" s="16">
        <f>('Pre- and Post-Retrofit Energy'!$D13*INDEX('Emissions Factors'!$E$16:$E$46,MATCH('2030 and 2050 GHG Projections'!D$14,'Emissions Factors'!$B$16:$B$46,0))+'Emissions Factors'!$E$7*IF('2030 and 2050 GHG Projections'!D$14&lt;2040,'Pre- and Post-Retrofit Energy'!$D14,'Pre- and Post-Retrofit Energy'!$F14))/1000+('Pre- and Post-Retrofit Energy'!$B$19*'Pre- and Post-Retrofit Energy'!$B13*28)/1000</f>
        <v>535.55302706822692</v>
      </c>
      <c r="E19" s="16">
        <f>('Pre- and Post-Retrofit Energy'!$D13*INDEX('Emissions Factors'!$E$16:$E$46,MATCH('2030 and 2050 GHG Projections'!E$14,'Emissions Factors'!$B$16:$B$46,0))+'Emissions Factors'!$E$7*IF('2030 and 2050 GHG Projections'!E$14&lt;2040,'Pre- and Post-Retrofit Energy'!$D14,'Pre- and Post-Retrofit Energy'!$F14))/1000+('Pre- and Post-Retrofit Energy'!$B$19*'Pre- and Post-Retrofit Energy'!$B13*28)/1000</f>
        <v>526.22036489629988</v>
      </c>
      <c r="F19" s="16">
        <f>('Pre- and Post-Retrofit Energy'!$D13*INDEX('Emissions Factors'!$E$16:$E$46,MATCH('2030 and 2050 GHG Projections'!F$14,'Emissions Factors'!$B$16:$B$46,0))+'Emissions Factors'!$E$7*IF('2030 and 2050 GHG Projections'!F$14&lt;2040,'Pre- and Post-Retrofit Energy'!$D14,'Pre- and Post-Retrofit Energy'!$F14))/1000+('Pre- and Post-Retrofit Energy'!$B$19*'Pre- and Post-Retrofit Energy'!$B13*28)/1000</f>
        <v>524.61128521148498</v>
      </c>
      <c r="G19" s="16">
        <f>('Pre- and Post-Retrofit Energy'!$D13*INDEX('Emissions Factors'!$E$16:$E$46,MATCH('2030 and 2050 GHG Projections'!G$14,'Emissions Factors'!$B$16:$B$46,0))+'Emissions Factors'!$E$7*IF('2030 and 2050 GHG Projections'!G$14&lt;2040,'Pre- and Post-Retrofit Energy'!$D14,'Pre- and Post-Retrofit Energy'!$F14))/1000+('Pre- and Post-Retrofit Energy'!$B$19*'Pre- and Post-Retrofit Energy'!$B13*28)/1000</f>
        <v>523.00220552666997</v>
      </c>
      <c r="H19" s="16">
        <f>('Pre- and Post-Retrofit Energy'!$D13*INDEX('Emissions Factors'!$E$16:$E$46,MATCH('2030 and 2050 GHG Projections'!H$14,'Emissions Factors'!$B$16:$B$46,0))+'Emissions Factors'!$E$7*IF('2030 and 2050 GHG Projections'!H$14&lt;2040,'Pre- and Post-Retrofit Energy'!$D14,'Pre- and Post-Retrofit Energy'!$F14))/1000+('Pre- and Post-Retrofit Energy'!$B$19*'Pre- and Post-Retrofit Energy'!$B13*28)/1000</f>
        <v>521.39312584185484</v>
      </c>
      <c r="I19" s="16">
        <f>('Pre- and Post-Retrofit Energy'!$D13*INDEX('Emissions Factors'!$E$16:$E$46,MATCH('2030 and 2050 GHG Projections'!I$14,'Emissions Factors'!$B$16:$B$46,0))+'Emissions Factors'!$E$7*IF('2030 and 2050 GHG Projections'!I$14&lt;2040,'Pre- and Post-Retrofit Energy'!$D14,'Pre- and Post-Retrofit Energy'!$F14))/1000+('Pre- and Post-Retrofit Energy'!$B$19*'Pre- and Post-Retrofit Energy'!$B13*28)/1000</f>
        <v>519.78404615703994</v>
      </c>
      <c r="J19" s="16">
        <f>('Pre- and Post-Retrofit Energy'!$D13*INDEX('Emissions Factors'!$E$16:$E$46,MATCH('2030 and 2050 GHG Projections'!J$14,'Emissions Factors'!$B$16:$B$46,0))+'Emissions Factors'!$E$7*IF('2030 and 2050 GHG Projections'!J$14&lt;2040,'Pre- and Post-Retrofit Energy'!$D14,'Pre- and Post-Retrofit Energy'!$F14))/1000+('Pre- and Post-Retrofit Energy'!$B$19*'Pre- and Post-Retrofit Energy'!$B13*28)/1000</f>
        <v>518.17496647222492</v>
      </c>
      <c r="K19" s="16">
        <f>('Pre- and Post-Retrofit Energy'!$D13*INDEX('Emissions Factors'!$E$16:$E$46,MATCH('2030 and 2050 GHG Projections'!K$14,'Emissions Factors'!$B$16:$B$46,0))+'Emissions Factors'!$E$7*IF('2030 and 2050 GHG Projections'!K$14&lt;2040,'Pre- and Post-Retrofit Energy'!$D14,'Pre- and Post-Retrofit Energy'!$F14))/1000+('Pre- and Post-Retrofit Energy'!$B$19*'Pre- and Post-Retrofit Energy'!$B13*28)/1000</f>
        <v>516.56588678740991</v>
      </c>
      <c r="L19" s="16">
        <f>('Pre- and Post-Retrofit Energy'!$D13*INDEX('Emissions Factors'!$E$16:$E$46,MATCH('2030 and 2050 GHG Projections'!L$14,'Emissions Factors'!$B$16:$B$46,0))+'Emissions Factors'!$E$7*IF('2030 and 2050 GHG Projections'!L$14&lt;2040,'Pre- and Post-Retrofit Energy'!$D14,'Pre- and Post-Retrofit Energy'!$F14))/1000+('Pre- and Post-Retrofit Energy'!$B$19*'Pre- and Post-Retrofit Energy'!$B13*28)/1000</f>
        <v>514.95680710259489</v>
      </c>
      <c r="M19" s="16">
        <f>('Pre- and Post-Retrofit Energy'!$D13*INDEX('Emissions Factors'!$E$16:$E$46,MATCH('2030 and 2050 GHG Projections'!M$14,'Emissions Factors'!$B$16:$B$46,0))+'Emissions Factors'!$E$7*IF('2030 and 2050 GHG Projections'!M$14&lt;2040,'Pre- and Post-Retrofit Energy'!$D14,'Pre- and Post-Retrofit Energy'!$F14))/1000+('Pre- and Post-Retrofit Energy'!$B$19*'Pre- and Post-Retrofit Energy'!$B13*28)/1000</f>
        <v>513.34772741777999</v>
      </c>
      <c r="N19" s="16">
        <f>('Pre- and Post-Retrofit Energy'!$D13*INDEX('Emissions Factors'!$E$16:$E$46,MATCH('2030 and 2050 GHG Projections'!N$14,'Emissions Factors'!$B$16:$B$46,0))+'Emissions Factors'!$E$7*IF('2030 and 2050 GHG Projections'!N$14&lt;2040,'Pre- and Post-Retrofit Energy'!$D14,'Pre- and Post-Retrofit Energy'!$F14))/1000+('Pre- and Post-Retrofit Energy'!$B$19*'Pre- and Post-Retrofit Energy'!$B13*28)/1000</f>
        <v>511.73864773296492</v>
      </c>
      <c r="O19" s="16">
        <f>('Pre- and Post-Retrofit Energy'!$D13*INDEX('Emissions Factors'!$E$16:$E$46,MATCH('2030 and 2050 GHG Projections'!O$14,'Emissions Factors'!$B$16:$B$46,0))+'Emissions Factors'!$E$7*IF('2030 and 2050 GHG Projections'!O$14&lt;2040,'Pre- and Post-Retrofit Energy'!$D14,'Pre- and Post-Retrofit Energy'!$F14))/1000+('Pre- and Post-Retrofit Energy'!$B$19*'Pre- and Post-Retrofit Energy'!$B13*28)/1000</f>
        <v>485.51485508814989</v>
      </c>
      <c r="P19" s="16">
        <f>('Pre- and Post-Retrofit Energy'!$D13*INDEX('Emissions Factors'!$E$16:$E$46,MATCH('2030 and 2050 GHG Projections'!P$14,'Emissions Factors'!$B$16:$B$46,0))+'Emissions Factors'!$E$7*IF('2030 and 2050 GHG Projections'!P$14&lt;2040,'Pre- and Post-Retrofit Energy'!$D14,'Pre- and Post-Retrofit Energy'!$F14))/1000+('Pre- and Post-Retrofit Energy'!$B$19*'Pre- and Post-Retrofit Energy'!$B13*28)/1000</f>
        <v>483.90577540333487</v>
      </c>
      <c r="Q19" s="16">
        <f>('Pre- and Post-Retrofit Energy'!$D13*INDEX('Emissions Factors'!$E$16:$E$46,MATCH('2030 and 2050 GHG Projections'!Q$14,'Emissions Factors'!$B$16:$B$46,0))+'Emissions Factors'!$E$7*IF('2030 and 2050 GHG Projections'!Q$14&lt;2040,'Pre- and Post-Retrofit Energy'!$D14,'Pre- and Post-Retrofit Energy'!$F14))/1000+('Pre- and Post-Retrofit Energy'!$B$19*'Pre- and Post-Retrofit Energy'!$B13*28)/1000</f>
        <v>482.29669571851991</v>
      </c>
      <c r="R19" s="16">
        <f>('Pre- and Post-Retrofit Energy'!$D13*INDEX('Emissions Factors'!$E$16:$E$46,MATCH('2030 and 2050 GHG Projections'!R$14,'Emissions Factors'!$B$16:$B$46,0))+'Emissions Factors'!$E$7*IF('2030 and 2050 GHG Projections'!R$14&lt;2040,'Pre- and Post-Retrofit Energy'!$D14,'Pre- and Post-Retrofit Energy'!$F14))/1000+('Pre- and Post-Retrofit Energy'!$B$19*'Pre- and Post-Retrofit Energy'!$B13*28)/1000</f>
        <v>480.6876160337049</v>
      </c>
      <c r="S19" s="16">
        <f>('Pre- and Post-Retrofit Energy'!$D13*INDEX('Emissions Factors'!$E$16:$E$46,MATCH('2030 and 2050 GHG Projections'!S$14,'Emissions Factors'!$B$16:$B$46,0))+'Emissions Factors'!$E$7*IF('2030 and 2050 GHG Projections'!S$14&lt;2040,'Pre- and Post-Retrofit Energy'!$D14,'Pre- and Post-Retrofit Energy'!$F14))/1000+('Pre- and Post-Retrofit Energy'!$B$19*'Pre- and Post-Retrofit Energy'!$B13*28)/1000</f>
        <v>479.07853634888988</v>
      </c>
      <c r="T19" s="16">
        <f>('Pre- and Post-Retrofit Energy'!$D13*INDEX('Emissions Factors'!$E$16:$E$46,MATCH('2030 and 2050 GHG Projections'!T$14,'Emissions Factors'!$B$16:$B$46,0))+'Emissions Factors'!$E$7*IF('2030 and 2050 GHG Projections'!T$14&lt;2040,'Pre- and Post-Retrofit Energy'!$D14,'Pre- and Post-Retrofit Energy'!$F14))/1000+('Pre- and Post-Retrofit Energy'!$B$19*'Pre- and Post-Retrofit Energy'!$B13*28)/1000</f>
        <v>477.46945666407493</v>
      </c>
      <c r="U19" s="16">
        <f>('Pre- and Post-Retrofit Energy'!$D13*INDEX('Emissions Factors'!$E$16:$E$46,MATCH('2030 and 2050 GHG Projections'!U$14,'Emissions Factors'!$B$16:$B$46,0))+'Emissions Factors'!$E$7*IF('2030 and 2050 GHG Projections'!U$14&lt;2040,'Pre- and Post-Retrofit Energy'!$D14,'Pre- and Post-Retrofit Energy'!$F14))/1000+('Pre- and Post-Retrofit Energy'!$B$19*'Pre- and Post-Retrofit Energy'!$B13*28)/1000</f>
        <v>475.86037697925991</v>
      </c>
      <c r="V19" s="16">
        <f>('Pre- and Post-Retrofit Energy'!$D13*INDEX('Emissions Factors'!$E$16:$E$46,MATCH('2030 and 2050 GHG Projections'!V$14,'Emissions Factors'!$B$16:$B$46,0))+'Emissions Factors'!$E$7*IF('2030 and 2050 GHG Projections'!V$14&lt;2040,'Pre- and Post-Retrofit Energy'!$D14,'Pre- and Post-Retrofit Energy'!$F14))/1000+('Pre- and Post-Retrofit Energy'!$B$19*'Pre- and Post-Retrofit Energy'!$B13*28)/1000</f>
        <v>474.2512972944449</v>
      </c>
      <c r="W19" s="16">
        <f>('Pre- and Post-Retrofit Energy'!$D13*INDEX('Emissions Factors'!$E$16:$E$46,MATCH('2030 and 2050 GHG Projections'!W$14,'Emissions Factors'!$B$16:$B$46,0))+'Emissions Factors'!$E$7*IF('2030 and 2050 GHG Projections'!W$14&lt;2040,'Pre- and Post-Retrofit Energy'!$D14,'Pre- and Post-Retrofit Energy'!$F14))/1000+('Pre- and Post-Retrofit Energy'!$B$19*'Pre- and Post-Retrofit Energy'!$B13*28)/1000</f>
        <v>472.64221760962988</v>
      </c>
      <c r="X19" s="16">
        <f>('Pre- and Post-Retrofit Energy'!$D13*INDEX('Emissions Factors'!$E$16:$E$46,MATCH('2030 and 2050 GHG Projections'!X$14,'Emissions Factors'!$B$16:$B$46,0))+'Emissions Factors'!$E$7*IF('2030 and 2050 GHG Projections'!X$14&lt;2040,'Pre- and Post-Retrofit Energy'!$D14,'Pre- and Post-Retrofit Energy'!$F14))/1000+('Pre- and Post-Retrofit Energy'!$B$19*'Pre- and Post-Retrofit Energy'!$B13*28)/1000</f>
        <v>471.03313792481487</v>
      </c>
      <c r="Y19" s="16">
        <f>('Pre- and Post-Retrofit Energy'!$D13*INDEX('Emissions Factors'!$E$16:$E$46,MATCH('2030 and 2050 GHG Projections'!Y$14,'Emissions Factors'!$B$16:$B$46,0))+'Emissions Factors'!$E$7*IF('2030 and 2050 GHG Projections'!Y$14&lt;2040,'Pre- and Post-Retrofit Energy'!$D14,'Pre- and Post-Retrofit Energy'!$F14))/1000+('Pre- and Post-Retrofit Energy'!$B$19*'Pre- and Post-Retrofit Energy'!$B13*28)/1000</f>
        <v>469.42405823999991</v>
      </c>
    </row>
    <row r="20" spans="1:26" x14ac:dyDescent="0.25">
      <c r="A20" t="s">
        <v>91</v>
      </c>
      <c r="B20" s="35">
        <f>('Emissions Factors'!$E$7*IF('2030 and 2050 GHG Projections'!B$14&lt;2040,'Pre- and Post-Retrofit Energy'!$D16,'Pre- and Post-Retrofit Energy'!$F16))/1000+('Pre- and Post-Retrofit Energy'!$B$19*'Pre- and Post-Retrofit Energy'!$B15*28)/1000</f>
        <v>473.45382239999992</v>
      </c>
      <c r="C20" s="16">
        <f>('Emissions Factors'!$E$7*IF('2030 and 2050 GHG Projections'!C$14&lt;2040,'Pre- and Post-Retrofit Energy'!$D16,'Pre- and Post-Retrofit Energy'!$F16))/1000+('Pre- and Post-Retrofit Energy'!$B$19*'Pre- and Post-Retrofit Energy'!$B15*28)/1000</f>
        <v>473.45382239999992</v>
      </c>
      <c r="D20" s="16">
        <f>('Emissions Factors'!$E$7*IF('2030 and 2050 GHG Projections'!D$14&lt;2040,'Pre- and Post-Retrofit Energy'!$D16,'Pre- and Post-Retrofit Energy'!$F16))/1000+('Pre- and Post-Retrofit Energy'!$B$19*'Pre- and Post-Retrofit Energy'!$B15*28)/1000</f>
        <v>473.45382239999992</v>
      </c>
      <c r="E20" s="16">
        <f>('Emissions Factors'!$E$7*IF('2030 and 2050 GHG Projections'!E$14&lt;2040,'Pre- and Post-Retrofit Energy'!$D16,'Pre- and Post-Retrofit Energy'!$F16))/1000+('Pre- and Post-Retrofit Energy'!$B$19*'Pre- and Post-Retrofit Energy'!$B15*28)/1000</f>
        <v>473.45382239999992</v>
      </c>
      <c r="F20" s="16">
        <f>('Emissions Factors'!$E$7*IF('2030 and 2050 GHG Projections'!F$14&lt;2040,'Pre- and Post-Retrofit Energy'!$D16,'Pre- and Post-Retrofit Energy'!$F16))/1000+('Pre- and Post-Retrofit Energy'!$B$19*'Pre- and Post-Retrofit Energy'!$B15*28)/1000</f>
        <v>473.45382239999992</v>
      </c>
      <c r="G20" s="16">
        <f>('Emissions Factors'!$E$7*IF('2030 and 2050 GHG Projections'!G$14&lt;2040,'Pre- and Post-Retrofit Energy'!$D16,'Pre- and Post-Retrofit Energy'!$F16))/1000+('Pre- and Post-Retrofit Energy'!$B$19*'Pre- and Post-Retrofit Energy'!$B15*28)/1000</f>
        <v>473.45382239999992</v>
      </c>
      <c r="H20" s="16">
        <f>('Emissions Factors'!$E$7*IF('2030 and 2050 GHG Projections'!H$14&lt;2040,'Pre- and Post-Retrofit Energy'!$D16,'Pre- and Post-Retrofit Energy'!$F16))/1000+('Pre- and Post-Retrofit Energy'!$B$19*'Pre- and Post-Retrofit Energy'!$B15*28)/1000</f>
        <v>473.45382239999992</v>
      </c>
      <c r="I20" s="16">
        <f>('Emissions Factors'!$E$7*IF('2030 and 2050 GHG Projections'!I$14&lt;2040,'Pre- and Post-Retrofit Energy'!$D16,'Pre- and Post-Retrofit Energy'!$F16))/1000+('Pre- and Post-Retrofit Energy'!$B$19*'Pre- and Post-Retrofit Energy'!$B15*28)/1000</f>
        <v>473.45382239999992</v>
      </c>
      <c r="J20" s="16">
        <f>('Emissions Factors'!$E$7*IF('2030 and 2050 GHG Projections'!J$14&lt;2040,'Pre- and Post-Retrofit Energy'!$D16,'Pre- and Post-Retrofit Energy'!$F16))/1000+('Pre- and Post-Retrofit Energy'!$B$19*'Pre- and Post-Retrofit Energy'!$B15*28)/1000</f>
        <v>473.45382239999992</v>
      </c>
      <c r="K20" s="16">
        <f>('Emissions Factors'!$E$7*IF('2030 and 2050 GHG Projections'!K$14&lt;2040,'Pre- and Post-Retrofit Energy'!$D16,'Pre- and Post-Retrofit Energy'!$F16))/1000+('Pre- and Post-Retrofit Energy'!$B$19*'Pre- and Post-Retrofit Energy'!$B15*28)/1000</f>
        <v>473.45382239999992</v>
      </c>
      <c r="L20" s="16">
        <f>('Emissions Factors'!$E$7*IF('2030 and 2050 GHG Projections'!L$14&lt;2040,'Pre- and Post-Retrofit Energy'!$D16,'Pre- and Post-Retrofit Energy'!$F16))/1000+('Pre- and Post-Retrofit Energy'!$B$19*'Pre- and Post-Retrofit Energy'!$B15*28)/1000</f>
        <v>473.45382239999992</v>
      </c>
      <c r="M20" s="16">
        <f>('Emissions Factors'!$E$7*IF('2030 and 2050 GHG Projections'!M$14&lt;2040,'Pre- and Post-Retrofit Energy'!$D16,'Pre- and Post-Retrofit Energy'!$F16))/1000+('Pre- and Post-Retrofit Energy'!$B$19*'Pre- and Post-Retrofit Energy'!$B15*28)/1000</f>
        <v>473.45382239999992</v>
      </c>
      <c r="N20" s="16">
        <f>('Emissions Factors'!$E$7*IF('2030 and 2050 GHG Projections'!N$14&lt;2040,'Pre- and Post-Retrofit Energy'!$D16,'Pre- and Post-Retrofit Energy'!$F16))/1000+('Pre- and Post-Retrofit Energy'!$B$19*'Pre- and Post-Retrofit Energy'!$B15*28)/1000</f>
        <v>473.45382239999992</v>
      </c>
      <c r="O20" s="16">
        <f>('Emissions Factors'!$E$7*IF('2030 and 2050 GHG Projections'!O$14&lt;2040,'Pre- and Post-Retrofit Energy'!$D16,'Pre- and Post-Retrofit Energy'!$F16))/1000+('Pre- and Post-Retrofit Energy'!$B$19*'Pre- and Post-Retrofit Energy'!$B15*28)/1000</f>
        <v>449.86472247999995</v>
      </c>
      <c r="P20" s="16">
        <f>('Emissions Factors'!$E$7*IF('2030 and 2050 GHG Projections'!P$14&lt;2040,'Pre- and Post-Retrofit Energy'!$D16,'Pre- and Post-Retrofit Energy'!$F16))/1000+('Pre- and Post-Retrofit Energy'!$B$19*'Pre- and Post-Retrofit Energy'!$B15*28)/1000</f>
        <v>449.86472247999995</v>
      </c>
      <c r="Q20" s="16">
        <f>('Emissions Factors'!$E$7*IF('2030 and 2050 GHG Projections'!Q$14&lt;2040,'Pre- and Post-Retrofit Energy'!$D16,'Pre- and Post-Retrofit Energy'!$F16))/1000+('Pre- and Post-Retrofit Energy'!$B$19*'Pre- and Post-Retrofit Energy'!$B15*28)/1000</f>
        <v>449.86472247999995</v>
      </c>
      <c r="R20" s="16">
        <f>('Emissions Factors'!$E$7*IF('2030 and 2050 GHG Projections'!R$14&lt;2040,'Pre- and Post-Retrofit Energy'!$D16,'Pre- and Post-Retrofit Energy'!$F16))/1000+('Pre- and Post-Retrofit Energy'!$B$19*'Pre- and Post-Retrofit Energy'!$B15*28)/1000</f>
        <v>449.86472247999995</v>
      </c>
      <c r="S20" s="16">
        <f>('Emissions Factors'!$E$7*IF('2030 and 2050 GHG Projections'!S$14&lt;2040,'Pre- and Post-Retrofit Energy'!$D16,'Pre- and Post-Retrofit Energy'!$F16))/1000+('Pre- and Post-Retrofit Energy'!$B$19*'Pre- and Post-Retrofit Energy'!$B15*28)/1000</f>
        <v>449.86472247999995</v>
      </c>
      <c r="T20" s="16">
        <f>('Emissions Factors'!$E$7*IF('2030 and 2050 GHG Projections'!T$14&lt;2040,'Pre- and Post-Retrofit Energy'!$D16,'Pre- and Post-Retrofit Energy'!$F16))/1000+('Pre- and Post-Retrofit Energy'!$B$19*'Pre- and Post-Retrofit Energy'!$B15*28)/1000</f>
        <v>449.86472247999995</v>
      </c>
      <c r="U20" s="16">
        <f>('Emissions Factors'!$E$7*IF('2030 and 2050 GHG Projections'!U$14&lt;2040,'Pre- and Post-Retrofit Energy'!$D16,'Pre- and Post-Retrofit Energy'!$F16))/1000+('Pre- and Post-Retrofit Energy'!$B$19*'Pre- and Post-Retrofit Energy'!$B15*28)/1000</f>
        <v>449.86472247999995</v>
      </c>
      <c r="V20" s="16">
        <f>('Emissions Factors'!$E$7*IF('2030 and 2050 GHG Projections'!V$14&lt;2040,'Pre- and Post-Retrofit Energy'!$D16,'Pre- and Post-Retrofit Energy'!$F16))/1000+('Pre- and Post-Retrofit Energy'!$B$19*'Pre- and Post-Retrofit Energy'!$B15*28)/1000</f>
        <v>449.86472247999995</v>
      </c>
      <c r="W20" s="16">
        <f>('Emissions Factors'!$E$7*IF('2030 and 2050 GHG Projections'!W$14&lt;2040,'Pre- and Post-Retrofit Energy'!$D16,'Pre- and Post-Retrofit Energy'!$F16))/1000+('Pre- and Post-Retrofit Energy'!$B$19*'Pre- and Post-Retrofit Energy'!$B15*28)/1000</f>
        <v>449.86472247999995</v>
      </c>
      <c r="X20" s="16">
        <f>('Emissions Factors'!$E$7*IF('2030 and 2050 GHG Projections'!X$14&lt;2040,'Pre- and Post-Retrofit Energy'!$D16,'Pre- and Post-Retrofit Energy'!$F16))/1000+('Pre- and Post-Retrofit Energy'!$B$19*'Pre- and Post-Retrofit Energy'!$B15*28)/1000</f>
        <v>449.86472247999995</v>
      </c>
      <c r="Y20" s="16">
        <f>('Emissions Factors'!$E$7*IF('2030 and 2050 GHG Projections'!Y$14&lt;2040,'Pre- and Post-Retrofit Energy'!$D16,'Pre- and Post-Retrofit Energy'!$F16))/1000+('Pre- and Post-Retrofit Energy'!$B$19*'Pre- and Post-Retrofit Energy'!$B15*28)/1000</f>
        <v>449.86472247999995</v>
      </c>
      <c r="Z20" s="4" t="s">
        <v>92</v>
      </c>
    </row>
    <row r="21" spans="1:26" x14ac:dyDescent="0.25">
      <c r="A21" t="s">
        <v>18</v>
      </c>
      <c r="B21" s="35">
        <f>SUM(B16:B20)</f>
        <v>2501.5256768348695</v>
      </c>
      <c r="C21" s="16">
        <f t="shared" ref="C21:Y21" si="0">SUM(C16:C20)</f>
        <v>2432.9386552696305</v>
      </c>
      <c r="D21" s="16">
        <f t="shared" si="0"/>
        <v>2375.7828039652641</v>
      </c>
      <c r="E21" s="16">
        <f t="shared" si="0"/>
        <v>2342.6324102087319</v>
      </c>
      <c r="F21" s="16">
        <f t="shared" si="0"/>
        <v>2336.9168250782955</v>
      </c>
      <c r="G21" s="16">
        <f t="shared" si="0"/>
        <v>2331.201239947859</v>
      </c>
      <c r="H21" s="16">
        <f t="shared" si="0"/>
        <v>2325.4856548174221</v>
      </c>
      <c r="I21" s="16">
        <f t="shared" si="0"/>
        <v>2319.7700696869856</v>
      </c>
      <c r="J21" s="16">
        <f t="shared" si="0"/>
        <v>2314.0544845565487</v>
      </c>
      <c r="K21" s="16">
        <f t="shared" si="0"/>
        <v>2308.3388994261122</v>
      </c>
      <c r="L21" s="16">
        <f t="shared" si="0"/>
        <v>2302.6233142956758</v>
      </c>
      <c r="M21" s="16">
        <f t="shared" si="0"/>
        <v>2296.9077291652388</v>
      </c>
      <c r="N21" s="16">
        <f t="shared" si="0"/>
        <v>2291.1921440348024</v>
      </c>
      <c r="O21" s="16">
        <f t="shared" si="0"/>
        <v>2174.4539473243658</v>
      </c>
      <c r="P21" s="16">
        <f t="shared" si="0"/>
        <v>2168.7383621939289</v>
      </c>
      <c r="Q21" s="16">
        <f t="shared" si="0"/>
        <v>2163.0227770634929</v>
      </c>
      <c r="R21" s="16">
        <f t="shared" si="0"/>
        <v>2157.3071919330559</v>
      </c>
      <c r="S21" s="16">
        <f t="shared" si="0"/>
        <v>2151.591606802619</v>
      </c>
      <c r="T21" s="16">
        <f t="shared" si="0"/>
        <v>2145.876021672183</v>
      </c>
      <c r="U21" s="16">
        <f t="shared" si="0"/>
        <v>2140.1604365417461</v>
      </c>
      <c r="V21" s="16">
        <f t="shared" si="0"/>
        <v>2134.4448514113096</v>
      </c>
      <c r="W21" s="16">
        <f t="shared" si="0"/>
        <v>2128.7292662808727</v>
      </c>
      <c r="X21" s="16">
        <f t="shared" si="0"/>
        <v>2123.0136811504362</v>
      </c>
      <c r="Y21" s="16">
        <f t="shared" si="0"/>
        <v>2117.2980960199993</v>
      </c>
    </row>
    <row r="22" spans="1:26" x14ac:dyDescent="0.25">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6" x14ac:dyDescent="0.25">
      <c r="A23" s="2" t="s">
        <v>93</v>
      </c>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6" x14ac:dyDescent="0.25">
      <c r="A24" t="s">
        <v>40</v>
      </c>
      <c r="B24" s="16">
        <f>('Pre- and Post-Retrofit Energy'!$E7*INDEX('Emissions Factors'!$E$16:$E$46,MATCH('2030 and 2050 GHG Projections'!B$14,'Emissions Factors'!$B$16:$B$46,0))+'Emissions Factors'!$E$7*'Pre- and Post-Retrofit Energy'!$E8)/1000</f>
        <v>159.70720423326929</v>
      </c>
      <c r="C24" s="16">
        <f>('Pre- and Post-Retrofit Energy'!$E7*INDEX('Emissions Factors'!$E$16:$E$46,MATCH('2030 and 2050 GHG Projections'!C$14,'Emissions Factors'!$B$16:$B$46,0))+'Emissions Factors'!$E$7*'Pre- and Post-Retrofit Energy'!$E8)/1000</f>
        <v>119.61334542993806</v>
      </c>
      <c r="D24" s="16">
        <f>('Pre- and Post-Retrofit Energy'!$E7*INDEX('Emissions Factors'!$E$16:$E$46,MATCH('2030 and 2050 GHG Projections'!D$14,'Emissions Factors'!$B$16:$B$46,0))+'Emissions Factors'!$E$7*'Pre- and Post-Retrofit Energy'!$E8)/1000</f>
        <v>86.201796427162037</v>
      </c>
      <c r="E24" s="16">
        <f>('Pre- and Post-Retrofit Energy'!$E7*INDEX('Emissions Factors'!$E$16:$E$46,MATCH('2030 and 2050 GHG Projections'!E$14,'Emissions Factors'!$B$16:$B$46,0))+'Emissions Factors'!$E$7*'Pre- and Post-Retrofit Energy'!$E8)/1000</f>
        <v>66.823098005551955</v>
      </c>
      <c r="F24" s="16">
        <f>('Pre- and Post-Retrofit Energy'!$E7*INDEX('Emissions Factors'!$E$16:$E$46,MATCH('2030 and 2050 GHG Projections'!F$14,'Emissions Factors'!$B$16:$B$46,0))+'Emissions Factors'!$E$7*'Pre- and Post-Retrofit Energy'!$E8)/1000</f>
        <v>63.481943105274354</v>
      </c>
      <c r="G24" s="16">
        <f>('Pre- and Post-Retrofit Energy'!$E7*INDEX('Emissions Factors'!$E$16:$E$46,MATCH('2030 and 2050 GHG Projections'!G$14,'Emissions Factors'!$B$16:$B$46,0))+'Emissions Factors'!$E$7*'Pre- and Post-Retrofit Energy'!$E8)/1000</f>
        <v>60.14078820499676</v>
      </c>
      <c r="H24" s="16">
        <f>('Pre- and Post-Retrofit Energy'!$E7*INDEX('Emissions Factors'!$E$16:$E$46,MATCH('2030 and 2050 GHG Projections'!H$14,'Emissions Factors'!$B$16:$B$46,0))+'Emissions Factors'!$E$7*'Pre- and Post-Retrofit Energy'!$E8)/1000</f>
        <v>56.799633304719158</v>
      </c>
      <c r="I24" s="16">
        <f>('Pre- and Post-Retrofit Energy'!$E7*INDEX('Emissions Factors'!$E$16:$E$46,MATCH('2030 and 2050 GHG Projections'!I$14,'Emissions Factors'!$B$16:$B$46,0))+'Emissions Factors'!$E$7*'Pre- and Post-Retrofit Energy'!$E8)/1000</f>
        <v>53.45847840444155</v>
      </c>
      <c r="J24" s="16">
        <f>('Pre- and Post-Retrofit Energy'!$E7*INDEX('Emissions Factors'!$E$16:$E$46,MATCH('2030 and 2050 GHG Projections'!J$14,'Emissions Factors'!$B$16:$B$46,0))+'Emissions Factors'!$E$7*'Pre- and Post-Retrofit Energy'!$E8)/1000</f>
        <v>50.117323504163949</v>
      </c>
      <c r="K24" s="16">
        <f>('Pre- and Post-Retrofit Energy'!$E7*INDEX('Emissions Factors'!$E$16:$E$46,MATCH('2030 and 2050 GHG Projections'!K$14,'Emissions Factors'!$B$16:$B$46,0))+'Emissions Factors'!$E$7*'Pre- and Post-Retrofit Energy'!$E8)/1000</f>
        <v>46.776168603886347</v>
      </c>
      <c r="L24" s="16">
        <f>('Pre- and Post-Retrofit Energy'!$E7*INDEX('Emissions Factors'!$E$16:$E$46,MATCH('2030 and 2050 GHG Projections'!L$14,'Emissions Factors'!$B$16:$B$46,0))+'Emissions Factors'!$E$7*'Pre- and Post-Retrofit Energy'!$E8)/1000</f>
        <v>43.435013703608746</v>
      </c>
      <c r="M24" s="16">
        <f>('Pre- and Post-Retrofit Energy'!$E7*INDEX('Emissions Factors'!$E$16:$E$46,MATCH('2030 and 2050 GHG Projections'!M$14,'Emissions Factors'!$B$16:$B$46,0))+'Emissions Factors'!$E$7*'Pre- and Post-Retrofit Energy'!$E8)/1000</f>
        <v>40.093858803331145</v>
      </c>
      <c r="N24" s="16">
        <f>('Pre- and Post-Retrofit Energy'!$E7*INDEX('Emissions Factors'!$E$16:$E$46,MATCH('2030 and 2050 GHG Projections'!N$14,'Emissions Factors'!$B$16:$B$46,0))+'Emissions Factors'!$E$7*'Pre- and Post-Retrofit Energy'!$E8)/1000</f>
        <v>36.752703903053543</v>
      </c>
      <c r="O24" s="16">
        <f>('Pre- and Post-Retrofit Energy'!$E7*INDEX('Emissions Factors'!$E$16:$E$46,MATCH('2030 and 2050 GHG Projections'!O$14,'Emissions Factors'!$B$16:$B$46,0))+'Emissions Factors'!$E$7*'Pre- and Post-Retrofit Energy'!$E8)/1000</f>
        <v>33.411549002775942</v>
      </c>
      <c r="P24" s="16">
        <f>('Pre- and Post-Retrofit Energy'!$E7*INDEX('Emissions Factors'!$E$16:$E$46,MATCH('2030 and 2050 GHG Projections'!P$14,'Emissions Factors'!$B$16:$B$46,0))+'Emissions Factors'!$E$7*'Pre- and Post-Retrofit Energy'!$E8)/1000</f>
        <v>30.070394102498341</v>
      </c>
      <c r="Q24" s="16">
        <f>('Pre- and Post-Retrofit Energy'!$E7*INDEX('Emissions Factors'!$E$16:$E$46,MATCH('2030 and 2050 GHG Projections'!Q$14,'Emissions Factors'!$B$16:$B$46,0))+'Emissions Factors'!$E$7*'Pre- and Post-Retrofit Energy'!$E8)/1000</f>
        <v>26.729239202220743</v>
      </c>
      <c r="R24" s="16">
        <f>('Pre- and Post-Retrofit Energy'!$E7*INDEX('Emissions Factors'!$E$16:$E$46,MATCH('2030 and 2050 GHG Projections'!R$14,'Emissions Factors'!$B$16:$B$46,0))+'Emissions Factors'!$E$7*'Pre- and Post-Retrofit Energy'!$E8)/1000</f>
        <v>23.388084301943138</v>
      </c>
      <c r="S24" s="16">
        <f>('Pre- and Post-Retrofit Energy'!$E7*INDEX('Emissions Factors'!$E$16:$E$46,MATCH('2030 and 2050 GHG Projections'!S$14,'Emissions Factors'!$B$16:$B$46,0))+'Emissions Factors'!$E$7*'Pre- and Post-Retrofit Energy'!$E8)/1000</f>
        <v>20.046929401665537</v>
      </c>
      <c r="T24" s="16">
        <f>('Pre- and Post-Retrofit Energy'!$E7*INDEX('Emissions Factors'!$E$16:$E$46,MATCH('2030 and 2050 GHG Projections'!T$14,'Emissions Factors'!$B$16:$B$46,0))+'Emissions Factors'!$E$7*'Pre- and Post-Retrofit Energy'!$E8)/1000</f>
        <v>16.705774501387936</v>
      </c>
      <c r="U24" s="16">
        <f>('Pre- and Post-Retrofit Energy'!$E7*INDEX('Emissions Factors'!$E$16:$E$46,MATCH('2030 and 2050 GHG Projections'!U$14,'Emissions Factors'!$B$16:$B$46,0))+'Emissions Factors'!$E$7*'Pre- and Post-Retrofit Energy'!$E8)/1000</f>
        <v>13.364619601110331</v>
      </c>
      <c r="V24" s="16">
        <f>('Pre- and Post-Retrofit Energy'!$E7*INDEX('Emissions Factors'!$E$16:$E$46,MATCH('2030 and 2050 GHG Projections'!V$14,'Emissions Factors'!$B$16:$B$46,0))+'Emissions Factors'!$E$7*'Pre- and Post-Retrofit Energy'!$E8)/1000</f>
        <v>10.023464700832731</v>
      </c>
      <c r="W24" s="16">
        <f>('Pre- and Post-Retrofit Energy'!$E7*INDEX('Emissions Factors'!$E$16:$E$46,MATCH('2030 and 2050 GHG Projections'!W$14,'Emissions Factors'!$B$16:$B$46,0))+'Emissions Factors'!$E$7*'Pre- and Post-Retrofit Energy'!$E8)/1000</f>
        <v>6.6823098005551289</v>
      </c>
      <c r="X24" s="16">
        <f>('Pre- and Post-Retrofit Energy'!$E7*INDEX('Emissions Factors'!$E$16:$E$46,MATCH('2030 and 2050 GHG Projections'!X$14,'Emissions Factors'!$B$16:$B$46,0))+'Emissions Factors'!$E$7*'Pre- and Post-Retrofit Energy'!$E8)/1000</f>
        <v>3.3411549002775272</v>
      </c>
      <c r="Y24" s="16">
        <f>('Pre- and Post-Retrofit Energy'!$E7*INDEX('Emissions Factors'!$E$16:$E$46,MATCH('2030 and 2050 GHG Projections'!Y$14,'Emissions Factors'!$B$16:$B$46,0))+'Emissions Factors'!$E$7*'Pre- and Post-Retrofit Energy'!$E8)/1000</f>
        <v>0</v>
      </c>
    </row>
    <row r="25" spans="1:26" x14ac:dyDescent="0.25">
      <c r="A25" t="s">
        <v>41</v>
      </c>
      <c r="B25" s="16">
        <f>('Pre- and Post-Retrofit Energy'!$E9*INDEX('Emissions Factors'!$E$16:$E$46,MATCH('2030 and 2050 GHG Projections'!B$14,'Emissions Factors'!$B$16:$B$46,0))+'Emissions Factors'!$E$7*'Pre- and Post-Retrofit Energy'!$E10)/1000</f>
        <v>54.473775087316653</v>
      </c>
      <c r="C25" s="16">
        <f>('Pre- and Post-Retrofit Energy'!$E9*INDEX('Emissions Factors'!$E$16:$E$46,MATCH('2030 and 2050 GHG Projections'!C$14,'Emissions Factors'!$B$16:$B$46,0))+'Emissions Factors'!$E$7*'Pre- and Post-Retrofit Energy'!$E10)/1000</f>
        <v>40.798350379203676</v>
      </c>
      <c r="D25" s="16">
        <f>('Pre- and Post-Retrofit Energy'!$E9*INDEX('Emissions Factors'!$E$16:$E$46,MATCH('2030 and 2050 GHG Projections'!D$14,'Emissions Factors'!$B$16:$B$46,0))+'Emissions Factors'!$E$7*'Pre- and Post-Retrofit Energy'!$E10)/1000</f>
        <v>29.402163122442868</v>
      </c>
      <c r="E25" s="16">
        <f>('Pre- and Post-Retrofit Energy'!$E9*INDEX('Emissions Factors'!$E$16:$E$46,MATCH('2030 and 2050 GHG Projections'!E$14,'Emissions Factors'!$B$16:$B$46,0))+'Emissions Factors'!$E$7*'Pre- and Post-Retrofit Energy'!$E10)/1000</f>
        <v>22.792374513521594</v>
      </c>
      <c r="F25" s="16">
        <f>('Pre- and Post-Retrofit Energy'!$E9*INDEX('Emissions Factors'!$E$16:$E$46,MATCH('2030 and 2050 GHG Projections'!F$14,'Emissions Factors'!$B$16:$B$46,0))+'Emissions Factors'!$E$7*'Pre- and Post-Retrofit Energy'!$E10)/1000</f>
        <v>21.652755787845514</v>
      </c>
      <c r="G25" s="16">
        <f>('Pre- and Post-Retrofit Energy'!$E9*INDEX('Emissions Factors'!$E$16:$E$46,MATCH('2030 and 2050 GHG Projections'!G$14,'Emissions Factors'!$B$16:$B$46,0))+'Emissions Factors'!$E$7*'Pre- and Post-Retrofit Energy'!$E10)/1000</f>
        <v>20.513137062169438</v>
      </c>
      <c r="H25" s="16">
        <f>('Pre- and Post-Retrofit Energy'!$E9*INDEX('Emissions Factors'!$E$16:$E$46,MATCH('2030 and 2050 GHG Projections'!H$14,'Emissions Factors'!$B$16:$B$46,0))+'Emissions Factors'!$E$7*'Pre- and Post-Retrofit Energy'!$E10)/1000</f>
        <v>19.373518336493355</v>
      </c>
      <c r="I25" s="16">
        <f>('Pre- and Post-Retrofit Energy'!$E9*INDEX('Emissions Factors'!$E$16:$E$46,MATCH('2030 and 2050 GHG Projections'!I$14,'Emissions Factors'!$B$16:$B$46,0))+'Emissions Factors'!$E$7*'Pre- and Post-Retrofit Energy'!$E10)/1000</f>
        <v>18.233899610817272</v>
      </c>
      <c r="J25" s="16">
        <f>('Pre- and Post-Retrofit Energy'!$E9*INDEX('Emissions Factors'!$E$16:$E$46,MATCH('2030 and 2050 GHG Projections'!J$14,'Emissions Factors'!$B$16:$B$46,0))+'Emissions Factors'!$E$7*'Pre- and Post-Retrofit Energy'!$E10)/1000</f>
        <v>17.094280885141195</v>
      </c>
      <c r="K25" s="16">
        <f>('Pre- and Post-Retrofit Energy'!$E9*INDEX('Emissions Factors'!$E$16:$E$46,MATCH('2030 and 2050 GHG Projections'!K$14,'Emissions Factors'!$B$16:$B$46,0))+'Emissions Factors'!$E$7*'Pre- and Post-Retrofit Energy'!$E10)/1000</f>
        <v>15.95466215946511</v>
      </c>
      <c r="L25" s="16">
        <f>('Pre- and Post-Retrofit Energy'!$E9*INDEX('Emissions Factors'!$E$16:$E$46,MATCH('2030 and 2050 GHG Projections'!L$14,'Emissions Factors'!$B$16:$B$46,0))+'Emissions Factors'!$E$7*'Pre- and Post-Retrofit Energy'!$E10)/1000</f>
        <v>14.815043433789031</v>
      </c>
      <c r="M25" s="16">
        <f>('Pre- and Post-Retrofit Energy'!$E9*INDEX('Emissions Factors'!$E$16:$E$46,MATCH('2030 and 2050 GHG Projections'!M$14,'Emissions Factors'!$B$16:$B$46,0))+'Emissions Factors'!$E$7*'Pre- and Post-Retrofit Energy'!$E10)/1000</f>
        <v>13.675424708112949</v>
      </c>
      <c r="N25" s="16">
        <f>('Pre- and Post-Retrofit Energy'!$E9*INDEX('Emissions Factors'!$E$16:$E$46,MATCH('2030 and 2050 GHG Projections'!N$14,'Emissions Factors'!$B$16:$B$46,0))+'Emissions Factors'!$E$7*'Pre- and Post-Retrofit Energy'!$E10)/1000</f>
        <v>12.535805982436868</v>
      </c>
      <c r="O25" s="16">
        <f>('Pre- and Post-Retrofit Energy'!$E9*INDEX('Emissions Factors'!$E$16:$E$46,MATCH('2030 and 2050 GHG Projections'!O$14,'Emissions Factors'!$B$16:$B$46,0))+'Emissions Factors'!$E$7*'Pre- and Post-Retrofit Energy'!$E10)/1000</f>
        <v>11.396187256760786</v>
      </c>
      <c r="P25" s="16">
        <f>('Pre- and Post-Retrofit Energy'!$E9*INDEX('Emissions Factors'!$E$16:$E$46,MATCH('2030 and 2050 GHG Projections'!P$14,'Emissions Factors'!$B$16:$B$46,0))+'Emissions Factors'!$E$7*'Pre- and Post-Retrofit Energy'!$E10)/1000</f>
        <v>10.256568531084703</v>
      </c>
      <c r="Q25" s="16">
        <f>('Pre- and Post-Retrofit Energy'!$E9*INDEX('Emissions Factors'!$E$16:$E$46,MATCH('2030 and 2050 GHG Projections'!Q$14,'Emissions Factors'!$B$16:$B$46,0))+'Emissions Factors'!$E$7*'Pre- and Post-Retrofit Energy'!$E10)/1000</f>
        <v>9.1169498054086251</v>
      </c>
      <c r="R25" s="16">
        <f>('Pre- and Post-Retrofit Energy'!$E9*INDEX('Emissions Factors'!$E$16:$E$46,MATCH('2030 and 2050 GHG Projections'!R$14,'Emissions Factors'!$B$16:$B$46,0))+'Emissions Factors'!$E$7*'Pre- and Post-Retrofit Energy'!$E10)/1000</f>
        <v>7.9773310797325427</v>
      </c>
      <c r="S25" s="16">
        <f>('Pre- and Post-Retrofit Energy'!$E9*INDEX('Emissions Factors'!$E$16:$E$46,MATCH('2030 and 2050 GHG Projections'!S$14,'Emissions Factors'!$B$16:$B$46,0))+'Emissions Factors'!$E$7*'Pre- and Post-Retrofit Energy'!$E10)/1000</f>
        <v>6.8377123540564613</v>
      </c>
      <c r="T25" s="16">
        <f>('Pre- and Post-Retrofit Energy'!$E9*INDEX('Emissions Factors'!$E$16:$E$46,MATCH('2030 and 2050 GHG Projections'!T$14,'Emissions Factors'!$B$16:$B$46,0))+'Emissions Factors'!$E$7*'Pre- and Post-Retrofit Energy'!$E10)/1000</f>
        <v>5.6980936283803807</v>
      </c>
      <c r="U25" s="16">
        <f>('Pre- and Post-Retrofit Energy'!$E9*INDEX('Emissions Factors'!$E$16:$E$46,MATCH('2030 and 2050 GHG Projections'!U$14,'Emissions Factors'!$B$16:$B$46,0))+'Emissions Factors'!$E$7*'Pre- and Post-Retrofit Energy'!$E10)/1000</f>
        <v>4.5584749027042992</v>
      </c>
      <c r="V25" s="16">
        <f>('Pre- and Post-Retrofit Energy'!$E9*INDEX('Emissions Factors'!$E$16:$E$46,MATCH('2030 and 2050 GHG Projections'!V$14,'Emissions Factors'!$B$16:$B$46,0))+'Emissions Factors'!$E$7*'Pre- and Post-Retrofit Energy'!$E10)/1000</f>
        <v>3.4188561770282186</v>
      </c>
      <c r="W25" s="16">
        <f>('Pre- and Post-Retrofit Energy'!$E9*INDEX('Emissions Factors'!$E$16:$E$46,MATCH('2030 and 2050 GHG Projections'!W$14,'Emissions Factors'!$B$16:$B$46,0))+'Emissions Factors'!$E$7*'Pre- and Post-Retrofit Energy'!$E10)/1000</f>
        <v>2.2792374513521367</v>
      </c>
      <c r="X25" s="16">
        <f>('Pre- and Post-Retrofit Energy'!$E9*INDEX('Emissions Factors'!$E$16:$E$46,MATCH('2030 and 2050 GHG Projections'!X$14,'Emissions Factors'!$B$16:$B$46,0))+'Emissions Factors'!$E$7*'Pre- and Post-Retrofit Energy'!$E10)/1000</f>
        <v>1.1396187256760557</v>
      </c>
      <c r="Y25" s="16">
        <f>('Pre- and Post-Retrofit Energy'!$E9*INDEX('Emissions Factors'!$E$16:$E$46,MATCH('2030 and 2050 GHG Projections'!Y$14,'Emissions Factors'!$B$16:$B$46,0))+'Emissions Factors'!$E$7*'Pre- and Post-Retrofit Energy'!$E10)/1000</f>
        <v>0</v>
      </c>
    </row>
    <row r="26" spans="1:26" x14ac:dyDescent="0.25">
      <c r="A26" t="s">
        <v>42</v>
      </c>
      <c r="B26" s="16">
        <f>('Pre- and Post-Retrofit Energy'!$E11*INDEX('Emissions Factors'!$E$16:$E$46,MATCH('2030 and 2050 GHG Projections'!B$14,'Emissions Factors'!$B$16:$B$46,0))+'Emissions Factors'!$E$7*'Pre- and Post-Retrofit Energy'!$E12)/1000</f>
        <v>89.138904688336353</v>
      </c>
      <c r="C26" s="16">
        <f>('Pre- and Post-Retrofit Energy'!$E11*INDEX('Emissions Factors'!$E$16:$E$46,MATCH('2030 and 2050 GHG Projections'!C$14,'Emissions Factors'!$B$16:$B$46,0))+'Emissions Factors'!$E$7*'Pre- and Post-Retrofit Energy'!$E12)/1000</f>
        <v>66.760936984151471</v>
      </c>
      <c r="D26" s="16">
        <f>('Pre- and Post-Retrofit Energy'!$E11*INDEX('Emissions Factors'!$E$16:$E$46,MATCH('2030 and 2050 GHG Projections'!D$14,'Emissions Factors'!$B$16:$B$46,0))+'Emissions Factors'!$E$7*'Pre- and Post-Retrofit Energy'!$E12)/1000</f>
        <v>48.112630563997413</v>
      </c>
      <c r="E26" s="16">
        <f>('Pre- and Post-Retrofit Energy'!$E11*INDEX('Emissions Factors'!$E$16:$E$46,MATCH('2030 and 2050 GHG Projections'!E$14,'Emissions Factors'!$B$16:$B$46,0))+'Emissions Factors'!$E$7*'Pre- and Post-Retrofit Energy'!$E12)/1000</f>
        <v>37.296612840308065</v>
      </c>
      <c r="F26" s="16">
        <f>('Pre- and Post-Retrofit Energy'!$E11*INDEX('Emissions Factors'!$E$16:$E$46,MATCH('2030 and 2050 GHG Projections'!F$14,'Emissions Factors'!$B$16:$B$46,0))+'Emissions Factors'!$E$7*'Pre- and Post-Retrofit Energy'!$E12)/1000</f>
        <v>35.431782198292659</v>
      </c>
      <c r="G26" s="16">
        <f>('Pre- and Post-Retrofit Energy'!$E11*INDEX('Emissions Factors'!$E$16:$E$46,MATCH('2030 and 2050 GHG Projections'!G$14,'Emissions Factors'!$B$16:$B$46,0))+'Emissions Factors'!$E$7*'Pre- and Post-Retrofit Energy'!$E12)/1000</f>
        <v>33.56695155627726</v>
      </c>
      <c r="H26" s="16">
        <f>('Pre- and Post-Retrofit Energy'!$E11*INDEX('Emissions Factors'!$E$16:$E$46,MATCH('2030 and 2050 GHG Projections'!H$14,'Emissions Factors'!$B$16:$B$46,0))+'Emissions Factors'!$E$7*'Pre- and Post-Retrofit Energy'!$E12)/1000</f>
        <v>31.702120914261855</v>
      </c>
      <c r="I26" s="16">
        <f>('Pre- and Post-Retrofit Energy'!$E11*INDEX('Emissions Factors'!$E$16:$E$46,MATCH('2030 and 2050 GHG Projections'!I$14,'Emissions Factors'!$B$16:$B$46,0))+'Emissions Factors'!$E$7*'Pre- and Post-Retrofit Energy'!$E12)/1000</f>
        <v>29.837290272246445</v>
      </c>
      <c r="J26" s="16">
        <f>('Pre- and Post-Retrofit Energy'!$E11*INDEX('Emissions Factors'!$E$16:$E$46,MATCH('2030 and 2050 GHG Projections'!J$14,'Emissions Factors'!$B$16:$B$46,0))+'Emissions Factors'!$E$7*'Pre- and Post-Retrofit Energy'!$E12)/1000</f>
        <v>27.972459630231043</v>
      </c>
      <c r="K26" s="16">
        <f>('Pre- and Post-Retrofit Energy'!$E11*INDEX('Emissions Factors'!$E$16:$E$46,MATCH('2030 and 2050 GHG Projections'!K$14,'Emissions Factors'!$B$16:$B$46,0))+'Emissions Factors'!$E$7*'Pre- and Post-Retrofit Energy'!$E12)/1000</f>
        <v>26.107628988215634</v>
      </c>
      <c r="L26" s="16">
        <f>('Pre- and Post-Retrofit Energy'!$E11*INDEX('Emissions Factors'!$E$16:$E$46,MATCH('2030 and 2050 GHG Projections'!L$14,'Emissions Factors'!$B$16:$B$46,0))+'Emissions Factors'!$E$7*'Pre- and Post-Retrofit Energy'!$E12)/1000</f>
        <v>24.242798346200232</v>
      </c>
      <c r="M26" s="16">
        <f>('Pre- and Post-Retrofit Energy'!$E11*INDEX('Emissions Factors'!$E$16:$E$46,MATCH('2030 and 2050 GHG Projections'!M$14,'Emissions Factors'!$B$16:$B$46,0))+'Emissions Factors'!$E$7*'Pre- and Post-Retrofit Energy'!$E12)/1000</f>
        <v>22.377967704184822</v>
      </c>
      <c r="N26" s="16">
        <f>('Pre- and Post-Retrofit Energy'!$E11*INDEX('Emissions Factors'!$E$16:$E$46,MATCH('2030 and 2050 GHG Projections'!N$14,'Emissions Factors'!$B$16:$B$46,0))+'Emissions Factors'!$E$7*'Pre- and Post-Retrofit Energy'!$E12)/1000</f>
        <v>20.51313706216942</v>
      </c>
      <c r="O26" s="16">
        <f>('Pre- and Post-Retrofit Energy'!$E11*INDEX('Emissions Factors'!$E$16:$E$46,MATCH('2030 and 2050 GHG Projections'!O$14,'Emissions Factors'!$B$16:$B$46,0))+'Emissions Factors'!$E$7*'Pre- and Post-Retrofit Energy'!$E12)/1000</f>
        <v>18.648306420154015</v>
      </c>
      <c r="P26" s="16">
        <f>('Pre- and Post-Retrofit Energy'!$E11*INDEX('Emissions Factors'!$E$16:$E$46,MATCH('2030 and 2050 GHG Projections'!P$14,'Emissions Factors'!$B$16:$B$46,0))+'Emissions Factors'!$E$7*'Pre- and Post-Retrofit Energy'!$E12)/1000</f>
        <v>16.783475778138605</v>
      </c>
      <c r="Q26" s="16">
        <f>('Pre- and Post-Retrofit Energy'!$E11*INDEX('Emissions Factors'!$E$16:$E$46,MATCH('2030 and 2050 GHG Projections'!Q$14,'Emissions Factors'!$B$16:$B$46,0))+'Emissions Factors'!$E$7*'Pre- and Post-Retrofit Energy'!$E12)/1000</f>
        <v>14.918645136123203</v>
      </c>
      <c r="R26" s="16">
        <f>('Pre- and Post-Retrofit Energy'!$E11*INDEX('Emissions Factors'!$E$16:$E$46,MATCH('2030 and 2050 GHG Projections'!R$14,'Emissions Factors'!$B$16:$B$46,0))+'Emissions Factors'!$E$7*'Pre- and Post-Retrofit Energy'!$E12)/1000</f>
        <v>13.053814494107797</v>
      </c>
      <c r="S26" s="16">
        <f>('Pre- and Post-Retrofit Energy'!$E11*INDEX('Emissions Factors'!$E$16:$E$46,MATCH('2030 and 2050 GHG Projections'!S$14,'Emissions Factors'!$B$16:$B$46,0))+'Emissions Factors'!$E$7*'Pre- and Post-Retrofit Energy'!$E12)/1000</f>
        <v>11.188983852092392</v>
      </c>
      <c r="T26" s="16">
        <f>('Pre- and Post-Retrofit Energy'!$E11*INDEX('Emissions Factors'!$E$16:$E$46,MATCH('2030 and 2050 GHG Projections'!T$14,'Emissions Factors'!$B$16:$B$46,0))+'Emissions Factors'!$E$7*'Pre- and Post-Retrofit Energy'!$E12)/1000</f>
        <v>9.3241532100769859</v>
      </c>
      <c r="U26" s="16">
        <f>('Pre- and Post-Retrofit Energy'!$E11*INDEX('Emissions Factors'!$E$16:$E$46,MATCH('2030 and 2050 GHG Projections'!U$14,'Emissions Factors'!$B$16:$B$46,0))+'Emissions Factors'!$E$7*'Pre- and Post-Retrofit Energy'!$E12)/1000</f>
        <v>7.4593225680615793</v>
      </c>
      <c r="V26" s="16">
        <f>('Pre- and Post-Retrofit Energy'!$E11*INDEX('Emissions Factors'!$E$16:$E$46,MATCH('2030 and 2050 GHG Projections'!V$14,'Emissions Factors'!$B$16:$B$46,0))+'Emissions Factors'!$E$7*'Pre- and Post-Retrofit Energy'!$E12)/1000</f>
        <v>5.5944919260461754</v>
      </c>
      <c r="W26" s="16">
        <f>('Pre- and Post-Retrofit Energy'!$E11*INDEX('Emissions Factors'!$E$16:$E$46,MATCH('2030 and 2050 GHG Projections'!W$14,'Emissions Factors'!$B$16:$B$46,0))+'Emissions Factors'!$E$7*'Pre- and Post-Retrofit Energy'!$E12)/1000</f>
        <v>3.7296612840307692</v>
      </c>
      <c r="X26" s="16">
        <f>('Pre- and Post-Retrofit Energy'!$E11*INDEX('Emissions Factors'!$E$16:$E$46,MATCH('2030 and 2050 GHG Projections'!X$14,'Emissions Factors'!$B$16:$B$46,0))+'Emissions Factors'!$E$7*'Pre- and Post-Retrofit Energy'!$E12)/1000</f>
        <v>1.864830642015364</v>
      </c>
      <c r="Y26" s="16">
        <f>('Pre- and Post-Retrofit Energy'!$E11*INDEX('Emissions Factors'!$E$16:$E$46,MATCH('2030 and 2050 GHG Projections'!Y$14,'Emissions Factors'!$B$16:$B$46,0))+'Emissions Factors'!$E$7*'Pre- and Post-Retrofit Energy'!$E12)/1000</f>
        <v>0</v>
      </c>
    </row>
    <row r="27" spans="1:26" x14ac:dyDescent="0.25">
      <c r="A27" t="s">
        <v>43</v>
      </c>
      <c r="B27" s="16">
        <f>('Pre- and Post-Retrofit Energy'!$E13*INDEX('Emissions Factors'!$E$16:$E$46,MATCH('2030 and 2050 GHG Projections'!B$14,'Emissions Factors'!$B$16:$B$46,0))+'Emissions Factors'!$E$7*'Pre- and Post-Retrofit Energy'!$E14)/1000</f>
        <v>118.85187291778179</v>
      </c>
      <c r="C27" s="16">
        <f>('Pre- and Post-Retrofit Energy'!$E13*INDEX('Emissions Factors'!$E$16:$E$46,MATCH('2030 and 2050 GHG Projections'!C$14,'Emissions Factors'!$B$16:$B$46,0))+'Emissions Factors'!$E$7*'Pre- and Post-Retrofit Energy'!$E14)/1000</f>
        <v>89.014582645535299</v>
      </c>
      <c r="D27" s="16">
        <f>('Pre- and Post-Retrofit Energy'!$E13*INDEX('Emissions Factors'!$E$16:$E$46,MATCH('2030 and 2050 GHG Projections'!D$14,'Emissions Factors'!$B$16:$B$46,0))+'Emissions Factors'!$E$7*'Pre- and Post-Retrofit Energy'!$E14)/1000</f>
        <v>64.150174085329894</v>
      </c>
      <c r="E27" s="16">
        <f>('Pre- and Post-Retrofit Energy'!$E13*INDEX('Emissions Factors'!$E$16:$E$46,MATCH('2030 and 2050 GHG Projections'!E$14,'Emissions Factors'!$B$16:$B$46,0))+'Emissions Factors'!$E$7*'Pre- and Post-Retrofit Energy'!$E14)/1000</f>
        <v>49.728817120410753</v>
      </c>
      <c r="F27" s="16">
        <f>('Pre- and Post-Retrofit Energy'!$E13*INDEX('Emissions Factors'!$E$16:$E$46,MATCH('2030 and 2050 GHG Projections'!F$14,'Emissions Factors'!$B$16:$B$46,0))+'Emissions Factors'!$E$7*'Pre- and Post-Retrofit Energy'!$E14)/1000</f>
        <v>47.242376264390217</v>
      </c>
      <c r="G27" s="16">
        <f>('Pre- and Post-Retrofit Energy'!$E13*INDEX('Emissions Factors'!$E$16:$E$46,MATCH('2030 and 2050 GHG Projections'!G$14,'Emissions Factors'!$B$16:$B$46,0))+'Emissions Factors'!$E$7*'Pre- and Post-Retrofit Energy'!$E14)/1000</f>
        <v>44.755935408369673</v>
      </c>
      <c r="H27" s="16">
        <f>('Pre- and Post-Retrofit Energy'!$E13*INDEX('Emissions Factors'!$E$16:$E$46,MATCH('2030 and 2050 GHG Projections'!H$14,'Emissions Factors'!$B$16:$B$46,0))+'Emissions Factors'!$E$7*'Pre- and Post-Retrofit Energy'!$E14)/1000</f>
        <v>42.26949455234913</v>
      </c>
      <c r="I27" s="16">
        <f>('Pre- and Post-Retrofit Energy'!$E13*INDEX('Emissions Factors'!$E$16:$E$46,MATCH('2030 and 2050 GHG Projections'!I$14,'Emissions Factors'!$B$16:$B$46,0))+'Emissions Factors'!$E$7*'Pre- and Post-Retrofit Energy'!$E14)/1000</f>
        <v>39.783053696328594</v>
      </c>
      <c r="J27" s="16">
        <f>('Pre- and Post-Retrofit Energy'!$E13*INDEX('Emissions Factors'!$E$16:$E$46,MATCH('2030 and 2050 GHG Projections'!J$14,'Emissions Factors'!$B$16:$B$46,0))+'Emissions Factors'!$E$7*'Pre- and Post-Retrofit Energy'!$E14)/1000</f>
        <v>37.29661284030805</v>
      </c>
      <c r="K27" s="16">
        <f>('Pre- and Post-Retrofit Energy'!$E13*INDEX('Emissions Factors'!$E$16:$E$46,MATCH('2030 and 2050 GHG Projections'!K$14,'Emissions Factors'!$B$16:$B$46,0))+'Emissions Factors'!$E$7*'Pre- and Post-Retrofit Energy'!$E14)/1000</f>
        <v>34.810171984287507</v>
      </c>
      <c r="L27" s="16">
        <f>('Pre- and Post-Retrofit Energy'!$E13*INDEX('Emissions Factors'!$E$16:$E$46,MATCH('2030 and 2050 GHG Projections'!L$14,'Emissions Factors'!$B$16:$B$46,0))+'Emissions Factors'!$E$7*'Pre- and Post-Retrofit Energy'!$E14)/1000</f>
        <v>32.323731128266971</v>
      </c>
      <c r="M27" s="16">
        <f>('Pre- and Post-Retrofit Energy'!$E13*INDEX('Emissions Factors'!$E$16:$E$46,MATCH('2030 and 2050 GHG Projections'!M$14,'Emissions Factors'!$B$16:$B$46,0))+'Emissions Factors'!$E$7*'Pre- and Post-Retrofit Energy'!$E14)/1000</f>
        <v>29.837290272246431</v>
      </c>
      <c r="N27" s="16">
        <f>('Pre- and Post-Retrofit Energy'!$E13*INDEX('Emissions Factors'!$E$16:$E$46,MATCH('2030 and 2050 GHG Projections'!N$14,'Emissions Factors'!$B$16:$B$46,0))+'Emissions Factors'!$E$7*'Pre- and Post-Retrofit Energy'!$E14)/1000</f>
        <v>27.350849416225891</v>
      </c>
      <c r="O27" s="16">
        <f>('Pre- and Post-Retrofit Energy'!$E13*INDEX('Emissions Factors'!$E$16:$E$46,MATCH('2030 and 2050 GHG Projections'!O$14,'Emissions Factors'!$B$16:$B$46,0))+'Emissions Factors'!$E$7*'Pre- and Post-Retrofit Energy'!$E14)/1000</f>
        <v>24.864408560205348</v>
      </c>
      <c r="P27" s="16">
        <f>('Pre- and Post-Retrofit Energy'!$E13*INDEX('Emissions Factors'!$E$16:$E$46,MATCH('2030 and 2050 GHG Projections'!P$14,'Emissions Factors'!$B$16:$B$46,0))+'Emissions Factors'!$E$7*'Pre- and Post-Retrofit Energy'!$E14)/1000</f>
        <v>22.377967704184808</v>
      </c>
      <c r="Q27" s="16">
        <f>('Pre- and Post-Retrofit Energy'!$E13*INDEX('Emissions Factors'!$E$16:$E$46,MATCH('2030 and 2050 GHG Projections'!Q$14,'Emissions Factors'!$B$16:$B$46,0))+'Emissions Factors'!$E$7*'Pre- and Post-Retrofit Energy'!$E14)/1000</f>
        <v>19.891526848164272</v>
      </c>
      <c r="R27" s="16">
        <f>('Pre- and Post-Retrofit Energy'!$E13*INDEX('Emissions Factors'!$E$16:$E$46,MATCH('2030 and 2050 GHG Projections'!R$14,'Emissions Factors'!$B$16:$B$46,0))+'Emissions Factors'!$E$7*'Pre- and Post-Retrofit Energy'!$E14)/1000</f>
        <v>17.405085992143729</v>
      </c>
      <c r="S27" s="16">
        <f>('Pre- and Post-Retrofit Energy'!$E13*INDEX('Emissions Factors'!$E$16:$E$46,MATCH('2030 and 2050 GHG Projections'!S$14,'Emissions Factors'!$B$16:$B$46,0))+'Emissions Factors'!$E$7*'Pre- and Post-Retrofit Energy'!$E14)/1000</f>
        <v>14.918645136123189</v>
      </c>
      <c r="T27" s="16">
        <f>('Pre- and Post-Retrofit Energy'!$E13*INDEX('Emissions Factors'!$E$16:$E$46,MATCH('2030 and 2050 GHG Projections'!T$14,'Emissions Factors'!$B$16:$B$46,0))+'Emissions Factors'!$E$7*'Pre- and Post-Retrofit Energy'!$E14)/1000</f>
        <v>12.432204280102647</v>
      </c>
      <c r="U27" s="16">
        <f>('Pre- and Post-Retrofit Energy'!$E13*INDEX('Emissions Factors'!$E$16:$E$46,MATCH('2030 and 2050 GHG Projections'!U$14,'Emissions Factors'!$B$16:$B$46,0))+'Emissions Factors'!$E$7*'Pre- and Post-Retrofit Energy'!$E14)/1000</f>
        <v>9.9457634240821058</v>
      </c>
      <c r="V27" s="16">
        <f>('Pre- and Post-Retrofit Energy'!$E13*INDEX('Emissions Factors'!$E$16:$E$46,MATCH('2030 and 2050 GHG Projections'!V$14,'Emissions Factors'!$B$16:$B$46,0))+'Emissions Factors'!$E$7*'Pre- and Post-Retrofit Energy'!$E14)/1000</f>
        <v>7.4593225680615669</v>
      </c>
      <c r="W27" s="16">
        <f>('Pre- and Post-Retrofit Energy'!$E13*INDEX('Emissions Factors'!$E$16:$E$46,MATCH('2030 and 2050 GHG Projections'!W$14,'Emissions Factors'!$B$16:$B$46,0))+'Emissions Factors'!$E$7*'Pre- and Post-Retrofit Energy'!$E14)/1000</f>
        <v>4.9728817120410262</v>
      </c>
      <c r="X27" s="16">
        <f>('Pre- and Post-Retrofit Energy'!$E13*INDEX('Emissions Factors'!$E$16:$E$46,MATCH('2030 and 2050 GHG Projections'!X$14,'Emissions Factors'!$B$16:$B$46,0))+'Emissions Factors'!$E$7*'Pre- and Post-Retrofit Energy'!$E14)/1000</f>
        <v>2.4864408560204851</v>
      </c>
      <c r="Y27" s="16">
        <f>('Pre- and Post-Retrofit Energy'!$E13*INDEX('Emissions Factors'!$E$16:$E$46,MATCH('2030 and 2050 GHG Projections'!Y$14,'Emissions Factors'!$B$16:$B$46,0))+'Emissions Factors'!$E$7*'Pre- and Post-Retrofit Energy'!$E14)/1000</f>
        <v>0</v>
      </c>
    </row>
    <row r="28" spans="1:26" x14ac:dyDescent="0.25">
      <c r="A28" t="s">
        <v>44</v>
      </c>
      <c r="B28" s="16">
        <f>('Emissions Factors'!$E$7*'Pre- and Post-Retrofit Energy'!$E16)/1000</f>
        <v>0</v>
      </c>
      <c r="C28" s="16">
        <f>('Emissions Factors'!$E$7*'Pre- and Post-Retrofit Energy'!$E16)/1000</f>
        <v>0</v>
      </c>
      <c r="D28" s="16">
        <f>('Emissions Factors'!$E$7*'Pre- and Post-Retrofit Energy'!$E16)/1000</f>
        <v>0</v>
      </c>
      <c r="E28" s="16">
        <f>('Emissions Factors'!$E$7*'Pre- and Post-Retrofit Energy'!$E16)/1000</f>
        <v>0</v>
      </c>
      <c r="F28" s="16">
        <f>('Emissions Factors'!$E$7*'Pre- and Post-Retrofit Energy'!$E16)/1000</f>
        <v>0</v>
      </c>
      <c r="G28" s="16">
        <f>('Emissions Factors'!$E$7*'Pre- and Post-Retrofit Energy'!$E16)/1000</f>
        <v>0</v>
      </c>
      <c r="H28" s="16">
        <f>('Emissions Factors'!$E$7*'Pre- and Post-Retrofit Energy'!$E16)/1000</f>
        <v>0</v>
      </c>
      <c r="I28" s="16">
        <f>('Emissions Factors'!$E$7*'Pre- and Post-Retrofit Energy'!$E16)/1000</f>
        <v>0</v>
      </c>
      <c r="J28" s="16">
        <f>('Emissions Factors'!$E$7*'Pre- and Post-Retrofit Energy'!$E16)/1000</f>
        <v>0</v>
      </c>
      <c r="K28" s="16">
        <f>('Emissions Factors'!$E$7*'Pre- and Post-Retrofit Energy'!$E16)/1000</f>
        <v>0</v>
      </c>
      <c r="L28" s="16">
        <f>('Emissions Factors'!$E$7*'Pre- and Post-Retrofit Energy'!$E16)/1000</f>
        <v>0</v>
      </c>
      <c r="M28" s="16">
        <f>('Emissions Factors'!$E$7*'Pre- and Post-Retrofit Energy'!$E16)/1000</f>
        <v>0</v>
      </c>
      <c r="N28" s="16">
        <f>('Emissions Factors'!$E$7*'Pre- and Post-Retrofit Energy'!$E16)/1000</f>
        <v>0</v>
      </c>
      <c r="O28" s="16">
        <f>('Emissions Factors'!$E$7*'Pre- and Post-Retrofit Energy'!$E16)/1000</f>
        <v>0</v>
      </c>
      <c r="P28" s="16">
        <f>('Emissions Factors'!$E$7*'Pre- and Post-Retrofit Energy'!$E16)/1000</f>
        <v>0</v>
      </c>
      <c r="Q28" s="16">
        <f>('Emissions Factors'!$E$7*'Pre- and Post-Retrofit Energy'!$E16)/1000</f>
        <v>0</v>
      </c>
      <c r="R28" s="16">
        <f>('Emissions Factors'!$E$7*'Pre- and Post-Retrofit Energy'!$E16)/1000</f>
        <v>0</v>
      </c>
      <c r="S28" s="16">
        <f>('Emissions Factors'!$E$7*'Pre- and Post-Retrofit Energy'!$E16)/1000</f>
        <v>0</v>
      </c>
      <c r="T28" s="16">
        <f>('Emissions Factors'!$E$7*'Pre- and Post-Retrofit Energy'!$E16)/1000</f>
        <v>0</v>
      </c>
      <c r="U28" s="16">
        <f>('Emissions Factors'!$E$7*'Pre- and Post-Retrofit Energy'!$E16)/1000</f>
        <v>0</v>
      </c>
      <c r="V28" s="16">
        <f>('Emissions Factors'!$E$7*'Pre- and Post-Retrofit Energy'!$E16)/1000</f>
        <v>0</v>
      </c>
      <c r="W28" s="16">
        <f>('Emissions Factors'!$E$7*'Pre- and Post-Retrofit Energy'!$E16)/1000</f>
        <v>0</v>
      </c>
      <c r="X28" s="16">
        <f>('Emissions Factors'!$E$7*'Pre- and Post-Retrofit Energy'!$E16)/1000</f>
        <v>0</v>
      </c>
      <c r="Y28" s="16">
        <f>('Emissions Factors'!$E$7*'Pre- and Post-Retrofit Energy'!$E16)/1000</f>
        <v>0</v>
      </c>
    </row>
    <row r="29" spans="1:26" x14ac:dyDescent="0.25">
      <c r="A29" t="s">
        <v>18</v>
      </c>
      <c r="B29" s="16">
        <f>SUM(B24:B28)</f>
        <v>422.17175692670412</v>
      </c>
      <c r="C29" s="16">
        <f t="shared" ref="C29:Y29" si="1">SUM(C24:C28)</f>
        <v>316.1872154388285</v>
      </c>
      <c r="D29" s="16">
        <f t="shared" si="1"/>
        <v>227.8667641989322</v>
      </c>
      <c r="E29" s="16">
        <f t="shared" si="1"/>
        <v>176.64090247979237</v>
      </c>
      <c r="F29" s="16">
        <f t="shared" si="1"/>
        <v>167.80885735580273</v>
      </c>
      <c r="G29" s="16">
        <f t="shared" si="1"/>
        <v>158.97681223181314</v>
      </c>
      <c r="H29" s="16">
        <f t="shared" si="1"/>
        <v>150.1447671078235</v>
      </c>
      <c r="I29" s="16">
        <f t="shared" si="1"/>
        <v>141.31272198383385</v>
      </c>
      <c r="J29" s="16">
        <f t="shared" si="1"/>
        <v>132.48067685984424</v>
      </c>
      <c r="K29" s="16">
        <f t="shared" si="1"/>
        <v>123.64863173585459</v>
      </c>
      <c r="L29" s="16">
        <f t="shared" si="1"/>
        <v>114.81658661186498</v>
      </c>
      <c r="M29" s="16">
        <f t="shared" si="1"/>
        <v>105.98454148787535</v>
      </c>
      <c r="N29" s="16">
        <f t="shared" si="1"/>
        <v>97.152496363885717</v>
      </c>
      <c r="O29" s="16">
        <f t="shared" si="1"/>
        <v>88.320451239896087</v>
      </c>
      <c r="P29" s="16">
        <f t="shared" si="1"/>
        <v>79.488406115906457</v>
      </c>
      <c r="Q29" s="16">
        <f t="shared" si="1"/>
        <v>70.656360991916841</v>
      </c>
      <c r="R29" s="16">
        <f t="shared" si="1"/>
        <v>61.824315867927211</v>
      </c>
      <c r="S29" s="16">
        <f t="shared" si="1"/>
        <v>52.992270743937581</v>
      </c>
      <c r="T29" s="16">
        <f t="shared" si="1"/>
        <v>44.160225619947951</v>
      </c>
      <c r="U29" s="16">
        <f t="shared" si="1"/>
        <v>35.328180495958321</v>
      </c>
      <c r="V29" s="16">
        <f t="shared" si="1"/>
        <v>26.496135371968691</v>
      </c>
      <c r="W29" s="16">
        <f t="shared" si="1"/>
        <v>17.664090247979061</v>
      </c>
      <c r="X29" s="16">
        <f t="shared" si="1"/>
        <v>8.8320451239894329</v>
      </c>
      <c r="Y29" s="16">
        <f t="shared" si="1"/>
        <v>0</v>
      </c>
    </row>
    <row r="30" spans="1:26" x14ac:dyDescent="0.25">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6" x14ac:dyDescent="0.25">
      <c r="A31" s="2" t="s">
        <v>94</v>
      </c>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6" x14ac:dyDescent="0.25">
      <c r="A32" t="s">
        <v>40</v>
      </c>
      <c r="B32" s="16">
        <f t="shared" ref="B32:Y32" si="2">B16-B24</f>
        <v>607.5105940720041</v>
      </c>
      <c r="C32" s="16">
        <f t="shared" si="2"/>
        <v>621.65804295769351</v>
      </c>
      <c r="D32" s="16">
        <f t="shared" si="2"/>
        <v>633.44758369576789</v>
      </c>
      <c r="E32" s="16">
        <f t="shared" si="2"/>
        <v>640.28551732385108</v>
      </c>
      <c r="F32" s="16">
        <f t="shared" si="2"/>
        <v>641.46447139765849</v>
      </c>
      <c r="G32" s="16">
        <f t="shared" si="2"/>
        <v>642.643425471466</v>
      </c>
      <c r="H32" s="16">
        <f t="shared" si="2"/>
        <v>643.82237954527341</v>
      </c>
      <c r="I32" s="16">
        <f t="shared" si="2"/>
        <v>645.00133361908092</v>
      </c>
      <c r="J32" s="16">
        <f t="shared" si="2"/>
        <v>646.18028769288821</v>
      </c>
      <c r="K32" s="16">
        <f t="shared" si="2"/>
        <v>647.35924176669573</v>
      </c>
      <c r="L32" s="16">
        <f t="shared" si="2"/>
        <v>648.53819584050314</v>
      </c>
      <c r="M32" s="16">
        <f t="shared" si="2"/>
        <v>649.71714991431065</v>
      </c>
      <c r="N32" s="16">
        <f t="shared" si="2"/>
        <v>650.89610398811806</v>
      </c>
      <c r="O32" s="16">
        <f t="shared" si="2"/>
        <v>618.99903752192552</v>
      </c>
      <c r="P32" s="16">
        <f t="shared" si="2"/>
        <v>620.17799159573292</v>
      </c>
      <c r="Q32" s="16">
        <f t="shared" si="2"/>
        <v>621.35694566954044</v>
      </c>
      <c r="R32" s="16">
        <f t="shared" si="2"/>
        <v>622.53589974334773</v>
      </c>
      <c r="S32" s="16">
        <f t="shared" si="2"/>
        <v>623.71485381715513</v>
      </c>
      <c r="T32" s="16">
        <f t="shared" si="2"/>
        <v>624.89380789096276</v>
      </c>
      <c r="U32" s="16">
        <f t="shared" si="2"/>
        <v>626.07276196477005</v>
      </c>
      <c r="V32" s="16">
        <f t="shared" si="2"/>
        <v>627.25171603857768</v>
      </c>
      <c r="W32" s="16">
        <f t="shared" si="2"/>
        <v>628.43067011238509</v>
      </c>
      <c r="X32" s="16">
        <f t="shared" si="2"/>
        <v>629.6096241861926</v>
      </c>
      <c r="Y32" s="16">
        <f t="shared" si="2"/>
        <v>630.78857825999989</v>
      </c>
    </row>
    <row r="33" spans="1:25" x14ac:dyDescent="0.25">
      <c r="A33" t="s">
        <v>41</v>
      </c>
      <c r="B33" s="16">
        <f t="shared" ref="B33:Y33" si="3">B17-B25</f>
        <v>207.21291580750528</v>
      </c>
      <c r="C33" s="16">
        <f t="shared" si="3"/>
        <v>212.03840224913571</v>
      </c>
      <c r="D33" s="16">
        <f t="shared" si="3"/>
        <v>216.05964095049444</v>
      </c>
      <c r="E33" s="16">
        <f t="shared" si="3"/>
        <v>218.39195939728253</v>
      </c>
      <c r="F33" s="16">
        <f t="shared" si="3"/>
        <v>218.79408326741839</v>
      </c>
      <c r="G33" s="16">
        <f t="shared" si="3"/>
        <v>219.19620713755427</v>
      </c>
      <c r="H33" s="16">
        <f t="shared" si="3"/>
        <v>219.59833100769012</v>
      </c>
      <c r="I33" s="16">
        <f t="shared" si="3"/>
        <v>220.000454877826</v>
      </c>
      <c r="J33" s="16">
        <f t="shared" si="3"/>
        <v>220.40257874796188</v>
      </c>
      <c r="K33" s="16">
        <f t="shared" si="3"/>
        <v>220.80470261809776</v>
      </c>
      <c r="L33" s="16">
        <f t="shared" si="3"/>
        <v>221.20682648823362</v>
      </c>
      <c r="M33" s="16">
        <f t="shared" si="3"/>
        <v>221.6089503583695</v>
      </c>
      <c r="N33" s="16">
        <f t="shared" si="3"/>
        <v>222.01107422850535</v>
      </c>
      <c r="O33" s="16">
        <f t="shared" si="3"/>
        <v>211.13145465864127</v>
      </c>
      <c r="P33" s="16">
        <f t="shared" si="3"/>
        <v>211.53357852877713</v>
      </c>
      <c r="Q33" s="16">
        <f t="shared" si="3"/>
        <v>211.93570239891301</v>
      </c>
      <c r="R33" s="16">
        <f t="shared" si="3"/>
        <v>212.33782626904886</v>
      </c>
      <c r="S33" s="16">
        <f t="shared" si="3"/>
        <v>212.73995013918474</v>
      </c>
      <c r="T33" s="16">
        <f t="shared" si="3"/>
        <v>213.14207400932062</v>
      </c>
      <c r="U33" s="16">
        <f t="shared" si="3"/>
        <v>213.54419787945648</v>
      </c>
      <c r="V33" s="16">
        <f t="shared" si="3"/>
        <v>213.94632174959236</v>
      </c>
      <c r="W33" s="16">
        <f t="shared" si="3"/>
        <v>214.34844561972821</v>
      </c>
      <c r="X33" s="16">
        <f t="shared" si="3"/>
        <v>214.75056948986409</v>
      </c>
      <c r="Y33" s="16">
        <f t="shared" si="3"/>
        <v>215.15269335999997</v>
      </c>
    </row>
    <row r="34" spans="1:25" x14ac:dyDescent="0.25">
      <c r="A34" t="s">
        <v>42</v>
      </c>
      <c r="B34" s="16">
        <f t="shared" ref="B34:Y34" si="4">B18-B26</f>
        <v>339.07568041228132</v>
      </c>
      <c r="C34" s="16">
        <f t="shared" si="4"/>
        <v>346.97193095313116</v>
      </c>
      <c r="D34" s="16">
        <f t="shared" si="4"/>
        <v>353.55213973717281</v>
      </c>
      <c r="E34" s="16">
        <f t="shared" si="4"/>
        <v>357.36866083191688</v>
      </c>
      <c r="F34" s="16">
        <f t="shared" si="4"/>
        <v>358.02668171032104</v>
      </c>
      <c r="G34" s="16">
        <f t="shared" si="4"/>
        <v>358.6847025887252</v>
      </c>
      <c r="H34" s="16">
        <f t="shared" si="4"/>
        <v>359.34272346712936</v>
      </c>
      <c r="I34" s="16">
        <f t="shared" si="4"/>
        <v>360.00074434553346</v>
      </c>
      <c r="J34" s="16">
        <f t="shared" si="4"/>
        <v>360.65876522393762</v>
      </c>
      <c r="K34" s="16">
        <f t="shared" si="4"/>
        <v>361.31678610234178</v>
      </c>
      <c r="L34" s="16">
        <f t="shared" si="4"/>
        <v>361.974806980746</v>
      </c>
      <c r="M34" s="16">
        <f t="shared" si="4"/>
        <v>362.6328278591501</v>
      </c>
      <c r="N34" s="16">
        <f t="shared" si="4"/>
        <v>363.29084873755426</v>
      </c>
      <c r="O34" s="16">
        <f t="shared" si="4"/>
        <v>345.48783489595843</v>
      </c>
      <c r="P34" s="16">
        <f t="shared" si="4"/>
        <v>346.14585577436259</v>
      </c>
      <c r="Q34" s="16">
        <f t="shared" si="4"/>
        <v>346.80387665276675</v>
      </c>
      <c r="R34" s="16">
        <f t="shared" si="4"/>
        <v>347.46189753117085</v>
      </c>
      <c r="S34" s="16">
        <f t="shared" si="4"/>
        <v>348.11991840957506</v>
      </c>
      <c r="T34" s="16">
        <f t="shared" si="4"/>
        <v>348.77793928797922</v>
      </c>
      <c r="U34" s="16">
        <f t="shared" si="4"/>
        <v>349.43596016638332</v>
      </c>
      <c r="V34" s="16">
        <f t="shared" si="4"/>
        <v>350.09398104478748</v>
      </c>
      <c r="W34" s="16">
        <f t="shared" si="4"/>
        <v>350.75200192319164</v>
      </c>
      <c r="X34" s="16">
        <f t="shared" si="4"/>
        <v>351.41002280159586</v>
      </c>
      <c r="Y34" s="16">
        <f t="shared" si="4"/>
        <v>352.06804367999996</v>
      </c>
    </row>
    <row r="35" spans="1:25" x14ac:dyDescent="0.25">
      <c r="A35" t="s">
        <v>43</v>
      </c>
      <c r="B35" s="16">
        <f t="shared" ref="B35:Y35" si="5">B19-B27</f>
        <v>452.10090721637511</v>
      </c>
      <c r="C35" s="16">
        <f t="shared" si="5"/>
        <v>462.62924127084165</v>
      </c>
      <c r="D35" s="16">
        <f t="shared" si="5"/>
        <v>471.402852982897</v>
      </c>
      <c r="E35" s="16">
        <f t="shared" si="5"/>
        <v>476.4915477758891</v>
      </c>
      <c r="F35" s="16">
        <f t="shared" si="5"/>
        <v>477.36890894709478</v>
      </c>
      <c r="G35" s="16">
        <f t="shared" si="5"/>
        <v>478.24627011830029</v>
      </c>
      <c r="H35" s="16">
        <f t="shared" si="5"/>
        <v>479.12363128950574</v>
      </c>
      <c r="I35" s="16">
        <f t="shared" si="5"/>
        <v>480.00099246071136</v>
      </c>
      <c r="J35" s="16">
        <f t="shared" si="5"/>
        <v>480.87835363191687</v>
      </c>
      <c r="K35" s="16">
        <f t="shared" si="5"/>
        <v>481.75571480312237</v>
      </c>
      <c r="L35" s="16">
        <f t="shared" si="5"/>
        <v>482.63307597432794</v>
      </c>
      <c r="M35" s="16">
        <f t="shared" si="5"/>
        <v>483.51043714553356</v>
      </c>
      <c r="N35" s="16">
        <f t="shared" si="5"/>
        <v>484.38779831673901</v>
      </c>
      <c r="O35" s="16">
        <f t="shared" si="5"/>
        <v>460.65044652794455</v>
      </c>
      <c r="P35" s="16">
        <f t="shared" si="5"/>
        <v>461.52780769915006</v>
      </c>
      <c r="Q35" s="16">
        <f t="shared" si="5"/>
        <v>462.40516887035562</v>
      </c>
      <c r="R35" s="16">
        <f t="shared" si="5"/>
        <v>463.28253004156119</v>
      </c>
      <c r="S35" s="16">
        <f t="shared" si="5"/>
        <v>464.15989121276669</v>
      </c>
      <c r="T35" s="16">
        <f t="shared" si="5"/>
        <v>465.03725238397226</v>
      </c>
      <c r="U35" s="16">
        <f t="shared" si="5"/>
        <v>465.91461355517782</v>
      </c>
      <c r="V35" s="16">
        <f t="shared" si="5"/>
        <v>466.79197472638333</v>
      </c>
      <c r="W35" s="16">
        <f t="shared" si="5"/>
        <v>467.66933589758884</v>
      </c>
      <c r="X35" s="16">
        <f t="shared" si="5"/>
        <v>468.5466970687944</v>
      </c>
      <c r="Y35" s="16">
        <f t="shared" si="5"/>
        <v>469.42405823999991</v>
      </c>
    </row>
    <row r="36" spans="1:25" x14ac:dyDescent="0.25">
      <c r="A36" t="s">
        <v>44</v>
      </c>
      <c r="B36" s="16">
        <f t="shared" ref="B36:Y36" si="6">B20-B28</f>
        <v>473.45382239999992</v>
      </c>
      <c r="C36" s="16">
        <f t="shared" si="6"/>
        <v>473.45382239999992</v>
      </c>
      <c r="D36" s="16">
        <f t="shared" si="6"/>
        <v>473.45382239999992</v>
      </c>
      <c r="E36" s="16">
        <f t="shared" si="6"/>
        <v>473.45382239999992</v>
      </c>
      <c r="F36" s="16">
        <f t="shared" si="6"/>
        <v>473.45382239999992</v>
      </c>
      <c r="G36" s="16">
        <f t="shared" si="6"/>
        <v>473.45382239999992</v>
      </c>
      <c r="H36" s="16">
        <f t="shared" si="6"/>
        <v>473.45382239999992</v>
      </c>
      <c r="I36" s="16">
        <f t="shared" si="6"/>
        <v>473.45382239999992</v>
      </c>
      <c r="J36" s="16">
        <f t="shared" si="6"/>
        <v>473.45382239999992</v>
      </c>
      <c r="K36" s="16">
        <f t="shared" si="6"/>
        <v>473.45382239999992</v>
      </c>
      <c r="L36" s="16">
        <f t="shared" si="6"/>
        <v>473.45382239999992</v>
      </c>
      <c r="M36" s="16">
        <f t="shared" si="6"/>
        <v>473.45382239999992</v>
      </c>
      <c r="N36" s="16">
        <f t="shared" si="6"/>
        <v>473.45382239999992</v>
      </c>
      <c r="O36" s="16">
        <f t="shared" si="6"/>
        <v>449.86472247999995</v>
      </c>
      <c r="P36" s="16">
        <f t="shared" si="6"/>
        <v>449.86472247999995</v>
      </c>
      <c r="Q36" s="16">
        <f t="shared" si="6"/>
        <v>449.86472247999995</v>
      </c>
      <c r="R36" s="16">
        <f t="shared" si="6"/>
        <v>449.86472247999995</v>
      </c>
      <c r="S36" s="16">
        <f t="shared" si="6"/>
        <v>449.86472247999995</v>
      </c>
      <c r="T36" s="16">
        <f t="shared" si="6"/>
        <v>449.86472247999995</v>
      </c>
      <c r="U36" s="16">
        <f t="shared" si="6"/>
        <v>449.86472247999995</v>
      </c>
      <c r="V36" s="16">
        <f t="shared" si="6"/>
        <v>449.86472247999995</v>
      </c>
      <c r="W36" s="16">
        <f t="shared" si="6"/>
        <v>449.86472247999995</v>
      </c>
      <c r="X36" s="16">
        <f t="shared" si="6"/>
        <v>449.86472247999995</v>
      </c>
      <c r="Y36" s="16">
        <f t="shared" si="6"/>
        <v>449.86472247999995</v>
      </c>
    </row>
    <row r="37" spans="1:25" x14ac:dyDescent="0.25">
      <c r="A37" t="s">
        <v>18</v>
      </c>
      <c r="B37" s="16">
        <f>SUM(B32:B36)</f>
        <v>2079.3539199081656</v>
      </c>
      <c r="C37" s="16">
        <f t="shared" ref="C37" si="7">SUM(C32:C36)</f>
        <v>2116.7514398308022</v>
      </c>
      <c r="D37" s="16">
        <f t="shared" ref="D37" si="8">SUM(D32:D36)</f>
        <v>2147.9160397663322</v>
      </c>
      <c r="E37" s="16">
        <f t="shared" ref="E37" si="9">SUM(E32:E36)</f>
        <v>2165.9915077289397</v>
      </c>
      <c r="F37" s="16">
        <f t="shared" ref="F37" si="10">SUM(F32:F36)</f>
        <v>2169.1079677224925</v>
      </c>
      <c r="G37" s="16">
        <f t="shared" ref="G37" si="11">SUM(G32:G36)</f>
        <v>2172.2244277160457</v>
      </c>
      <c r="H37" s="16">
        <f t="shared" ref="H37" si="12">SUM(H32:H36)</f>
        <v>2175.3408877095985</v>
      </c>
      <c r="I37" s="16">
        <f t="shared" ref="I37" si="13">SUM(I32:I36)</f>
        <v>2178.4573477031518</v>
      </c>
      <c r="J37" s="16">
        <f t="shared" ref="J37" si="14">SUM(J32:J36)</f>
        <v>2181.5738076967045</v>
      </c>
      <c r="K37" s="16">
        <f t="shared" ref="K37" si="15">SUM(K32:K36)</f>
        <v>2184.6902676902573</v>
      </c>
      <c r="L37" s="16">
        <f t="shared" ref="L37" si="16">SUM(L32:L36)</f>
        <v>2187.8067276838105</v>
      </c>
      <c r="M37" s="16">
        <f t="shared" ref="M37" si="17">SUM(M32:M36)</f>
        <v>2190.9231876773638</v>
      </c>
      <c r="N37" s="16">
        <f t="shared" ref="N37" si="18">SUM(N32:N36)</f>
        <v>2194.0396476709166</v>
      </c>
      <c r="O37" s="16">
        <f t="shared" ref="O37" si="19">SUM(O32:O36)</f>
        <v>2086.1334960844697</v>
      </c>
      <c r="P37" s="16">
        <f t="shared" ref="P37" si="20">SUM(P32:P36)</f>
        <v>2089.2499560780225</v>
      </c>
      <c r="Q37" s="16">
        <f t="shared" ref="Q37" si="21">SUM(Q32:Q36)</f>
        <v>2092.3664160715762</v>
      </c>
      <c r="R37" s="16">
        <f t="shared" ref="R37" si="22">SUM(R32:R36)</f>
        <v>2095.4828760651285</v>
      </c>
      <c r="S37" s="16">
        <f t="shared" ref="S37" si="23">SUM(S32:S36)</f>
        <v>2098.5993360586817</v>
      </c>
      <c r="T37" s="16">
        <f t="shared" ref="T37" si="24">SUM(T32:T36)</f>
        <v>2101.7157960522345</v>
      </c>
      <c r="U37" s="16">
        <f t="shared" ref="U37" si="25">SUM(U32:U36)</f>
        <v>2104.8322560457873</v>
      </c>
      <c r="V37" s="16">
        <f t="shared" ref="V37" si="26">SUM(V32:V36)</f>
        <v>2107.948716039341</v>
      </c>
      <c r="W37" s="16">
        <f t="shared" ref="W37" si="27">SUM(W32:W36)</f>
        <v>2111.0651760328938</v>
      </c>
      <c r="X37" s="16">
        <f t="shared" ref="X37" si="28">SUM(X32:X36)</f>
        <v>2114.181636026447</v>
      </c>
      <c r="Y37" s="16">
        <f t="shared" ref="Y37" si="29">SUM(Y32:Y36)</f>
        <v>2117.2980960199993</v>
      </c>
    </row>
    <row r="38" spans="1:25" x14ac:dyDescent="0.25">
      <c r="A38" s="2" t="s">
        <v>101</v>
      </c>
      <c r="B38" s="16">
        <f>$B$43/SUM($B$43:$B$44)*B37</f>
        <v>1553.5100245556771</v>
      </c>
      <c r="C38" s="16">
        <f t="shared" ref="C38:Y38" si="30">$B$43/SUM($B$43:$B$44)*C37</f>
        <v>1581.4501561211118</v>
      </c>
      <c r="D38" s="16">
        <f t="shared" si="30"/>
        <v>1604.7335990923073</v>
      </c>
      <c r="E38" s="16">
        <f t="shared" si="30"/>
        <v>1618.2379960156004</v>
      </c>
      <c r="F38" s="16">
        <f t="shared" si="30"/>
        <v>1620.5663403127198</v>
      </c>
      <c r="G38" s="16">
        <f t="shared" si="30"/>
        <v>1622.8946846098395</v>
      </c>
      <c r="H38" s="16">
        <f t="shared" si="30"/>
        <v>1625.2230289069589</v>
      </c>
      <c r="I38" s="16">
        <f t="shared" si="30"/>
        <v>1627.5513732040786</v>
      </c>
      <c r="J38" s="16">
        <f t="shared" si="30"/>
        <v>1629.879717501198</v>
      </c>
      <c r="K38" s="16">
        <f t="shared" si="30"/>
        <v>1632.2080617983172</v>
      </c>
      <c r="L38" s="16">
        <f t="shared" si="30"/>
        <v>1634.5364060954371</v>
      </c>
      <c r="M38" s="16">
        <f t="shared" si="30"/>
        <v>1636.8647503925567</v>
      </c>
      <c r="N38" s="16">
        <f t="shared" si="30"/>
        <v>1639.1930946896762</v>
      </c>
      <c r="O38" s="16">
        <f t="shared" si="30"/>
        <v>1558.5751264853152</v>
      </c>
      <c r="P38" s="16">
        <f t="shared" si="30"/>
        <v>1560.9034707824346</v>
      </c>
      <c r="Q38" s="16">
        <f t="shared" si="30"/>
        <v>1563.2318150795545</v>
      </c>
      <c r="R38" s="16">
        <f t="shared" si="30"/>
        <v>1565.5601593766735</v>
      </c>
      <c r="S38" s="16">
        <f t="shared" si="30"/>
        <v>1567.8885036737934</v>
      </c>
      <c r="T38" s="16">
        <f t="shared" si="30"/>
        <v>1570.2168479709126</v>
      </c>
      <c r="U38" s="16">
        <f t="shared" si="30"/>
        <v>1572.545192268032</v>
      </c>
      <c r="V38" s="16">
        <f t="shared" si="30"/>
        <v>1574.8735365651521</v>
      </c>
      <c r="W38" s="16">
        <f t="shared" si="30"/>
        <v>1577.2018808622713</v>
      </c>
      <c r="X38" s="16">
        <f t="shared" si="30"/>
        <v>1579.5302251593912</v>
      </c>
      <c r="Y38" s="16">
        <f t="shared" si="30"/>
        <v>1581.8585694565102</v>
      </c>
    </row>
    <row r="39" spans="1:25" x14ac:dyDescent="0.25">
      <c r="B39" s="16"/>
      <c r="C39" s="16"/>
      <c r="D39" s="16"/>
      <c r="E39" s="16"/>
      <c r="F39" s="16"/>
      <c r="G39" s="16"/>
      <c r="H39" s="16"/>
      <c r="I39" s="16"/>
      <c r="J39" s="16"/>
      <c r="K39" s="16"/>
      <c r="L39" s="16"/>
      <c r="M39" s="16"/>
      <c r="N39" s="16"/>
      <c r="O39" s="16"/>
      <c r="P39" s="16"/>
      <c r="Q39" s="16"/>
      <c r="R39" s="16"/>
      <c r="S39" s="16"/>
      <c r="T39" s="16"/>
      <c r="U39" s="16"/>
      <c r="V39" s="16"/>
      <c r="W39" s="16"/>
      <c r="X39" s="16"/>
      <c r="Y39" s="16"/>
    </row>
    <row r="40" spans="1:25" x14ac:dyDescent="0.25">
      <c r="A40" s="2" t="s">
        <v>61</v>
      </c>
      <c r="B40" s="16">
        <f>SUM(B37:E37)</f>
        <v>8510.0129072342388</v>
      </c>
      <c r="C40" s="16"/>
      <c r="D40" s="16"/>
      <c r="E40" s="16"/>
      <c r="F40" s="16"/>
      <c r="G40" s="16"/>
      <c r="H40" s="16"/>
      <c r="I40" s="16"/>
      <c r="J40" s="16"/>
      <c r="K40" s="16"/>
      <c r="L40" s="16"/>
      <c r="M40" s="16"/>
      <c r="N40" s="16"/>
      <c r="O40" s="16"/>
      <c r="P40" s="16"/>
      <c r="Q40" s="16"/>
      <c r="R40" s="16"/>
      <c r="S40" s="16"/>
      <c r="T40" s="16"/>
      <c r="U40" s="16"/>
      <c r="V40" s="16"/>
      <c r="W40" s="16"/>
      <c r="X40" s="16"/>
      <c r="Y40" s="16"/>
    </row>
    <row r="41" spans="1:25" x14ac:dyDescent="0.25">
      <c r="A41" s="2" t="s">
        <v>62</v>
      </c>
      <c r="B41" s="16">
        <f>SUM(B37:Y37)</f>
        <v>51263.050933079154</v>
      </c>
      <c r="C41" s="16"/>
      <c r="D41" s="16"/>
      <c r="E41" s="16"/>
      <c r="F41" s="16"/>
      <c r="G41" s="16"/>
      <c r="H41" s="16"/>
      <c r="I41" s="16"/>
      <c r="J41" s="16"/>
      <c r="K41" s="16"/>
      <c r="L41" s="16"/>
      <c r="M41" s="16"/>
      <c r="N41" s="16"/>
      <c r="O41" s="16"/>
      <c r="P41" s="16"/>
      <c r="Q41" s="16"/>
      <c r="R41" s="16"/>
      <c r="S41" s="16"/>
      <c r="T41" s="16"/>
      <c r="U41" s="16"/>
      <c r="V41" s="16"/>
      <c r="W41" s="16"/>
      <c r="X41" s="16"/>
      <c r="Y41" s="16"/>
    </row>
    <row r="42" spans="1:25" x14ac:dyDescent="0.25">
      <c r="A42" s="2"/>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x14ac:dyDescent="0.25">
      <c r="A43" s="2" t="s">
        <v>70</v>
      </c>
      <c r="B43" s="24">
        <v>46087359</v>
      </c>
      <c r="C43" s="16"/>
      <c r="D43" s="16"/>
      <c r="E43" s="16"/>
      <c r="F43" s="16"/>
      <c r="G43" s="16"/>
      <c r="H43" s="16"/>
      <c r="I43" s="16"/>
      <c r="J43" s="16"/>
      <c r="K43" s="16"/>
      <c r="L43" s="16"/>
      <c r="M43" s="16"/>
      <c r="N43" s="16"/>
      <c r="O43" s="16"/>
      <c r="P43" s="16"/>
      <c r="Q43" s="16"/>
      <c r="R43" s="16"/>
      <c r="S43" s="16"/>
      <c r="T43" s="16"/>
      <c r="U43" s="16"/>
      <c r="V43" s="16"/>
      <c r="W43" s="16"/>
      <c r="X43" s="16"/>
      <c r="Y43" s="16"/>
    </row>
    <row r="44" spans="1:25" x14ac:dyDescent="0.25">
      <c r="A44" s="2" t="s">
        <v>82</v>
      </c>
      <c r="B44" s="26">
        <v>15600000</v>
      </c>
      <c r="C44" s="16"/>
      <c r="D44" s="16"/>
      <c r="E44" s="16"/>
      <c r="F44" s="16"/>
      <c r="G44" s="16"/>
      <c r="H44" s="16"/>
      <c r="I44" s="16"/>
      <c r="J44" s="16"/>
      <c r="K44" s="16"/>
      <c r="L44" s="16"/>
      <c r="M44" s="16"/>
      <c r="N44" s="16"/>
      <c r="O44" s="16"/>
      <c r="P44" s="16"/>
      <c r="Q44" s="16"/>
      <c r="R44" s="16"/>
      <c r="S44" s="16"/>
      <c r="T44" s="16"/>
      <c r="U44" s="16"/>
      <c r="V44" s="16"/>
      <c r="W44" s="16"/>
      <c r="X44" s="16"/>
      <c r="Y44" s="16"/>
    </row>
    <row r="45" spans="1:25" x14ac:dyDescent="0.25">
      <c r="A45" s="2"/>
      <c r="B45" s="25"/>
      <c r="C45" s="16"/>
      <c r="D45" s="16"/>
      <c r="E45" s="16"/>
      <c r="F45" s="16"/>
      <c r="G45" s="16"/>
      <c r="H45" s="16"/>
      <c r="I45" s="16"/>
      <c r="J45" s="16"/>
      <c r="K45" s="16"/>
      <c r="L45" s="16"/>
      <c r="M45" s="16"/>
      <c r="N45" s="16"/>
      <c r="O45" s="16"/>
      <c r="P45" s="16"/>
      <c r="Q45" s="16"/>
      <c r="R45" s="16"/>
      <c r="S45" s="16"/>
      <c r="T45" s="16"/>
      <c r="U45" s="16"/>
      <c r="V45" s="16"/>
      <c r="W45" s="16"/>
      <c r="X45" s="16"/>
      <c r="Y45" s="16"/>
    </row>
    <row r="46" spans="1:25" x14ac:dyDescent="0.25">
      <c r="A46" s="2" t="s">
        <v>69</v>
      </c>
      <c r="B46" s="16">
        <f>$B$43/SUM($B$43:$B$44)*B40</f>
        <v>6357.9317757846957</v>
      </c>
      <c r="C46" s="16"/>
      <c r="D46" s="16"/>
      <c r="E46" s="16"/>
      <c r="F46" s="16"/>
      <c r="G46" s="16"/>
      <c r="H46" s="16"/>
      <c r="I46" s="16"/>
      <c r="J46" s="16"/>
      <c r="K46" s="16"/>
      <c r="L46" s="16"/>
      <c r="M46" s="16"/>
      <c r="N46" s="16"/>
      <c r="O46" s="16"/>
      <c r="P46" s="16"/>
      <c r="Q46" s="16"/>
      <c r="R46" s="16"/>
      <c r="S46" s="16"/>
      <c r="T46" s="16"/>
      <c r="U46" s="16"/>
      <c r="V46" s="16"/>
      <c r="W46" s="16"/>
      <c r="X46" s="16"/>
      <c r="Y46" s="16"/>
    </row>
    <row r="47" spans="1:25" x14ac:dyDescent="0.25">
      <c r="A47" s="2" t="s">
        <v>90</v>
      </c>
      <c r="B47" s="16">
        <f>$B$43/SUM($B$43:$B$44)*B41</f>
        <v>38299.234560975514</v>
      </c>
      <c r="C47" s="16"/>
      <c r="D47" s="16"/>
      <c r="E47" s="16"/>
      <c r="F47" s="16"/>
      <c r="G47" s="16"/>
      <c r="H47" s="16"/>
      <c r="I47" s="16"/>
      <c r="J47" s="16"/>
      <c r="K47" s="16"/>
      <c r="L47" s="16"/>
      <c r="M47" s="16"/>
      <c r="N47" s="16"/>
      <c r="O47" s="16"/>
      <c r="P47" s="16"/>
      <c r="Q47" s="16"/>
      <c r="R47" s="16"/>
      <c r="S47" s="16"/>
      <c r="T47" s="16"/>
      <c r="U47" s="16"/>
      <c r="V47" s="16"/>
      <c r="W47" s="16"/>
      <c r="X47" s="16"/>
      <c r="Y47" s="16"/>
    </row>
    <row r="49" spans="1:25" x14ac:dyDescent="0.25">
      <c r="A49" s="2" t="s">
        <v>58</v>
      </c>
      <c r="B49" s="24">
        <f>$B$43/B46</f>
        <v>7248.7973487749323</v>
      </c>
    </row>
    <row r="50" spans="1:25" x14ac:dyDescent="0.25">
      <c r="A50" s="2" t="s">
        <v>59</v>
      </c>
      <c r="B50" s="24">
        <f>$B$43/B47</f>
        <v>1203.3493496227752</v>
      </c>
    </row>
    <row r="52" spans="1:25" ht="24" x14ac:dyDescent="0.4">
      <c r="A52" s="28" t="s">
        <v>64</v>
      </c>
    </row>
    <row r="53" spans="1:25" x14ac:dyDescent="0.25">
      <c r="B53" s="2">
        <v>2027</v>
      </c>
      <c r="C53" s="2">
        <v>2028</v>
      </c>
      <c r="D53" s="2">
        <v>2029</v>
      </c>
      <c r="E53" s="2">
        <v>2030</v>
      </c>
      <c r="F53" s="2">
        <v>2031</v>
      </c>
      <c r="G53" s="2">
        <v>2032</v>
      </c>
      <c r="H53" s="2">
        <v>2033</v>
      </c>
      <c r="I53" s="2">
        <v>2034</v>
      </c>
      <c r="J53" s="2">
        <v>2035</v>
      </c>
      <c r="K53" s="2">
        <v>2036</v>
      </c>
      <c r="L53" s="2">
        <v>2037</v>
      </c>
      <c r="M53" s="2">
        <v>2038</v>
      </c>
      <c r="N53" s="2">
        <v>2039</v>
      </c>
      <c r="O53" s="2">
        <v>2040</v>
      </c>
      <c r="P53" s="2">
        <v>2041</v>
      </c>
      <c r="Q53" s="2">
        <v>2042</v>
      </c>
      <c r="R53" s="2">
        <v>2043</v>
      </c>
      <c r="S53" s="2">
        <v>2044</v>
      </c>
      <c r="T53" s="2">
        <v>2045</v>
      </c>
      <c r="U53" s="2">
        <v>2046</v>
      </c>
      <c r="V53" s="2">
        <v>2047</v>
      </c>
      <c r="W53" s="2">
        <v>2048</v>
      </c>
      <c r="X53" s="2">
        <v>2049</v>
      </c>
      <c r="Y53" s="2">
        <v>2050</v>
      </c>
    </row>
    <row r="54" spans="1:25" x14ac:dyDescent="0.25">
      <c r="A54" s="2" t="s">
        <v>57</v>
      </c>
      <c r="B54" s="23"/>
    </row>
    <row r="55" spans="1:25" x14ac:dyDescent="0.25">
      <c r="A55" t="s">
        <v>77</v>
      </c>
      <c r="B55" s="16">
        <f>(240*(('Pre- and Post-Retrofit Energy'!$D$31*INDEX('Emissions Factors'!$E$16:$E$46,MATCH('2030 and 2050 GHG Projections'!B53,'Emissions Factors'!$B$16:$B$46,0)))+(IF(B53&lt;2040,'Pre- and Post-Retrofit Energy'!$D$32,'Pre- and Post-Retrofit Energy'!$F$32))*'Emissions Factors'!$E$7+'Pre- and Post-Retrofit Energy'!$B$19*28))/1000</f>
        <v>1427.3819503353925</v>
      </c>
      <c r="C55" s="16">
        <f>(240*(('Pre- and Post-Retrofit Energy'!$D$31*INDEX('Emissions Factors'!$E$16:$E$46,MATCH('2030 and 2050 GHG Projections'!C53,'Emissions Factors'!$B$16:$B$46,0)))+(IF(C53&lt;2040,'Pre- and Post-Retrofit Energy'!$D$32,'Pre- and Post-Retrofit Energy'!$F$32))*'Emissions Factors'!$E$7+'Pre- and Post-Retrofit Energy'!$B$19*28))/1000</f>
        <v>1379.1095597909421</v>
      </c>
      <c r="D55" s="16">
        <f>(240*(('Pre- and Post-Retrofit Energy'!$D$31*INDEX('Emissions Factors'!$E$16:$E$46,MATCH('2030 and 2050 GHG Projections'!D53,'Emissions Factors'!$B$16:$B$46,0)))+(IF(D53&lt;2040,'Pre- and Post-Retrofit Energy'!$D$32,'Pre- and Post-Retrofit Energy'!$F$32))*'Emissions Factors'!$E$7+'Pre- and Post-Retrofit Energy'!$B$19*28))/1000</f>
        <v>1338.8825676705671</v>
      </c>
      <c r="E55" s="16">
        <f>(240*(('Pre- and Post-Retrofit Energy'!$D$31*INDEX('Emissions Factors'!$E$16:$E$46,MATCH('2030 and 2050 GHG Projections'!E53,'Emissions Factors'!$B$16:$B$46,0)))+(IF(E53&lt;2040,'Pre- and Post-Retrofit Energy'!$D$32,'Pre- and Post-Retrofit Energy'!$F$32))*'Emissions Factors'!$E$7+'Pre- and Post-Retrofit Energy'!$B$19*28))/1000</f>
        <v>1315.5509122407498</v>
      </c>
      <c r="F55" s="16">
        <f>(240*(('Pre- and Post-Retrofit Energy'!$D$31*INDEX('Emissions Factors'!$E$16:$E$46,MATCH('2030 and 2050 GHG Projections'!F53,'Emissions Factors'!$B$16:$B$46,0)))+(IF(F53&lt;2040,'Pre- and Post-Retrofit Energy'!$D$32,'Pre- and Post-Retrofit Energy'!$F$32))*'Emissions Factors'!$E$7+'Pre- and Post-Retrofit Energy'!$B$19*28))/1000</f>
        <v>1311.5282130287121</v>
      </c>
      <c r="G55" s="16">
        <f>(240*(('Pre- and Post-Retrofit Energy'!$D$31*INDEX('Emissions Factors'!$E$16:$E$46,MATCH('2030 and 2050 GHG Projections'!G53,'Emissions Factors'!$B$16:$B$46,0)))+(IF(G53&lt;2040,'Pre- and Post-Retrofit Energy'!$D$32,'Pre- and Post-Retrofit Energy'!$F$32))*'Emissions Factors'!$E$7+'Pre- and Post-Retrofit Energy'!$B$19*28))/1000</f>
        <v>1307.5055138166747</v>
      </c>
      <c r="H55" s="16">
        <f>(240*(('Pre- and Post-Retrofit Energy'!$D$31*INDEX('Emissions Factors'!$E$16:$E$46,MATCH('2030 and 2050 GHG Projections'!H53,'Emissions Factors'!$B$16:$B$46,0)))+(IF(H53&lt;2040,'Pre- and Post-Retrofit Energy'!$D$32,'Pre- and Post-Retrofit Energy'!$F$32))*'Emissions Factors'!$E$7+'Pre- and Post-Retrofit Energy'!$B$19*28))/1000</f>
        <v>1303.4828146046373</v>
      </c>
      <c r="I55" s="16">
        <f>(240*(('Pre- and Post-Retrofit Energy'!$D$31*INDEX('Emissions Factors'!$E$16:$E$46,MATCH('2030 and 2050 GHG Projections'!I53,'Emissions Factors'!$B$16:$B$46,0)))+(IF(I53&lt;2040,'Pre- and Post-Retrofit Energy'!$D$32,'Pre- and Post-Retrofit Energy'!$F$32))*'Emissions Factors'!$E$7+'Pre- and Post-Retrofit Energy'!$B$19*28))/1000</f>
        <v>1299.4601153925996</v>
      </c>
      <c r="J55" s="16">
        <f>(240*(('Pre- and Post-Retrofit Energy'!$D$31*INDEX('Emissions Factors'!$E$16:$E$46,MATCH('2030 and 2050 GHG Projections'!J53,'Emissions Factors'!$B$16:$B$46,0)))+(IF(J53&lt;2040,'Pre- and Post-Retrofit Energy'!$D$32,'Pre- and Post-Retrofit Energy'!$F$32))*'Emissions Factors'!$E$7+'Pre- and Post-Retrofit Energy'!$B$19*28))/1000</f>
        <v>1295.4374161805622</v>
      </c>
      <c r="K55" s="16">
        <f>(240*(('Pre- and Post-Retrofit Energy'!$D$31*INDEX('Emissions Factors'!$E$16:$E$46,MATCH('2030 and 2050 GHG Projections'!K53,'Emissions Factors'!$B$16:$B$46,0)))+(IF(K53&lt;2040,'Pre- and Post-Retrofit Energy'!$D$32,'Pre- and Post-Retrofit Energy'!$F$32))*'Emissions Factors'!$E$7+'Pre- and Post-Retrofit Energy'!$B$19*28))/1000</f>
        <v>1291.4147169685248</v>
      </c>
      <c r="L55" s="16">
        <f>(240*(('Pre- and Post-Retrofit Energy'!$D$31*INDEX('Emissions Factors'!$E$16:$E$46,MATCH('2030 and 2050 GHG Projections'!L53,'Emissions Factors'!$B$16:$B$46,0)))+(IF(L53&lt;2040,'Pre- and Post-Retrofit Energy'!$D$32,'Pre- and Post-Retrofit Energy'!$F$32))*'Emissions Factors'!$E$7+'Pre- and Post-Retrofit Energy'!$B$19*28))/1000</f>
        <v>1287.3920177564873</v>
      </c>
      <c r="M55" s="16">
        <f>(240*(('Pre- and Post-Retrofit Energy'!$D$31*INDEX('Emissions Factors'!$E$16:$E$46,MATCH('2030 and 2050 GHG Projections'!M53,'Emissions Factors'!$B$16:$B$46,0)))+(IF(M53&lt;2040,'Pre- and Post-Retrofit Energy'!$D$32,'Pre- and Post-Retrofit Energy'!$F$32))*'Emissions Factors'!$E$7+'Pre- and Post-Retrofit Energy'!$B$19*28))/1000</f>
        <v>1283.3693185444497</v>
      </c>
      <c r="N55" s="16">
        <f>(240*(('Pre- and Post-Retrofit Energy'!$D$31*INDEX('Emissions Factors'!$E$16:$E$46,MATCH('2030 and 2050 GHG Projections'!N53,'Emissions Factors'!$B$16:$B$46,0)))+(IF(N53&lt;2040,'Pre- and Post-Retrofit Energy'!$D$32,'Pre- and Post-Retrofit Energy'!$F$32))*'Emissions Factors'!$E$7+'Pre- and Post-Retrofit Energy'!$B$19*28))/1000</f>
        <v>1279.3466193324123</v>
      </c>
      <c r="O55" s="16">
        <f>(240*(('Pre- and Post-Retrofit Energy'!$D$31*INDEX('Emissions Factors'!$E$16:$E$46,MATCH('2030 and 2050 GHG Projections'!O53,'Emissions Factors'!$B$16:$B$46,0)))+(IF(O53&lt;2040,'Pre- and Post-Retrofit Energy'!$D$32,'Pre- and Post-Retrofit Energy'!$F$32))*'Emissions Factors'!$E$7+'Pre- and Post-Retrofit Energy'!$B$19*28))/1000</f>
        <v>1213.7871377203746</v>
      </c>
      <c r="P55" s="16">
        <f>(240*(('Pre- and Post-Retrofit Energy'!$D$31*INDEX('Emissions Factors'!$E$16:$E$46,MATCH('2030 and 2050 GHG Projections'!P53,'Emissions Factors'!$B$16:$B$46,0)))+(IF(P53&lt;2040,'Pre- and Post-Retrofit Energy'!$D$32,'Pre- and Post-Retrofit Energy'!$F$32))*'Emissions Factors'!$E$7+'Pre- and Post-Retrofit Energy'!$B$19*28))/1000</f>
        <v>1209.764438508337</v>
      </c>
      <c r="Q55" s="16">
        <f>(240*(('Pre- and Post-Retrofit Energy'!$D$31*INDEX('Emissions Factors'!$E$16:$E$46,MATCH('2030 and 2050 GHG Projections'!Q53,'Emissions Factors'!$B$16:$B$46,0)))+(IF(Q53&lt;2040,'Pre- and Post-Retrofit Energy'!$D$32,'Pre- and Post-Retrofit Energy'!$F$32))*'Emissions Factors'!$E$7+'Pre- and Post-Retrofit Energy'!$B$19*28))/1000</f>
        <v>1205.7417392962993</v>
      </c>
      <c r="R55" s="16">
        <f>(240*(('Pre- and Post-Retrofit Energy'!$D$31*INDEX('Emissions Factors'!$E$16:$E$46,MATCH('2030 and 2050 GHG Projections'!R53,'Emissions Factors'!$B$16:$B$46,0)))+(IF(R53&lt;2040,'Pre- and Post-Retrofit Energy'!$D$32,'Pre- and Post-Retrofit Energy'!$F$32))*'Emissions Factors'!$E$7+'Pre- and Post-Retrofit Energy'!$B$19*28))/1000</f>
        <v>1201.7190400842619</v>
      </c>
      <c r="S55" s="16">
        <f>(240*(('Pre- and Post-Retrofit Energy'!$D$31*INDEX('Emissions Factors'!$E$16:$E$46,MATCH('2030 and 2050 GHG Projections'!S53,'Emissions Factors'!$B$16:$B$46,0)))+(IF(S53&lt;2040,'Pre- and Post-Retrofit Energy'!$D$32,'Pre- and Post-Retrofit Energy'!$F$32))*'Emissions Factors'!$E$7+'Pre- and Post-Retrofit Energy'!$B$19*28))/1000</f>
        <v>1197.6963408722245</v>
      </c>
      <c r="T55" s="16">
        <f>(240*(('Pre- and Post-Retrofit Energy'!$D$31*INDEX('Emissions Factors'!$E$16:$E$46,MATCH('2030 and 2050 GHG Projections'!T53,'Emissions Factors'!$B$16:$B$46,0)))+(IF(T53&lt;2040,'Pre- and Post-Retrofit Energy'!$D$32,'Pre- and Post-Retrofit Energy'!$F$32))*'Emissions Factors'!$E$7+'Pre- and Post-Retrofit Energy'!$B$19*28))/1000</f>
        <v>1193.6736416601871</v>
      </c>
      <c r="U55" s="16">
        <f>(240*(('Pre- and Post-Retrofit Energy'!$D$31*INDEX('Emissions Factors'!$E$16:$E$46,MATCH('2030 and 2050 GHG Projections'!U53,'Emissions Factors'!$B$16:$B$46,0)))+(IF(U53&lt;2040,'Pre- and Post-Retrofit Energy'!$D$32,'Pre- and Post-Retrofit Energy'!$F$32))*'Emissions Factors'!$E$7+'Pre- and Post-Retrofit Energy'!$B$19*28))/1000</f>
        <v>1189.6509424481496</v>
      </c>
      <c r="V55" s="16">
        <f>(240*(('Pre- and Post-Retrofit Energy'!$D$31*INDEX('Emissions Factors'!$E$16:$E$46,MATCH('2030 and 2050 GHG Projections'!V53,'Emissions Factors'!$B$16:$B$46,0)))+(IF(V53&lt;2040,'Pre- and Post-Retrofit Energy'!$D$32,'Pre- and Post-Retrofit Energy'!$F$32))*'Emissions Factors'!$E$7+'Pre- and Post-Retrofit Energy'!$B$19*28))/1000</f>
        <v>1185.6282432361122</v>
      </c>
      <c r="W55" s="16">
        <f>(240*(('Pre- and Post-Retrofit Energy'!$D$31*INDEX('Emissions Factors'!$E$16:$E$46,MATCH('2030 and 2050 GHG Projections'!W53,'Emissions Factors'!$B$16:$B$46,0)))+(IF(W53&lt;2040,'Pre- and Post-Retrofit Energy'!$D$32,'Pre- and Post-Retrofit Energy'!$F$32))*'Emissions Factors'!$E$7+'Pre- and Post-Retrofit Energy'!$B$19*28))/1000</f>
        <v>1181.6055440240748</v>
      </c>
      <c r="X55" s="16">
        <f>(240*(('Pre- and Post-Retrofit Energy'!$D$31*INDEX('Emissions Factors'!$E$16:$E$46,MATCH('2030 and 2050 GHG Projections'!X53,'Emissions Factors'!$B$16:$B$46,0)))+(IF(X53&lt;2040,'Pre- and Post-Retrofit Energy'!$D$32,'Pre- and Post-Retrofit Energy'!$F$32))*'Emissions Factors'!$E$7+'Pre- and Post-Retrofit Energy'!$B$19*28))/1000</f>
        <v>1177.5828448120371</v>
      </c>
      <c r="Y55" s="16">
        <f>(240*(('Pre- and Post-Retrofit Energy'!$D$31*INDEX('Emissions Factors'!$E$16:$E$46,MATCH('2030 and 2050 GHG Projections'!Y53,'Emissions Factors'!$B$16:$B$46,0)))+(IF(Y53&lt;2040,'Pre- and Post-Retrofit Energy'!$D$32,'Pre- and Post-Retrofit Energy'!$F$32))*'Emissions Factors'!$E$7+'Pre- and Post-Retrofit Energy'!$B$19*28))/1000</f>
        <v>1173.5601455999997</v>
      </c>
    </row>
    <row r="56" spans="1:25" x14ac:dyDescent="0.25">
      <c r="B56" s="16"/>
      <c r="C56" s="16"/>
      <c r="D56" s="16"/>
      <c r="E56" s="16"/>
      <c r="F56" s="16"/>
      <c r="G56" s="16"/>
      <c r="H56" s="16"/>
      <c r="I56" s="16"/>
      <c r="J56" s="16"/>
      <c r="K56" s="16"/>
      <c r="L56" s="16"/>
      <c r="M56" s="16"/>
      <c r="N56" s="16"/>
      <c r="O56" s="16"/>
      <c r="P56" s="16"/>
      <c r="Q56" s="16"/>
      <c r="R56" s="16"/>
      <c r="S56" s="16"/>
      <c r="T56" s="16"/>
      <c r="U56" s="16"/>
      <c r="V56" s="16"/>
      <c r="W56" s="16"/>
      <c r="X56" s="16"/>
      <c r="Y56" s="16"/>
    </row>
    <row r="57" spans="1:25" x14ac:dyDescent="0.25">
      <c r="A57" s="2" t="s">
        <v>95</v>
      </c>
      <c r="B57" s="16"/>
      <c r="C57" s="16"/>
      <c r="D57" s="16"/>
      <c r="E57" s="16"/>
      <c r="F57" s="16"/>
      <c r="G57" s="16"/>
      <c r="H57" s="16"/>
      <c r="I57" s="16"/>
      <c r="J57" s="16"/>
      <c r="K57" s="16"/>
      <c r="L57" s="16"/>
      <c r="M57" s="16"/>
      <c r="N57" s="16"/>
      <c r="O57" s="16"/>
      <c r="P57" s="16"/>
      <c r="Q57" s="16"/>
      <c r="R57" s="16"/>
      <c r="S57" s="16"/>
      <c r="T57" s="16"/>
      <c r="U57" s="16"/>
      <c r="V57" s="16"/>
      <c r="W57" s="16"/>
      <c r="X57" s="16"/>
      <c r="Y57" s="16"/>
    </row>
    <row r="58" spans="1:25" x14ac:dyDescent="0.25">
      <c r="A58" t="s">
        <v>78</v>
      </c>
      <c r="B58" s="16">
        <f>(IFERROR(INDEX('Pre- and Post-Retrofit Energy'!$B$35:$B$48,MATCH('2030 and 2050 GHG Projections'!B$53,'Pre- and Post-Retrofit Energy'!$A$35:$A$48,0)),240)*'Pre- and Post-Retrofit Energy'!$E$31*INDEX('Emissions Factors'!$E$16:$E$46,MATCH(B$53,'Emissions Factors'!$B$16:$B$46,0)))/1000</f>
        <v>0</v>
      </c>
      <c r="C58" s="16">
        <f>(IFERROR(INDEX('Pre- and Post-Retrofit Energy'!$B$35:$B$48,MATCH('2030 and 2050 GHG Projections'!C$53,'Pre- and Post-Retrofit Energy'!$A$35:$A$48,0)),240)*'Pre- and Post-Retrofit Energy'!$E$31*INDEX('Emissions Factors'!$E$16:$E$46,MATCH(C$53,'Emissions Factors'!$B$16:$B$46,0)))/1000</f>
        <v>27.817057076729782</v>
      </c>
      <c r="D58" s="16">
        <f>(IFERROR(INDEX('Pre- and Post-Retrofit Energy'!$B$35:$B$48,MATCH('2030 and 2050 GHG Projections'!D$53,'Pre- and Post-Retrofit Energy'!$A$35:$A$48,0)),240)*'Pre- and Post-Retrofit Energy'!$E$31*INDEX('Emissions Factors'!$E$16:$E$46,MATCH(D$53,'Emissions Factors'!$B$16:$B$46,0)))/1000</f>
        <v>40.09385880333118</v>
      </c>
      <c r="E58" s="16">
        <f>(IFERROR(INDEX('Pre- and Post-Retrofit Energy'!$B$35:$B$48,MATCH('2030 and 2050 GHG Projections'!E$53,'Pre- and Post-Retrofit Energy'!$A$35:$A$48,0)),240)*'Pre- and Post-Retrofit Energy'!$E$31*INDEX('Emissions Factors'!$E$16:$E$46,MATCH(E$53,'Emissions Factors'!$B$16:$B$46,0)))/1000</f>
        <v>46.620766050385086</v>
      </c>
      <c r="F58" s="16">
        <f>(IFERROR(INDEX('Pre- and Post-Retrofit Energy'!$B$35:$B$48,MATCH('2030 and 2050 GHG Projections'!F$53,'Pre- and Post-Retrofit Energy'!$A$35:$A$48,0)),240)*'Pre- and Post-Retrofit Energy'!$E$31*INDEX('Emissions Factors'!$E$16:$E$46,MATCH(F$53,'Emissions Factors'!$B$16:$B$46,0)))/1000</f>
        <v>51.671349039176796</v>
      </c>
      <c r="G58" s="16">
        <f>(IFERROR(INDEX('Pre- and Post-Retrofit Energy'!$B$35:$B$48,MATCH('2030 and 2050 GHG Projections'!G$53,'Pre- and Post-Retrofit Energy'!$A$35:$A$48,0)),240)*'Pre- and Post-Retrofit Energy'!$E$31*INDEX('Emissions Factors'!$E$16:$E$46,MATCH(G$53,'Emissions Factors'!$B$16:$B$46,0)))/1000</f>
        <v>55.9449192604621</v>
      </c>
      <c r="H58" s="16">
        <f>(IFERROR(INDEX('Pre- and Post-Retrofit Energy'!$B$35:$B$48,MATCH('2030 and 2050 GHG Projections'!H$53,'Pre- and Post-Retrofit Energy'!$A$35:$A$48,0)),240)*'Pre- and Post-Retrofit Energy'!$E$31*INDEX('Emissions Factors'!$E$16:$E$46,MATCH(H$53,'Emissions Factors'!$B$16:$B$46,0)))/1000</f>
        <v>59.441476714240977</v>
      </c>
      <c r="I58" s="16">
        <f>(IFERROR(INDEX('Pre- and Post-Retrofit Energy'!$B$35:$B$48,MATCH('2030 and 2050 GHG Projections'!I$53,'Pre- and Post-Retrofit Energy'!$A$35:$A$48,0)),240)*'Pre- and Post-Retrofit Energy'!$E$31*INDEX('Emissions Factors'!$E$16:$E$46,MATCH(I$53,'Emissions Factors'!$B$16:$B$46,0)))/1000</f>
        <v>62.16102140051342</v>
      </c>
      <c r="J58" s="16">
        <f>(IFERROR(INDEX('Pre- and Post-Retrofit Energy'!$B$35:$B$48,MATCH('2030 and 2050 GHG Projections'!J$53,'Pre- and Post-Retrofit Energy'!$A$35:$A$48,0)),240)*'Pre- and Post-Retrofit Energy'!$E$31*INDEX('Emissions Factors'!$E$16:$E$46,MATCH(J$53,'Emissions Factors'!$B$16:$B$46,0)))/1000</f>
        <v>64.10355331927947</v>
      </c>
      <c r="K58" s="16">
        <f>(IFERROR(INDEX('Pre- and Post-Retrofit Energy'!$B$35:$B$48,MATCH('2030 and 2050 GHG Projections'!K$53,'Pre- and Post-Retrofit Energy'!$A$35:$A$48,0)),240)*'Pre- and Post-Retrofit Energy'!$E$31*INDEX('Emissions Factors'!$E$16:$E$46,MATCH(K$53,'Emissions Factors'!$B$16:$B$46,0)))/1000</f>
        <v>65.269072470539086</v>
      </c>
      <c r="L58" s="16">
        <f>(IFERROR(INDEX('Pre- and Post-Retrofit Energy'!$B$35:$B$48,MATCH('2030 and 2050 GHG Projections'!L$53,'Pre- and Post-Retrofit Energy'!$A$35:$A$48,0)),240)*'Pre- and Post-Retrofit Energy'!$E$31*INDEX('Emissions Factors'!$E$16:$E$46,MATCH(L$53,'Emissions Factors'!$B$16:$B$46,0)))/1000</f>
        <v>65.657578854292296</v>
      </c>
      <c r="M58" s="16">
        <f>(IFERROR(INDEX('Pre- and Post-Retrofit Energy'!$B$35:$B$48,MATCH('2030 and 2050 GHG Projections'!M$53,'Pre- and Post-Retrofit Energy'!$A$35:$A$48,0)),240)*'Pre- and Post-Retrofit Energy'!$E$31*INDEX('Emissions Factors'!$E$16:$E$46,MATCH(M$53,'Emissions Factors'!$B$16:$B$46,0)))/1000</f>
        <v>65.269072470539072</v>
      </c>
      <c r="N58" s="16">
        <f>(IFERROR(INDEX('Pre- and Post-Retrofit Energy'!$B$35:$B$48,MATCH('2030 and 2050 GHG Projections'!N$53,'Pre- and Post-Retrofit Energy'!$A$35:$A$48,0)),240)*'Pre- and Post-Retrofit Energy'!$E$31*INDEX('Emissions Factors'!$E$16:$E$46,MATCH(N$53,'Emissions Factors'!$B$16:$B$46,0)))/1000</f>
        <v>64.103553319279428</v>
      </c>
      <c r="O58" s="16">
        <f>(IFERROR(INDEX('Pre- and Post-Retrofit Energy'!$B$35:$B$48,MATCH('2030 and 2050 GHG Projections'!O$53,'Pre- and Post-Retrofit Energy'!$A$35:$A$48,0)),240)*'Pre- and Post-Retrofit Energy'!$E$31*INDEX('Emissions Factors'!$E$16:$E$46,MATCH(O$53,'Emissions Factors'!$B$16:$B$46,0)))/1000</f>
        <v>62.161021400513384</v>
      </c>
      <c r="P58" s="16">
        <f>(IFERROR(INDEX('Pre- and Post-Retrofit Energy'!$B$35:$B$48,MATCH('2030 and 2050 GHG Projections'!P$53,'Pre- and Post-Retrofit Energy'!$A$35:$A$48,0)),240)*'Pre- and Post-Retrofit Energy'!$E$31*INDEX('Emissions Factors'!$E$16:$E$46,MATCH(P$53,'Emissions Factors'!$B$16:$B$46,0)))/1000</f>
        <v>55.944919260462022</v>
      </c>
      <c r="Q58" s="16">
        <f>(IFERROR(INDEX('Pre- and Post-Retrofit Energy'!$B$35:$B$48,MATCH('2030 and 2050 GHG Projections'!Q$53,'Pre- and Post-Retrofit Energy'!$A$35:$A$48,0)),240)*'Pre- and Post-Retrofit Energy'!$E$31*INDEX('Emissions Factors'!$E$16:$E$46,MATCH(Q$53,'Emissions Factors'!$B$16:$B$46,0)))/1000</f>
        <v>49.728817120410682</v>
      </c>
      <c r="R58" s="16">
        <f>(IFERROR(INDEX('Pre- and Post-Retrofit Energy'!$B$35:$B$48,MATCH('2030 and 2050 GHG Projections'!R$53,'Pre- and Post-Retrofit Energy'!$A$35:$A$48,0)),240)*'Pre- and Post-Retrofit Energy'!$E$31*INDEX('Emissions Factors'!$E$16:$E$46,MATCH(R$53,'Emissions Factors'!$B$16:$B$46,0)))/1000</f>
        <v>43.512714980359327</v>
      </c>
      <c r="S58" s="16">
        <f>(IFERROR(INDEX('Pre- and Post-Retrofit Energy'!$B$35:$B$48,MATCH('2030 and 2050 GHG Projections'!S$53,'Pre- and Post-Retrofit Energy'!$A$35:$A$48,0)),240)*'Pre- and Post-Retrofit Energy'!$E$31*INDEX('Emissions Factors'!$E$16:$E$46,MATCH(S$53,'Emissions Factors'!$B$16:$B$46,0)))/1000</f>
        <v>37.296612840307972</v>
      </c>
      <c r="T58" s="16">
        <f>(IFERROR(INDEX('Pre- and Post-Retrofit Energy'!$B$35:$B$48,MATCH('2030 and 2050 GHG Projections'!T$53,'Pre- and Post-Retrofit Energy'!$A$35:$A$48,0)),240)*'Pre- and Post-Retrofit Energy'!$E$31*INDEX('Emissions Factors'!$E$16:$E$46,MATCH(T$53,'Emissions Factors'!$B$16:$B$46,0)))/1000</f>
        <v>31.080510700256621</v>
      </c>
      <c r="U58" s="16">
        <f>(IFERROR(INDEX('Pre- and Post-Retrofit Energy'!$B$35:$B$48,MATCH('2030 and 2050 GHG Projections'!U$53,'Pre- and Post-Retrofit Energy'!$A$35:$A$48,0)),240)*'Pre- and Post-Retrofit Energy'!$E$31*INDEX('Emissions Factors'!$E$16:$E$46,MATCH(U$53,'Emissions Factors'!$B$16:$B$46,0)))/1000</f>
        <v>24.864408560205266</v>
      </c>
      <c r="V58" s="16">
        <f>(IFERROR(INDEX('Pre- and Post-Retrofit Energy'!$B$35:$B$48,MATCH('2030 and 2050 GHG Projections'!V$53,'Pre- and Post-Retrofit Energy'!$A$35:$A$48,0)),240)*'Pre- and Post-Retrofit Energy'!$E$31*INDEX('Emissions Factors'!$E$16:$E$46,MATCH(V$53,'Emissions Factors'!$B$16:$B$46,0)))/1000</f>
        <v>18.648306420153919</v>
      </c>
      <c r="W58" s="16">
        <f>(IFERROR(INDEX('Pre- and Post-Retrofit Energy'!$B$35:$B$48,MATCH('2030 and 2050 GHG Projections'!W$53,'Pre- and Post-Retrofit Energy'!$A$35:$A$48,0)),240)*'Pre- and Post-Retrofit Energy'!$E$31*INDEX('Emissions Factors'!$E$16:$E$46,MATCH(W$53,'Emissions Factors'!$B$16:$B$46,0)))/1000</f>
        <v>12.432204280102566</v>
      </c>
      <c r="X58" s="16">
        <f>(IFERROR(INDEX('Pre- and Post-Retrofit Energy'!$B$35:$B$48,MATCH('2030 and 2050 GHG Projections'!X$53,'Pre- and Post-Retrofit Energy'!$A$35:$A$48,0)),240)*'Pre- and Post-Retrofit Energy'!$E$31*INDEX('Emissions Factors'!$E$16:$E$46,MATCH(X$53,'Emissions Factors'!$B$16:$B$46,0)))/1000</f>
        <v>6.2161021400512135</v>
      </c>
      <c r="Y58" s="16">
        <f>(IFERROR(INDEX('Pre- and Post-Retrofit Energy'!$B$35:$B$48,MATCH('2030 and 2050 GHG Projections'!Y$53,'Pre- and Post-Retrofit Energy'!$A$35:$A$48,0)),240)*'Pre- and Post-Retrofit Energy'!$E$31*INDEX('Emissions Factors'!$E$16:$E$46,MATCH(Y$53,'Emissions Factors'!$B$16:$B$46,0)))/1000</f>
        <v>0</v>
      </c>
    </row>
    <row r="59" spans="1:25" x14ac:dyDescent="0.25">
      <c r="A59" t="s">
        <v>79</v>
      </c>
      <c r="B59" s="16">
        <f>((240-IFERROR(INDEX('Pre- and Post-Retrofit Energy'!$B$35:$B$48,MATCH(B$53,'Pre- and Post-Retrofit Energy'!$A$35:$A$48,0)),240))*(('Pre- and Post-Retrofit Energy'!$D$31*INDEX('Emissions Factors'!$E$16:$E$46,MATCH('2030 and 2050 GHG Projections'!B53,'Emissions Factors'!$B$16:$B$46,0)))+(IF(B53&lt;2040,'Pre- and Post-Retrofit Energy'!$D$32,'Pre- and Post-Retrofit Energy'!$F$32))*'Emissions Factors'!$E$7+'Pre- and Post-Retrofit Energy'!$B$19*28))/1000</f>
        <v>1427.3819503353925</v>
      </c>
      <c r="C59" s="16">
        <f>((240-IFERROR(INDEX('Pre- and Post-Retrofit Energy'!$B$35:$B$48,MATCH(C$53,'Pre- and Post-Retrofit Energy'!$A$35:$A$48,0)),240))*(('Pre- and Post-Retrofit Energy'!$D$31*INDEX('Emissions Factors'!$E$16:$E$46,MATCH('2030 and 2050 GHG Projections'!C53,'Emissions Factors'!$B$16:$B$46,0)))+(IF(C53&lt;2040,'Pre- and Post-Retrofit Energy'!$D$32,'Pre- and Post-Retrofit Energy'!$F$32))*'Emissions Factors'!$E$7+'Pre- and Post-Retrofit Energy'!$B$19*28))/1000</f>
        <v>1206.7208648170745</v>
      </c>
      <c r="D59" s="16">
        <f>((240-IFERROR(INDEX('Pre- and Post-Retrofit Energy'!$B$35:$B$48,MATCH(D$53,'Pre- and Post-Retrofit Energy'!$A$35:$A$48,0)),240))*(('Pre- and Post-Retrofit Energy'!$D$31*INDEX('Emissions Factors'!$E$16:$E$46,MATCH('2030 and 2050 GHG Projections'!D53,'Emissions Factors'!$B$16:$B$46,0)))+(IF(D53&lt;2040,'Pre- and Post-Retrofit Energy'!$D$32,'Pre- and Post-Retrofit Energy'!$F$32))*'Emissions Factors'!$E$7+'Pre- and Post-Retrofit Energy'!$B$19*28))/1000</f>
        <v>1004.1619257529254</v>
      </c>
      <c r="E59" s="16">
        <f>((240-IFERROR(INDEX('Pre- and Post-Retrofit Energy'!$B$35:$B$48,MATCH(E$53,'Pre- and Post-Retrofit Energy'!$A$35:$A$48,0)),240))*(('Pre- and Post-Retrofit Energy'!$D$31*INDEX('Emissions Factors'!$E$16:$E$46,MATCH('2030 and 2050 GHG Projections'!E53,'Emissions Factors'!$B$16:$B$46,0)))+(IF(E53&lt;2040,'Pre- and Post-Retrofit Energy'!$D$32,'Pre- and Post-Retrofit Energy'!$F$32))*'Emissions Factors'!$E$7+'Pre- and Post-Retrofit Energy'!$B$19*28))/1000</f>
        <v>822.21932015046855</v>
      </c>
      <c r="F59" s="16">
        <f>((240-IFERROR(INDEX('Pre- and Post-Retrofit Energy'!$B$35:$B$48,MATCH(F$53,'Pre- and Post-Retrofit Energy'!$A$35:$A$48,0)),240))*(('Pre- and Post-Retrofit Energy'!$D$31*INDEX('Emissions Factors'!$E$16:$E$46,MATCH('2030 and 2050 GHG Projections'!F53,'Emissions Factors'!$B$16:$B$46,0)))+(IF(F53&lt;2040,'Pre- and Post-Retrofit Energy'!$D$32,'Pre- and Post-Retrofit Energy'!$F$32))*'Emissions Factors'!$E$7+'Pre- and Post-Retrofit Energy'!$B$19*28))/1000</f>
        <v>737.73461982865058</v>
      </c>
      <c r="G59" s="16">
        <f>((240-IFERROR(INDEX('Pre- and Post-Retrofit Energy'!$B$35:$B$48,MATCH(G$53,'Pre- and Post-Retrofit Energy'!$A$35:$A$48,0)),240))*(('Pre- and Post-Retrofit Energy'!$D$31*INDEX('Emissions Factors'!$E$16:$E$46,MATCH('2030 and 2050 GHG Projections'!G53,'Emissions Factors'!$B$16:$B$46,0)))+(IF(G53&lt;2040,'Pre- and Post-Retrofit Energy'!$D$32,'Pre- and Post-Retrofit Energy'!$F$32))*'Emissions Factors'!$E$7+'Pre- and Post-Retrofit Energy'!$B$19*28))/1000</f>
        <v>653.75275690833735</v>
      </c>
      <c r="H59" s="16">
        <f>((240-IFERROR(INDEX('Pre- and Post-Retrofit Energy'!$B$35:$B$48,MATCH(H$53,'Pre- and Post-Retrofit Energy'!$A$35:$A$48,0)),240))*(('Pre- and Post-Retrofit Energy'!$D$31*INDEX('Emissions Factors'!$E$16:$E$46,MATCH('2030 and 2050 GHG Projections'!H53,'Emissions Factors'!$B$16:$B$46,0)))+(IF(H53&lt;2040,'Pre- and Post-Retrofit Energy'!$D$32,'Pre- and Post-Retrofit Energy'!$F$32))*'Emissions Factors'!$E$7+'Pre- and Post-Retrofit Energy'!$B$19*28))/1000</f>
        <v>570.27373138952885</v>
      </c>
      <c r="I59" s="16">
        <f>((240-IFERROR(INDEX('Pre- and Post-Retrofit Energy'!$B$35:$B$48,MATCH(I$53,'Pre- and Post-Retrofit Energy'!$A$35:$A$48,0)),240))*(('Pre- and Post-Retrofit Energy'!$D$31*INDEX('Emissions Factors'!$E$16:$E$46,MATCH('2030 and 2050 GHG Projections'!I53,'Emissions Factors'!$B$16:$B$46,0)))+(IF(I53&lt;2040,'Pre- and Post-Retrofit Energy'!$D$32,'Pre- and Post-Retrofit Energy'!$F$32))*'Emissions Factors'!$E$7+'Pre- and Post-Retrofit Energy'!$B$19*28))/1000</f>
        <v>487.29754327222491</v>
      </c>
      <c r="J59" s="16">
        <f>((240-IFERROR(INDEX('Pre- and Post-Retrofit Energy'!$B$35:$B$48,MATCH(J$53,'Pre- and Post-Retrofit Energy'!$A$35:$A$48,0)),240))*(('Pre- and Post-Retrofit Energy'!$D$31*INDEX('Emissions Factors'!$E$16:$E$46,MATCH('2030 and 2050 GHG Projections'!J53,'Emissions Factors'!$B$16:$B$46,0)))+(IF(J53&lt;2040,'Pre- and Post-Retrofit Energy'!$D$32,'Pre- and Post-Retrofit Energy'!$F$32))*'Emissions Factors'!$E$7+'Pre- and Post-Retrofit Energy'!$B$19*28))/1000</f>
        <v>404.82419255642571</v>
      </c>
      <c r="K59" s="16">
        <f>((240-IFERROR(INDEX('Pre- and Post-Retrofit Energy'!$B$35:$B$48,MATCH(K$53,'Pre- and Post-Retrofit Energy'!$A$35:$A$48,0)),240))*(('Pre- and Post-Retrofit Energy'!$D$31*INDEX('Emissions Factors'!$E$16:$E$46,MATCH('2030 and 2050 GHG Projections'!K53,'Emissions Factors'!$B$16:$B$46,0)))+(IF(K53&lt;2040,'Pre- and Post-Retrofit Energy'!$D$32,'Pre- and Post-Retrofit Energy'!$F$32))*'Emissions Factors'!$E$7+'Pre- and Post-Retrofit Energy'!$B$19*28))/1000</f>
        <v>322.85367924213119</v>
      </c>
      <c r="L59" s="16">
        <f>((240-IFERROR(INDEX('Pre- and Post-Retrofit Energy'!$B$35:$B$48,MATCH(L$53,'Pre- and Post-Retrofit Energy'!$A$35:$A$48,0)),240))*(('Pre- and Post-Retrofit Energy'!$D$31*INDEX('Emissions Factors'!$E$16:$E$46,MATCH('2030 and 2050 GHG Projections'!L53,'Emissions Factors'!$B$16:$B$46,0)))+(IF(L53&lt;2040,'Pre- and Post-Retrofit Energy'!$D$32,'Pre- and Post-Retrofit Energy'!$F$32))*'Emissions Factors'!$E$7+'Pre- and Post-Retrofit Energy'!$B$19*28))/1000</f>
        <v>241.38600332934138</v>
      </c>
      <c r="M59" s="16">
        <f>((240-IFERROR(INDEX('Pre- and Post-Retrofit Energy'!$B$35:$B$48,MATCH(M$53,'Pre- and Post-Retrofit Energy'!$A$35:$A$48,0)),240))*(('Pre- and Post-Retrofit Energy'!$D$31*INDEX('Emissions Factors'!$E$16:$E$46,MATCH('2030 and 2050 GHG Projections'!M53,'Emissions Factors'!$B$16:$B$46,0)))+(IF(M53&lt;2040,'Pre- and Post-Retrofit Energy'!$D$32,'Pre- and Post-Retrofit Energy'!$F$32))*'Emissions Factors'!$E$7+'Pre- and Post-Retrofit Energy'!$B$19*28))/1000</f>
        <v>160.42116481805621</v>
      </c>
      <c r="N59" s="16">
        <f>((240-IFERROR(INDEX('Pre- and Post-Retrofit Energy'!$B$35:$B$48,MATCH(N$53,'Pre- and Post-Retrofit Energy'!$A$35:$A$48,0)),240))*(('Pre- and Post-Retrofit Energy'!$D$31*INDEX('Emissions Factors'!$E$16:$E$46,MATCH('2030 and 2050 GHG Projections'!N53,'Emissions Factors'!$B$16:$B$46,0)))+(IF(N53&lt;2040,'Pre- and Post-Retrofit Energy'!$D$32,'Pre- and Post-Retrofit Energy'!$F$32))*'Emissions Factors'!$E$7+'Pre- and Post-Retrofit Energy'!$B$19*28))/1000</f>
        <v>79.959163708275767</v>
      </c>
      <c r="O59" s="16">
        <f>((240-IFERROR(INDEX('Pre- and Post-Retrofit Energy'!$B$35:$B$48,MATCH(O$53,'Pre- and Post-Retrofit Energy'!$A$35:$A$48,0)),240))*(('Pre- and Post-Retrofit Energy'!$D$31*INDEX('Emissions Factors'!$E$16:$E$46,MATCH('2030 and 2050 GHG Projections'!O53,'Emissions Factors'!$B$16:$B$46,0)))+(IF(O53&lt;2040,'Pre- and Post-Retrofit Energy'!$D$32,'Pre- and Post-Retrofit Energy'!$F$32))*'Emissions Factors'!$E$7+'Pre- and Post-Retrofit Energy'!$B$19*28))/1000</f>
        <v>0</v>
      </c>
      <c r="P59" s="16">
        <f>((240-IFERROR(INDEX('Pre- and Post-Retrofit Energy'!$B$35:$B$48,MATCH(P$53,'Pre- and Post-Retrofit Energy'!$A$35:$A$48,0)),240))*(('Pre- and Post-Retrofit Energy'!$D$31*INDEX('Emissions Factors'!$E$16:$E$46,MATCH('2030 and 2050 GHG Projections'!P53,'Emissions Factors'!$B$16:$B$46,0)))+(IF(P53&lt;2040,'Pre- and Post-Retrofit Energy'!$D$32,'Pre- and Post-Retrofit Energy'!$F$32))*'Emissions Factors'!$E$7+'Pre- and Post-Retrofit Energy'!$B$19*28))/1000</f>
        <v>0</v>
      </c>
      <c r="Q59" s="16">
        <f>((240-IFERROR(INDEX('Pre- and Post-Retrofit Energy'!$B$35:$B$48,MATCH(Q$53,'Pre- and Post-Retrofit Energy'!$A$35:$A$48,0)),240))*(('Pre- and Post-Retrofit Energy'!$D$31*INDEX('Emissions Factors'!$E$16:$E$46,MATCH('2030 and 2050 GHG Projections'!Q53,'Emissions Factors'!$B$16:$B$46,0)))+(IF(Q53&lt;2040,'Pre- and Post-Retrofit Energy'!$D$32,'Pre- and Post-Retrofit Energy'!$F$32))*'Emissions Factors'!$E$7+'Pre- and Post-Retrofit Energy'!$B$19*28))/1000</f>
        <v>0</v>
      </c>
      <c r="R59" s="16">
        <f>((240-IFERROR(INDEX('Pre- and Post-Retrofit Energy'!$B$35:$B$48,MATCH(R$53,'Pre- and Post-Retrofit Energy'!$A$35:$A$48,0)),240))*(('Pre- and Post-Retrofit Energy'!$D$31*INDEX('Emissions Factors'!$E$16:$E$46,MATCH('2030 and 2050 GHG Projections'!R53,'Emissions Factors'!$B$16:$B$46,0)))+(IF(R53&lt;2040,'Pre- and Post-Retrofit Energy'!$D$32,'Pre- and Post-Retrofit Energy'!$F$32))*'Emissions Factors'!$E$7+'Pre- and Post-Retrofit Energy'!$B$19*28))/1000</f>
        <v>0</v>
      </c>
      <c r="S59" s="16">
        <f>((240-IFERROR(INDEX('Pre- and Post-Retrofit Energy'!$B$35:$B$48,MATCH(S$53,'Pre- and Post-Retrofit Energy'!$A$35:$A$48,0)),240))*(('Pre- and Post-Retrofit Energy'!$D$31*INDEX('Emissions Factors'!$E$16:$E$46,MATCH('2030 and 2050 GHG Projections'!S53,'Emissions Factors'!$B$16:$B$46,0)))+(IF(S53&lt;2040,'Pre- and Post-Retrofit Energy'!$D$32,'Pre- and Post-Retrofit Energy'!$F$32))*'Emissions Factors'!$E$7+'Pre- and Post-Retrofit Energy'!$B$19*28))/1000</f>
        <v>0</v>
      </c>
      <c r="T59" s="16">
        <f>((240-IFERROR(INDEX('Pre- and Post-Retrofit Energy'!$B$35:$B$48,MATCH(T$53,'Pre- and Post-Retrofit Energy'!$A$35:$A$48,0)),240))*(('Pre- and Post-Retrofit Energy'!$D$31*INDEX('Emissions Factors'!$E$16:$E$46,MATCH('2030 and 2050 GHG Projections'!T53,'Emissions Factors'!$B$16:$B$46,0)))+(IF(T53&lt;2040,'Pre- and Post-Retrofit Energy'!$D$32,'Pre- and Post-Retrofit Energy'!$F$32))*'Emissions Factors'!$E$7+'Pre- and Post-Retrofit Energy'!$B$19*28))/1000</f>
        <v>0</v>
      </c>
      <c r="U59" s="16">
        <f>((240-IFERROR(INDEX('Pre- and Post-Retrofit Energy'!$B$35:$B$48,MATCH(U$53,'Pre- and Post-Retrofit Energy'!$A$35:$A$48,0)),240))*(('Pre- and Post-Retrofit Energy'!$D$31*INDEX('Emissions Factors'!$E$16:$E$46,MATCH('2030 and 2050 GHG Projections'!U53,'Emissions Factors'!$B$16:$B$46,0)))+(IF(U53&lt;2040,'Pre- and Post-Retrofit Energy'!$D$32,'Pre- and Post-Retrofit Energy'!$F$32))*'Emissions Factors'!$E$7+'Pre- and Post-Retrofit Energy'!$B$19*28))/1000</f>
        <v>0</v>
      </c>
      <c r="V59" s="16">
        <f>((240-IFERROR(INDEX('Pre- and Post-Retrofit Energy'!$B$35:$B$48,MATCH(V$53,'Pre- and Post-Retrofit Energy'!$A$35:$A$48,0)),240))*(('Pre- and Post-Retrofit Energy'!$D$31*INDEX('Emissions Factors'!$E$16:$E$46,MATCH('2030 and 2050 GHG Projections'!V53,'Emissions Factors'!$B$16:$B$46,0)))+(IF(V53&lt;2040,'Pre- and Post-Retrofit Energy'!$D$32,'Pre- and Post-Retrofit Energy'!$F$32))*'Emissions Factors'!$E$7+'Pre- and Post-Retrofit Energy'!$B$19*28))/1000</f>
        <v>0</v>
      </c>
      <c r="W59" s="16">
        <f>((240-IFERROR(INDEX('Pre- and Post-Retrofit Energy'!$B$35:$B$48,MATCH(W$53,'Pre- and Post-Retrofit Energy'!$A$35:$A$48,0)),240))*(('Pre- and Post-Retrofit Energy'!$D$31*INDEX('Emissions Factors'!$E$16:$E$46,MATCH('2030 and 2050 GHG Projections'!W53,'Emissions Factors'!$B$16:$B$46,0)))+(IF(W53&lt;2040,'Pre- and Post-Retrofit Energy'!$D$32,'Pre- and Post-Retrofit Energy'!$F$32))*'Emissions Factors'!$E$7+'Pre- and Post-Retrofit Energy'!$B$19*28))/1000</f>
        <v>0</v>
      </c>
      <c r="X59" s="16">
        <f>((240-IFERROR(INDEX('Pre- and Post-Retrofit Energy'!$B$35:$B$48,MATCH(X$53,'Pre- and Post-Retrofit Energy'!$A$35:$A$48,0)),240))*(('Pre- and Post-Retrofit Energy'!$D$31*INDEX('Emissions Factors'!$E$16:$E$46,MATCH('2030 and 2050 GHG Projections'!X53,'Emissions Factors'!$B$16:$B$46,0)))+(IF(X53&lt;2040,'Pre- and Post-Retrofit Energy'!$D$32,'Pre- and Post-Retrofit Energy'!$F$32))*'Emissions Factors'!$E$7+'Pre- and Post-Retrofit Energy'!$B$19*28))/1000</f>
        <v>0</v>
      </c>
      <c r="Y59" s="16">
        <f>((240-IFERROR(INDEX('Pre- and Post-Retrofit Energy'!$B$35:$B$48,MATCH(Y$53,'Pre- and Post-Retrofit Energy'!$A$35:$A$48,0)),240))*(('Pre- and Post-Retrofit Energy'!$D$31*INDEX('Emissions Factors'!$E$16:$E$46,MATCH('2030 and 2050 GHG Projections'!Y53,'Emissions Factors'!$B$16:$B$46,0)))+(IF(Y53&lt;2040,'Pre- and Post-Retrofit Energy'!$D$32,'Pre- and Post-Retrofit Energy'!$F$32))*'Emissions Factors'!$E$7+'Pre- and Post-Retrofit Energy'!$B$19*28))/1000</f>
        <v>0</v>
      </c>
    </row>
    <row r="60" spans="1:25" x14ac:dyDescent="0.25">
      <c r="A60" t="s">
        <v>80</v>
      </c>
      <c r="B60" s="16">
        <f>SUM(B58:B59)</f>
        <v>1427.3819503353925</v>
      </c>
      <c r="C60" s="16">
        <f t="shared" ref="C60:Y60" si="31">SUM(C58:C59)</f>
        <v>1234.5379218938042</v>
      </c>
      <c r="D60" s="16">
        <f t="shared" si="31"/>
        <v>1044.2557845562567</v>
      </c>
      <c r="E60" s="16">
        <f t="shared" si="31"/>
        <v>868.84008620085365</v>
      </c>
      <c r="F60" s="16">
        <f t="shared" si="31"/>
        <v>789.40596886782737</v>
      </c>
      <c r="G60" s="16">
        <f t="shared" si="31"/>
        <v>709.69767616879949</v>
      </c>
      <c r="H60" s="16">
        <f t="shared" si="31"/>
        <v>629.71520810376978</v>
      </c>
      <c r="I60" s="16">
        <f t="shared" si="31"/>
        <v>549.45856467273836</v>
      </c>
      <c r="J60" s="16">
        <f t="shared" si="31"/>
        <v>468.92774587570517</v>
      </c>
      <c r="K60" s="16">
        <f t="shared" si="31"/>
        <v>388.12275171267027</v>
      </c>
      <c r="L60" s="16">
        <f t="shared" si="31"/>
        <v>307.0435821836337</v>
      </c>
      <c r="M60" s="16">
        <f t="shared" si="31"/>
        <v>225.69023728859528</v>
      </c>
      <c r="N60" s="16">
        <f t="shared" si="31"/>
        <v>144.06271702755521</v>
      </c>
      <c r="O60" s="16">
        <f t="shared" si="31"/>
        <v>62.161021400513384</v>
      </c>
      <c r="P60" s="16">
        <f t="shared" si="31"/>
        <v>55.944919260462022</v>
      </c>
      <c r="Q60" s="16">
        <f t="shared" si="31"/>
        <v>49.728817120410682</v>
      </c>
      <c r="R60" s="16">
        <f t="shared" si="31"/>
        <v>43.512714980359327</v>
      </c>
      <c r="S60" s="16">
        <f t="shared" si="31"/>
        <v>37.296612840307972</v>
      </c>
      <c r="T60" s="16">
        <f t="shared" si="31"/>
        <v>31.080510700256621</v>
      </c>
      <c r="U60" s="16">
        <f t="shared" si="31"/>
        <v>24.864408560205266</v>
      </c>
      <c r="V60" s="16">
        <f t="shared" si="31"/>
        <v>18.648306420153919</v>
      </c>
      <c r="W60" s="16">
        <f t="shared" si="31"/>
        <v>12.432204280102566</v>
      </c>
      <c r="X60" s="16">
        <f t="shared" si="31"/>
        <v>6.2161021400512135</v>
      </c>
      <c r="Y60" s="16">
        <f t="shared" si="31"/>
        <v>0</v>
      </c>
    </row>
    <row r="61" spans="1:25" x14ac:dyDescent="0.25">
      <c r="B61" s="16"/>
      <c r="C61" s="16"/>
      <c r="D61" s="16"/>
      <c r="E61" s="16"/>
      <c r="F61" s="16"/>
      <c r="G61" s="16"/>
      <c r="H61" s="16"/>
      <c r="I61" s="16"/>
      <c r="J61" s="16"/>
      <c r="K61" s="16"/>
      <c r="L61" s="16"/>
      <c r="M61" s="16"/>
      <c r="N61" s="16"/>
      <c r="O61" s="16"/>
      <c r="P61" s="16"/>
      <c r="Q61" s="16"/>
      <c r="R61" s="16"/>
      <c r="S61" s="16"/>
      <c r="T61" s="16"/>
      <c r="U61" s="16"/>
      <c r="V61" s="16"/>
      <c r="W61" s="16"/>
      <c r="X61" s="16"/>
      <c r="Y61" s="16"/>
    </row>
    <row r="62" spans="1:25" x14ac:dyDescent="0.25">
      <c r="A62" s="2" t="s">
        <v>94</v>
      </c>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x14ac:dyDescent="0.25">
      <c r="A63" t="s">
        <v>18</v>
      </c>
      <c r="B63" s="16">
        <f>B55-B60</f>
        <v>0</v>
      </c>
      <c r="C63" s="16">
        <f t="shared" ref="C63:Y63" si="32">C55-C60</f>
        <v>144.57163789713786</v>
      </c>
      <c r="D63" s="16">
        <f t="shared" si="32"/>
        <v>294.62678311431046</v>
      </c>
      <c r="E63" s="16">
        <f t="shared" si="32"/>
        <v>446.71082603989612</v>
      </c>
      <c r="F63" s="16">
        <f t="shared" si="32"/>
        <v>522.12224416088475</v>
      </c>
      <c r="G63" s="16">
        <f t="shared" si="32"/>
        <v>597.8078376478752</v>
      </c>
      <c r="H63" s="16">
        <f t="shared" si="32"/>
        <v>673.76760650086749</v>
      </c>
      <c r="I63" s="16">
        <f t="shared" si="32"/>
        <v>750.00155071986126</v>
      </c>
      <c r="J63" s="16">
        <f t="shared" si="32"/>
        <v>826.50967030485708</v>
      </c>
      <c r="K63" s="16">
        <f t="shared" si="32"/>
        <v>903.29196525585451</v>
      </c>
      <c r="L63" s="16">
        <f t="shared" si="32"/>
        <v>980.34843557285365</v>
      </c>
      <c r="M63" s="16">
        <f t="shared" si="32"/>
        <v>1057.6790812558545</v>
      </c>
      <c r="N63" s="16">
        <f t="shared" si="32"/>
        <v>1135.2839023048571</v>
      </c>
      <c r="O63" s="16">
        <f t="shared" si="32"/>
        <v>1151.6261163198612</v>
      </c>
      <c r="P63" s="16">
        <f t="shared" si="32"/>
        <v>1153.819519247875</v>
      </c>
      <c r="Q63" s="16">
        <f t="shared" si="32"/>
        <v>1156.0129221758887</v>
      </c>
      <c r="R63" s="16">
        <f t="shared" si="32"/>
        <v>1158.2063251039026</v>
      </c>
      <c r="S63" s="16">
        <f t="shared" si="32"/>
        <v>1160.3997280319165</v>
      </c>
      <c r="T63" s="16">
        <f t="shared" si="32"/>
        <v>1162.5931309599305</v>
      </c>
      <c r="U63" s="16">
        <f t="shared" si="32"/>
        <v>1164.7865338879444</v>
      </c>
      <c r="V63" s="16">
        <f t="shared" si="32"/>
        <v>1166.9799368159584</v>
      </c>
      <c r="W63" s="16">
        <f t="shared" si="32"/>
        <v>1169.1733397439723</v>
      </c>
      <c r="X63" s="16">
        <f t="shared" si="32"/>
        <v>1171.366742671986</v>
      </c>
      <c r="Y63" s="16">
        <f t="shared" si="32"/>
        <v>1173.5601455999997</v>
      </c>
    </row>
    <row r="64" spans="1:25" x14ac:dyDescent="0.25">
      <c r="A64" s="2" t="s">
        <v>101</v>
      </c>
      <c r="B64" s="16">
        <f>B63*$B$71</f>
        <v>0</v>
      </c>
      <c r="C64" s="16">
        <f t="shared" ref="C64:Y64" si="33">C63*$B$71</f>
        <v>28.914327579427574</v>
      </c>
      <c r="D64" s="16">
        <f t="shared" si="33"/>
        <v>58.925356622862097</v>
      </c>
      <c r="E64" s="16">
        <f t="shared" si="33"/>
        <v>89.342165207979235</v>
      </c>
      <c r="F64" s="16">
        <f t="shared" si="33"/>
        <v>104.42444883217695</v>
      </c>
      <c r="G64" s="16">
        <f t="shared" si="33"/>
        <v>119.56156752957504</v>
      </c>
      <c r="H64" s="16">
        <f t="shared" si="33"/>
        <v>134.7535213001735</v>
      </c>
      <c r="I64" s="16">
        <f t="shared" si="33"/>
        <v>150.00031014397226</v>
      </c>
      <c r="J64" s="16">
        <f t="shared" si="33"/>
        <v>165.30193406097143</v>
      </c>
      <c r="K64" s="16">
        <f t="shared" si="33"/>
        <v>180.65839305117092</v>
      </c>
      <c r="L64" s="16">
        <f t="shared" si="33"/>
        <v>196.06968711457074</v>
      </c>
      <c r="M64" s="16">
        <f t="shared" si="33"/>
        <v>211.5358162511709</v>
      </c>
      <c r="N64" s="16">
        <f t="shared" si="33"/>
        <v>227.05678046097142</v>
      </c>
      <c r="O64" s="16">
        <f t="shared" si="33"/>
        <v>230.32522326397225</v>
      </c>
      <c r="P64" s="16">
        <f t="shared" si="33"/>
        <v>230.763903849575</v>
      </c>
      <c r="Q64" s="16">
        <f t="shared" si="33"/>
        <v>231.20258443517776</v>
      </c>
      <c r="R64" s="16">
        <f t="shared" si="33"/>
        <v>231.64126502078054</v>
      </c>
      <c r="S64" s="16">
        <f t="shared" si="33"/>
        <v>232.07994560638332</v>
      </c>
      <c r="T64" s="16">
        <f t="shared" si="33"/>
        <v>232.5186261919861</v>
      </c>
      <c r="U64" s="16">
        <f t="shared" si="33"/>
        <v>232.95730677758888</v>
      </c>
      <c r="V64" s="16">
        <f t="shared" si="33"/>
        <v>233.39598736319169</v>
      </c>
      <c r="W64" s="16">
        <f t="shared" si="33"/>
        <v>233.83466794879448</v>
      </c>
      <c r="X64" s="16">
        <f t="shared" si="33"/>
        <v>234.2733485343972</v>
      </c>
      <c r="Y64" s="16">
        <f t="shared" si="33"/>
        <v>234.71202911999995</v>
      </c>
    </row>
    <row r="66" spans="1:2" x14ac:dyDescent="0.25">
      <c r="A66" s="2" t="s">
        <v>61</v>
      </c>
      <c r="B66" s="16">
        <f>SUM(B63:E63)</f>
        <v>885.90924705134444</v>
      </c>
    </row>
    <row r="67" spans="1:2" x14ac:dyDescent="0.25">
      <c r="A67" s="2" t="s">
        <v>62</v>
      </c>
      <c r="B67" s="16">
        <f>SUM(B63:Y63)</f>
        <v>21121.245981334345</v>
      </c>
    </row>
    <row r="69" spans="1:2" x14ac:dyDescent="0.25">
      <c r="A69" s="2" t="s">
        <v>81</v>
      </c>
      <c r="B69" s="6">
        <v>2354132</v>
      </c>
    </row>
    <row r="70" spans="1:2" x14ac:dyDescent="0.25">
      <c r="A70" s="2" t="s">
        <v>82</v>
      </c>
      <c r="B70" s="6">
        <v>0</v>
      </c>
    </row>
    <row r="71" spans="1:2" x14ac:dyDescent="0.25">
      <c r="A71" s="2" t="s">
        <v>83</v>
      </c>
      <c r="B71" s="19">
        <v>0.2</v>
      </c>
    </row>
    <row r="73" spans="1:2" x14ac:dyDescent="0.25">
      <c r="A73" s="2" t="s">
        <v>69</v>
      </c>
      <c r="B73" s="18">
        <f>$B$71*B66</f>
        <v>177.18184941026891</v>
      </c>
    </row>
    <row r="74" spans="1:2" x14ac:dyDescent="0.25">
      <c r="A74" s="2" t="s">
        <v>90</v>
      </c>
      <c r="B74" s="18">
        <f>$B$71*B67</f>
        <v>4224.2491962668691</v>
      </c>
    </row>
    <row r="76" spans="1:2" x14ac:dyDescent="0.25">
      <c r="A76" s="2" t="s">
        <v>58</v>
      </c>
      <c r="B76" s="7">
        <f>$B$69/B73</f>
        <v>13286.530239048074</v>
      </c>
    </row>
    <row r="77" spans="1:2" x14ac:dyDescent="0.25">
      <c r="A77" s="2" t="s">
        <v>59</v>
      </c>
      <c r="B77" s="7">
        <f>$B$69/B74</f>
        <v>557.29003915783107</v>
      </c>
    </row>
    <row r="80" spans="1:2" ht="24" x14ac:dyDescent="0.4">
      <c r="A80" s="31" t="s">
        <v>72</v>
      </c>
    </row>
    <row r="81" spans="1:25" x14ac:dyDescent="0.25">
      <c r="B81" s="2">
        <v>2027</v>
      </c>
      <c r="C81" s="2">
        <v>2028</v>
      </c>
      <c r="D81" s="2">
        <v>2029</v>
      </c>
      <c r="E81" s="2">
        <v>2030</v>
      </c>
      <c r="F81" s="2">
        <v>2031</v>
      </c>
      <c r="G81" s="2">
        <v>2032</v>
      </c>
      <c r="H81" s="2">
        <v>2033</v>
      </c>
      <c r="I81" s="2">
        <v>2034</v>
      </c>
      <c r="J81" s="2">
        <v>2035</v>
      </c>
      <c r="K81" s="2">
        <v>2036</v>
      </c>
      <c r="L81" s="2">
        <v>2037</v>
      </c>
      <c r="M81" s="2">
        <v>2038</v>
      </c>
      <c r="N81" s="2">
        <v>2039</v>
      </c>
      <c r="O81" s="2">
        <v>2040</v>
      </c>
      <c r="P81" s="2">
        <v>2041</v>
      </c>
      <c r="Q81" s="2">
        <v>2042</v>
      </c>
      <c r="R81" s="2">
        <v>2043</v>
      </c>
      <c r="S81" s="2">
        <v>2044</v>
      </c>
      <c r="T81" s="2">
        <v>2045</v>
      </c>
      <c r="U81" s="2">
        <v>2046</v>
      </c>
      <c r="V81" s="2">
        <v>2047</v>
      </c>
      <c r="W81" s="2">
        <v>2048</v>
      </c>
      <c r="X81" s="2">
        <v>2049</v>
      </c>
      <c r="Y81" s="2">
        <v>2050</v>
      </c>
    </row>
    <row r="82" spans="1:25" x14ac:dyDescent="0.25">
      <c r="A82" s="2" t="s">
        <v>57</v>
      </c>
    </row>
    <row r="83" spans="1:25" x14ac:dyDescent="0.25">
      <c r="A83" t="s">
        <v>84</v>
      </c>
      <c r="B83" s="16">
        <f>(600*(('Pre- and Post-Retrofit Energy'!$D$31*INDEX('Emissions Factors'!$E$16:$E$46,MATCH('2030 and 2050 GHG Projections'!B81,'Emissions Factors'!$B$16:$B$46,0)))+(IF(B81&lt;2040,'Pre- and Post-Retrofit Energy'!$D$32,'Pre- and Post-Retrofit Energy'!$F$32))*'Emissions Factors'!$E$7+'Pre- and Post-Retrofit Energy'!$B$19*28))/1000</f>
        <v>3568.4548758384808</v>
      </c>
      <c r="C83" s="16">
        <f>(600*(('Pre- and Post-Retrofit Energy'!$D$31*INDEX('Emissions Factors'!$E$16:$E$46,MATCH('2030 and 2050 GHG Projections'!C81,'Emissions Factors'!$B$16:$B$46,0)))+(IF(C81&lt;2040,'Pre- and Post-Retrofit Energy'!$D$32,'Pre- and Post-Retrofit Energy'!$F$32))*'Emissions Factors'!$E$7+'Pre- and Post-Retrofit Energy'!$B$19*28))/1000</f>
        <v>3447.7738994773558</v>
      </c>
      <c r="D83" s="16">
        <f>(600*(('Pre- and Post-Retrofit Energy'!$D$31*INDEX('Emissions Factors'!$E$16:$E$46,MATCH('2030 and 2050 GHG Projections'!D81,'Emissions Factors'!$B$16:$B$46,0)))+(IF(D81&lt;2040,'Pre- and Post-Retrofit Energy'!$D$32,'Pre- and Post-Retrofit Energy'!$F$32))*'Emissions Factors'!$E$7+'Pre- and Post-Retrofit Energy'!$B$19*28))/1000</f>
        <v>3347.206419176418</v>
      </c>
      <c r="E83" s="16">
        <f>(600*(('Pre- and Post-Retrofit Energy'!$D$31*INDEX('Emissions Factors'!$E$16:$E$46,MATCH('2030 and 2050 GHG Projections'!E81,'Emissions Factors'!$B$16:$B$46,0)))+(IF(E81&lt;2040,'Pre- and Post-Retrofit Energy'!$D$32,'Pre- and Post-Retrofit Energy'!$F$32))*'Emissions Factors'!$E$7+'Pre- and Post-Retrofit Energy'!$B$19*28))/1000</f>
        <v>3288.8772806018742</v>
      </c>
      <c r="F83" s="16">
        <f>(600*(('Pre- and Post-Retrofit Energy'!$D$31*INDEX('Emissions Factors'!$E$16:$E$46,MATCH('2030 and 2050 GHG Projections'!F81,'Emissions Factors'!$B$16:$B$46,0)))+(IF(F81&lt;2040,'Pre- and Post-Retrofit Energy'!$D$32,'Pre- and Post-Retrofit Energy'!$F$32))*'Emissions Factors'!$E$7+'Pre- and Post-Retrofit Energy'!$B$19*28))/1000</f>
        <v>3278.8205325717804</v>
      </c>
      <c r="G83" s="16">
        <f>(600*(('Pre- and Post-Retrofit Energy'!$D$31*INDEX('Emissions Factors'!$E$16:$E$46,MATCH('2030 and 2050 GHG Projections'!G81,'Emissions Factors'!$B$16:$B$46,0)))+(IF(G81&lt;2040,'Pre- and Post-Retrofit Energy'!$D$32,'Pre- and Post-Retrofit Energy'!$F$32))*'Emissions Factors'!$E$7+'Pre- and Post-Retrofit Energy'!$B$19*28))/1000</f>
        <v>3268.7637845416871</v>
      </c>
      <c r="H83" s="16">
        <f>(600*(('Pre- and Post-Retrofit Energy'!$D$31*INDEX('Emissions Factors'!$E$16:$E$46,MATCH('2030 and 2050 GHG Projections'!H81,'Emissions Factors'!$B$16:$B$46,0)))+(IF(H81&lt;2040,'Pre- and Post-Retrofit Energy'!$D$32,'Pre- and Post-Retrofit Energy'!$F$32))*'Emissions Factors'!$E$7+'Pre- and Post-Retrofit Energy'!$B$19*28))/1000</f>
        <v>3258.7070365115928</v>
      </c>
      <c r="I83" s="16">
        <f>(600*(('Pre- and Post-Retrofit Energy'!$D$31*INDEX('Emissions Factors'!$E$16:$E$46,MATCH('2030 and 2050 GHG Projections'!I81,'Emissions Factors'!$B$16:$B$46,0)))+(IF(I81&lt;2040,'Pre- and Post-Retrofit Energy'!$D$32,'Pre- and Post-Retrofit Energy'!$F$32))*'Emissions Factors'!$E$7+'Pre- and Post-Retrofit Energy'!$B$19*28))/1000</f>
        <v>3248.6502884814995</v>
      </c>
      <c r="J83" s="16">
        <f>(600*(('Pre- and Post-Retrofit Energy'!$D$31*INDEX('Emissions Factors'!$E$16:$E$46,MATCH('2030 and 2050 GHG Projections'!J81,'Emissions Factors'!$B$16:$B$46,0)))+(IF(J81&lt;2040,'Pre- and Post-Retrofit Energy'!$D$32,'Pre- and Post-Retrofit Energy'!$F$32))*'Emissions Factors'!$E$7+'Pre- and Post-Retrofit Energy'!$B$19*28))/1000</f>
        <v>3238.5935404514057</v>
      </c>
      <c r="K83" s="16">
        <f>(600*(('Pre- and Post-Retrofit Energy'!$D$31*INDEX('Emissions Factors'!$E$16:$E$46,MATCH('2030 and 2050 GHG Projections'!K81,'Emissions Factors'!$B$16:$B$46,0)))+(IF(K81&lt;2040,'Pre- and Post-Retrofit Energy'!$D$32,'Pre- and Post-Retrofit Energy'!$F$32))*'Emissions Factors'!$E$7+'Pre- and Post-Retrofit Energy'!$B$19*28))/1000</f>
        <v>3228.5367924213119</v>
      </c>
      <c r="L83" s="16">
        <f>(600*(('Pre- and Post-Retrofit Energy'!$D$31*INDEX('Emissions Factors'!$E$16:$E$46,MATCH('2030 and 2050 GHG Projections'!L81,'Emissions Factors'!$B$16:$B$46,0)))+(IF(L81&lt;2040,'Pre- and Post-Retrofit Energy'!$D$32,'Pre- and Post-Retrofit Energy'!$F$32))*'Emissions Factors'!$E$7+'Pre- and Post-Retrofit Energy'!$B$19*28))/1000</f>
        <v>3218.4800443912181</v>
      </c>
      <c r="M83" s="16">
        <f>(600*(('Pre- and Post-Retrofit Energy'!$D$31*INDEX('Emissions Factors'!$E$16:$E$46,MATCH('2030 and 2050 GHG Projections'!M81,'Emissions Factors'!$B$16:$B$46,0)))+(IF(M81&lt;2040,'Pre- and Post-Retrofit Energy'!$D$32,'Pre- and Post-Retrofit Energy'!$F$32))*'Emissions Factors'!$E$7+'Pre- and Post-Retrofit Energy'!$B$19*28))/1000</f>
        <v>3208.4232963611248</v>
      </c>
      <c r="N83" s="16">
        <f>(600*(('Pre- and Post-Retrofit Energy'!$D$31*INDEX('Emissions Factors'!$E$16:$E$46,MATCH('2030 and 2050 GHG Projections'!N81,'Emissions Factors'!$B$16:$B$46,0)))+(IF(N81&lt;2040,'Pre- and Post-Retrofit Energy'!$D$32,'Pre- and Post-Retrofit Energy'!$F$32))*'Emissions Factors'!$E$7+'Pre- and Post-Retrofit Energy'!$B$19*28))/1000</f>
        <v>3198.366548331031</v>
      </c>
      <c r="O83" s="16">
        <f>(600*(('Pre- and Post-Retrofit Energy'!$D$31*INDEX('Emissions Factors'!$E$16:$E$46,MATCH('2030 and 2050 GHG Projections'!O81,'Emissions Factors'!$B$16:$B$46,0)))+(IF(O81&lt;2040,'Pre- and Post-Retrofit Energy'!$D$32,'Pre- and Post-Retrofit Energy'!$F$32))*'Emissions Factors'!$E$7+'Pre- and Post-Retrofit Energy'!$B$19*28))/1000</f>
        <v>3034.4678443009366</v>
      </c>
      <c r="P83" s="16">
        <f>(600*(('Pre- and Post-Retrofit Energy'!$D$31*INDEX('Emissions Factors'!$E$16:$E$46,MATCH('2030 and 2050 GHG Projections'!P81,'Emissions Factors'!$B$16:$B$46,0)))+(IF(P81&lt;2040,'Pre- and Post-Retrofit Energy'!$D$32,'Pre- and Post-Retrofit Energy'!$F$32))*'Emissions Factors'!$E$7+'Pre- and Post-Retrofit Energy'!$B$19*28))/1000</f>
        <v>3024.4110962708423</v>
      </c>
      <c r="Q83" s="16">
        <f>(600*(('Pre- and Post-Retrofit Energy'!$D$31*INDEX('Emissions Factors'!$E$16:$E$46,MATCH('2030 and 2050 GHG Projections'!Q81,'Emissions Factors'!$B$16:$B$46,0)))+(IF(Q81&lt;2040,'Pre- and Post-Retrofit Energy'!$D$32,'Pre- and Post-Retrofit Energy'!$F$32))*'Emissions Factors'!$E$7+'Pre- and Post-Retrofit Energy'!$B$19*28))/1000</f>
        <v>3014.3543482407485</v>
      </c>
      <c r="R83" s="16">
        <f>(600*(('Pre- and Post-Retrofit Energy'!$D$31*INDEX('Emissions Factors'!$E$16:$E$46,MATCH('2030 and 2050 GHG Projections'!R81,'Emissions Factors'!$B$16:$B$46,0)))+(IF(R81&lt;2040,'Pre- and Post-Retrofit Energy'!$D$32,'Pre- and Post-Retrofit Energy'!$F$32))*'Emissions Factors'!$E$7+'Pre- and Post-Retrofit Energy'!$B$19*28))/1000</f>
        <v>3004.2976002106552</v>
      </c>
      <c r="S83" s="16">
        <f>(600*(('Pre- and Post-Retrofit Energy'!$D$31*INDEX('Emissions Factors'!$E$16:$E$46,MATCH('2030 and 2050 GHG Projections'!S81,'Emissions Factors'!$B$16:$B$46,0)))+(IF(S81&lt;2040,'Pre- and Post-Retrofit Energy'!$D$32,'Pre- and Post-Retrofit Energy'!$F$32))*'Emissions Factors'!$E$7+'Pre- and Post-Retrofit Energy'!$B$19*28))/1000</f>
        <v>2994.2408521805614</v>
      </c>
      <c r="T83" s="16">
        <f>(600*(('Pre- and Post-Retrofit Energy'!$D$31*INDEX('Emissions Factors'!$E$16:$E$46,MATCH('2030 and 2050 GHG Projections'!T81,'Emissions Factors'!$B$16:$B$46,0)))+(IF(T81&lt;2040,'Pre- and Post-Retrofit Energy'!$D$32,'Pre- and Post-Retrofit Energy'!$F$32))*'Emissions Factors'!$E$7+'Pre- and Post-Retrofit Energy'!$B$19*28))/1000</f>
        <v>2984.1841041504676</v>
      </c>
      <c r="U83" s="16">
        <f>(600*(('Pre- and Post-Retrofit Energy'!$D$31*INDEX('Emissions Factors'!$E$16:$E$46,MATCH('2030 and 2050 GHG Projections'!U81,'Emissions Factors'!$B$16:$B$46,0)))+(IF(U81&lt;2040,'Pre- and Post-Retrofit Energy'!$D$32,'Pre- and Post-Retrofit Energy'!$F$32))*'Emissions Factors'!$E$7+'Pre- and Post-Retrofit Energy'!$B$19*28))/1000</f>
        <v>2974.1273561203739</v>
      </c>
      <c r="V83" s="16">
        <f>(600*(('Pre- and Post-Retrofit Energy'!$D$31*INDEX('Emissions Factors'!$E$16:$E$46,MATCH('2030 and 2050 GHG Projections'!V81,'Emissions Factors'!$B$16:$B$46,0)))+(IF(V81&lt;2040,'Pre- and Post-Retrofit Energy'!$D$32,'Pre- and Post-Retrofit Energy'!$F$32))*'Emissions Factors'!$E$7+'Pre- and Post-Retrofit Energy'!$B$19*28))/1000</f>
        <v>2964.0706080902801</v>
      </c>
      <c r="W83" s="16">
        <f>(600*(('Pre- and Post-Retrofit Energy'!$D$31*INDEX('Emissions Factors'!$E$16:$E$46,MATCH('2030 and 2050 GHG Projections'!W81,'Emissions Factors'!$B$16:$B$46,0)))+(IF(W81&lt;2040,'Pre- and Post-Retrofit Energy'!$D$32,'Pre- and Post-Retrofit Energy'!$F$32))*'Emissions Factors'!$E$7+'Pre- and Post-Retrofit Energy'!$B$19*28))/1000</f>
        <v>2954.0138600601867</v>
      </c>
      <c r="X83" s="16">
        <f>(600*(('Pre- and Post-Retrofit Energy'!$D$31*INDEX('Emissions Factors'!$E$16:$E$46,MATCH('2030 and 2050 GHG Projections'!X81,'Emissions Factors'!$B$16:$B$46,0)))+(IF(X81&lt;2040,'Pre- and Post-Retrofit Energy'!$D$32,'Pre- and Post-Retrofit Energy'!$F$32))*'Emissions Factors'!$E$7+'Pre- and Post-Retrofit Energy'!$B$19*28))/1000</f>
        <v>2943.957112030093</v>
      </c>
      <c r="Y83" s="16">
        <f>(600*(('Pre- and Post-Retrofit Energy'!$D$31*INDEX('Emissions Factors'!$E$16:$E$46,MATCH('2030 and 2050 GHG Projections'!Y81,'Emissions Factors'!$B$16:$B$46,0)))+(IF(Y81&lt;2040,'Pre- and Post-Retrofit Energy'!$D$32,'Pre- and Post-Retrofit Energy'!$F$32))*'Emissions Factors'!$E$7+'Pre- and Post-Retrofit Energy'!$B$19*28))/1000</f>
        <v>2933.9003639999992</v>
      </c>
    </row>
    <row r="85" spans="1:25" x14ac:dyDescent="0.25">
      <c r="A85" s="2" t="s">
        <v>95</v>
      </c>
    </row>
    <row r="86" spans="1:25" x14ac:dyDescent="0.25">
      <c r="A86" t="s">
        <v>78</v>
      </c>
      <c r="B86" s="16">
        <f>(IFERROR(INDEX('Pre- and Post-Retrofit Energy'!$B$59:$B$82,MATCH('2030 and 2050 GHG Projections'!B$81,'Pre- and Post-Retrofit Energy'!$A$59:$A$82,0)),600)*'Pre- and Post-Retrofit Energy'!$E$31*INDEX('Emissions Factors'!$E$16:$E$46,MATCH(B$81,'Emissions Factors'!$B$16:$B$46,0)))/1000</f>
        <v>0</v>
      </c>
      <c r="C86" s="16">
        <f>(IFERROR(INDEX('Pre- and Post-Retrofit Energy'!$B$59:$B$82,MATCH('2030 and 2050 GHG Projections'!C$81,'Pre- and Post-Retrofit Energy'!$A$59:$A$82,0)),600)*'Pre- and Post-Retrofit Energy'!$E$31*INDEX('Emissions Factors'!$E$16:$E$46,MATCH(C$81,'Emissions Factors'!$B$16:$B$46,0)))/1000</f>
        <v>37.089409435639709</v>
      </c>
      <c r="D86" s="16">
        <f>(IFERROR(INDEX('Pre- and Post-Retrofit Energy'!$B$59:$B$82,MATCH('2030 and 2050 GHG Projections'!D$81,'Pre- and Post-Retrofit Energy'!$A$59:$A$82,0)),600)*'Pre- and Post-Retrofit Energy'!$E$31*INDEX('Emissions Factors'!$E$16:$E$46,MATCH(D$81,'Emissions Factors'!$B$16:$B$46,0)))/1000</f>
        <v>46.776168603886376</v>
      </c>
      <c r="E86" s="16">
        <f>(IFERROR(INDEX('Pre- and Post-Retrofit Energy'!$B$59:$B$82,MATCH('2030 and 2050 GHG Projections'!E$81,'Pre- and Post-Retrofit Energy'!$A$59:$A$82,0)),600)*'Pre- and Post-Retrofit Energy'!$E$31*INDEX('Emissions Factors'!$E$16:$E$46,MATCH(E$81,'Emissions Factors'!$B$16:$B$46,0)))/1000</f>
        <v>51.800851167094535</v>
      </c>
      <c r="F86" s="16">
        <f>(IFERROR(INDEX('Pre- and Post-Retrofit Energy'!$B$59:$B$82,MATCH('2030 and 2050 GHG Projections'!F$81,'Pre- and Post-Retrofit Energy'!$A$59:$A$82,0)),600)*'Pre- and Post-Retrofit Energy'!$E$31*INDEX('Emissions Factors'!$E$16:$E$46,MATCH(F$81,'Emissions Factors'!$B$16:$B$46,0)))/1000</f>
        <v>59.052970330487767</v>
      </c>
      <c r="G86" s="16">
        <f>(IFERROR(INDEX('Pre- and Post-Retrofit Energy'!$B$59:$B$82,MATCH('2030 and 2050 GHG Projections'!G$81,'Pre- and Post-Retrofit Energy'!$A$59:$A$82,0)),600)*'Pre- and Post-Retrofit Energy'!$E$31*INDEX('Emissions Factors'!$E$16:$E$46,MATCH(G$81,'Emissions Factors'!$B$16:$B$46,0)))/1000</f>
        <v>65.269072470539115</v>
      </c>
      <c r="H86" s="16">
        <f>(IFERROR(INDEX('Pre- and Post-Retrofit Energy'!$B$59:$B$82,MATCH('2030 and 2050 GHG Projections'!H$81,'Pre- and Post-Retrofit Energy'!$A$59:$A$82,0)),600)*'Pre- and Post-Retrofit Energy'!$E$31*INDEX('Emissions Factors'!$E$16:$E$46,MATCH(H$81,'Emissions Factors'!$B$16:$B$46,0)))/1000</f>
        <v>70.449157587248564</v>
      </c>
      <c r="I86" s="16">
        <f>(IFERROR(INDEX('Pre- and Post-Retrofit Energy'!$B$59:$B$82,MATCH('2030 and 2050 GHG Projections'!I$81,'Pre- and Post-Retrofit Energy'!$A$59:$A$82,0)),600)*'Pre- and Post-Retrofit Energy'!$E$31*INDEX('Emissions Factors'!$E$16:$E$46,MATCH(I$81,'Emissions Factors'!$B$16:$B$46,0)))/1000</f>
        <v>74.593225680616115</v>
      </c>
      <c r="J86" s="16">
        <f>(IFERROR(INDEX('Pre- and Post-Retrofit Energy'!$B$59:$B$82,MATCH('2030 and 2050 GHG Projections'!J$81,'Pre- and Post-Retrofit Energy'!$A$59:$A$82,0)),600)*'Pre- and Post-Retrofit Energy'!$E$31*INDEX('Emissions Factors'!$E$16:$E$46,MATCH(J$81,'Emissions Factors'!$B$16:$B$46,0)))/1000</f>
        <v>77.701276750641767</v>
      </c>
      <c r="K86" s="16">
        <f>(IFERROR(INDEX('Pre- and Post-Retrofit Energy'!$B$59:$B$82,MATCH('2030 and 2050 GHG Projections'!K$81,'Pre- and Post-Retrofit Energy'!$A$59:$A$82,0)),600)*'Pre- and Post-Retrofit Energy'!$E$31*INDEX('Emissions Factors'!$E$16:$E$46,MATCH(K$81,'Emissions Factors'!$B$16:$B$46,0)))/1000</f>
        <v>79.773310797325536</v>
      </c>
      <c r="L86" s="16">
        <f>(IFERROR(INDEX('Pre- and Post-Retrofit Energy'!$B$59:$B$82,MATCH('2030 and 2050 GHG Projections'!L$81,'Pre- and Post-Retrofit Energy'!$A$59:$A$82,0)),600)*'Pre- and Post-Retrofit Energy'!$E$31*INDEX('Emissions Factors'!$E$16:$E$46,MATCH(L$81,'Emissions Factors'!$B$16:$B$46,0)))/1000</f>
        <v>80.809327820667448</v>
      </c>
      <c r="M86" s="16">
        <f>(IFERROR(INDEX('Pre- and Post-Retrofit Energy'!$B$59:$B$82,MATCH('2030 and 2050 GHG Projections'!M$81,'Pre- and Post-Retrofit Energy'!$A$59:$A$82,0)),600)*'Pre- and Post-Retrofit Energy'!$E$31*INDEX('Emissions Factors'!$E$16:$E$46,MATCH(M$81,'Emissions Factors'!$B$16:$B$46,0)))/1000</f>
        <v>80.80932782066742</v>
      </c>
      <c r="N86" s="16">
        <f>(IFERROR(INDEX('Pre- and Post-Retrofit Energy'!$B$59:$B$82,MATCH('2030 and 2050 GHG Projections'!N$81,'Pre- and Post-Retrofit Energy'!$A$59:$A$82,0)),600)*'Pre- and Post-Retrofit Energy'!$E$31*INDEX('Emissions Factors'!$E$16:$E$46,MATCH(N$81,'Emissions Factors'!$B$16:$B$46,0)))/1000</f>
        <v>79.773310797325522</v>
      </c>
      <c r="O86" s="16">
        <f>(IFERROR(INDEX('Pre- and Post-Retrofit Energy'!$B$59:$B$82,MATCH('2030 and 2050 GHG Projections'!O$81,'Pre- and Post-Retrofit Energy'!$A$59:$A$82,0)),600)*'Pre- and Post-Retrofit Energy'!$E$31*INDEX('Emissions Factors'!$E$16:$E$46,MATCH(O$81,'Emissions Factors'!$B$16:$B$46,0)))/1000</f>
        <v>77.701276750641711</v>
      </c>
      <c r="P86" s="16">
        <f>(IFERROR(INDEX('Pre- and Post-Retrofit Energy'!$B$59:$B$82,MATCH('2030 and 2050 GHG Projections'!P$81,'Pre- and Post-Retrofit Energy'!$A$59:$A$82,0)),600)*'Pre- and Post-Retrofit Energy'!$E$31*INDEX('Emissions Factors'!$E$16:$E$46,MATCH(P$81,'Emissions Factors'!$B$16:$B$46,0)))/1000</f>
        <v>76.92426398313529</v>
      </c>
      <c r="Q86" s="16">
        <f>(IFERROR(INDEX('Pre- and Post-Retrofit Energy'!$B$59:$B$82,MATCH('2030 and 2050 GHG Projections'!Q$81,'Pre- and Post-Retrofit Energy'!$A$59:$A$82,0)),600)*'Pre- and Post-Retrofit Energy'!$E$31*INDEX('Emissions Factors'!$E$16:$E$46,MATCH(Q$81,'Emissions Factors'!$B$16:$B$46,0)))/1000</f>
        <v>74.593225680616015</v>
      </c>
      <c r="R86" s="16">
        <f>(IFERROR(INDEX('Pre- and Post-Retrofit Energy'!$B$59:$B$82,MATCH('2030 and 2050 GHG Projections'!R$81,'Pre- and Post-Retrofit Energy'!$A$59:$A$82,0)),600)*'Pre- and Post-Retrofit Energy'!$E$31*INDEX('Emissions Factors'!$E$16:$E$46,MATCH(R$81,'Emissions Factors'!$B$16:$B$46,0)))/1000</f>
        <v>70.7081618430839</v>
      </c>
      <c r="S86" s="16">
        <f>(IFERROR(INDEX('Pre- and Post-Retrofit Energy'!$B$59:$B$82,MATCH('2030 and 2050 GHG Projections'!S$81,'Pre- and Post-Retrofit Energy'!$A$59:$A$82,0)),600)*'Pre- and Post-Retrofit Energy'!$E$31*INDEX('Emissions Factors'!$E$16:$E$46,MATCH(S$81,'Emissions Factors'!$B$16:$B$46,0)))/1000</f>
        <v>65.269072470538944</v>
      </c>
      <c r="T86" s="16">
        <f>(IFERROR(INDEX('Pre- and Post-Retrofit Energy'!$B$59:$B$82,MATCH('2030 and 2050 GHG Projections'!T$81,'Pre- and Post-Retrofit Energy'!$A$59:$A$82,0)),600)*'Pre- and Post-Retrofit Energy'!$E$31*INDEX('Emissions Factors'!$E$16:$E$46,MATCH(T$81,'Emissions Factors'!$B$16:$B$46,0)))/1000</f>
        <v>58.275957562981162</v>
      </c>
      <c r="U86" s="16">
        <f>(IFERROR(INDEX('Pre- and Post-Retrofit Energy'!$B$59:$B$82,MATCH('2030 and 2050 GHG Projections'!U$81,'Pre- and Post-Retrofit Energy'!$A$59:$A$82,0)),600)*'Pre- and Post-Retrofit Energy'!$E$31*INDEX('Emissions Factors'!$E$16:$E$46,MATCH(U$81,'Emissions Factors'!$B$16:$B$46,0)))/1000</f>
        <v>49.728817120410532</v>
      </c>
      <c r="V86" s="16">
        <f>(IFERROR(INDEX('Pre- and Post-Retrofit Energy'!$B$59:$B$82,MATCH('2030 and 2050 GHG Projections'!V$81,'Pre- and Post-Retrofit Energy'!$A$59:$A$82,0)),600)*'Pre- and Post-Retrofit Energy'!$E$31*INDEX('Emissions Factors'!$E$16:$E$46,MATCH(V$81,'Emissions Factors'!$B$16:$B$46,0)))/1000</f>
        <v>39.627651142827077</v>
      </c>
      <c r="W86" s="16">
        <f>(IFERROR(INDEX('Pre- and Post-Retrofit Energy'!$B$59:$B$82,MATCH('2030 and 2050 GHG Projections'!W$81,'Pre- and Post-Retrofit Energy'!$A$59:$A$82,0)),600)*'Pre- and Post-Retrofit Energy'!$E$31*INDEX('Emissions Factors'!$E$16:$E$46,MATCH(W$81,'Emissions Factors'!$B$16:$B$46,0)))/1000</f>
        <v>27.97245963023077</v>
      </c>
      <c r="X86" s="16">
        <f>(IFERROR(INDEX('Pre- and Post-Retrofit Energy'!$B$59:$B$82,MATCH('2030 and 2050 GHG Projections'!X$81,'Pre- and Post-Retrofit Energy'!$A$59:$A$82,0)),600)*'Pre- and Post-Retrofit Energy'!$E$31*INDEX('Emissions Factors'!$E$16:$E$46,MATCH(X$81,'Emissions Factors'!$B$16:$B$46,0)))/1000</f>
        <v>14.763242582621629</v>
      </c>
      <c r="Y86" s="16">
        <f>(IFERROR(INDEX('Pre- and Post-Retrofit Energy'!$B$59:$B$82,MATCH('2030 and 2050 GHG Projections'!Y$81,'Pre- and Post-Retrofit Energy'!$A$59:$A$82,0)),600)*'Pre- and Post-Retrofit Energy'!$E$31*INDEX('Emissions Factors'!$E$16:$E$46,MATCH(Y$81,'Emissions Factors'!$B$16:$B$46,0)))/1000</f>
        <v>0</v>
      </c>
    </row>
    <row r="87" spans="1:25" x14ac:dyDescent="0.25">
      <c r="A87" t="s">
        <v>79</v>
      </c>
      <c r="B87" s="16">
        <f>((600-IFERROR(INDEX('Pre- and Post-Retrofit Energy'!$B$59:$B$82,MATCH(B$53,'Pre- and Post-Retrofit Energy'!$A$59:$A$82,0)),240))*(('Pre- and Post-Retrofit Energy'!$D$31*INDEX('Emissions Factors'!$E$16:$E$46,MATCH('2030 and 2050 GHG Projections'!B81,'Emissions Factors'!$B$16:$B$46,0)))+(IF(B81&lt;2040,'Pre- and Post-Retrofit Energy'!$D$32,'Pre- and Post-Retrofit Energy'!$F$32))*'Emissions Factors'!$E$7+'Pre- and Post-Retrofit Energy'!$B$19*28))/1000</f>
        <v>3568.4548758384808</v>
      </c>
      <c r="C87" s="16">
        <f>((600-IFERROR(INDEX('Pre- and Post-Retrofit Energy'!$B$59:$B$82,MATCH(C$53,'Pre- and Post-Retrofit Energy'!$A$59:$A$82,0)),240))*(('Pre- and Post-Retrofit Energy'!$D$31*INDEX('Emissions Factors'!$E$16:$E$46,MATCH('2030 and 2050 GHG Projections'!C81,'Emissions Factors'!$B$16:$B$46,0)))+(IF(C81&lt;2040,'Pre- and Post-Retrofit Energy'!$D$32,'Pre- and Post-Retrofit Energy'!$F$32))*'Emissions Factors'!$E$7+'Pre- and Post-Retrofit Energy'!$B$19*28))/1000</f>
        <v>3217.9223061788648</v>
      </c>
      <c r="D87" s="16">
        <f>((600-IFERROR(INDEX('Pre- and Post-Retrofit Energy'!$B$59:$B$82,MATCH(D$53,'Pre- and Post-Retrofit Energy'!$A$59:$A$82,0)),240))*(('Pre- and Post-Retrofit Energy'!$D$31*INDEX('Emissions Factors'!$E$16:$E$46,MATCH('2030 and 2050 GHG Projections'!D81,'Emissions Factors'!$B$16:$B$46,0)))+(IF(D81&lt;2040,'Pre- and Post-Retrofit Energy'!$D$32,'Pre- and Post-Retrofit Energy'!$F$32))*'Emissions Factors'!$E$7+'Pre- and Post-Retrofit Energy'!$B$19*28))/1000</f>
        <v>2956.699003605836</v>
      </c>
      <c r="E87" s="16">
        <f>((600-IFERROR(INDEX('Pre- and Post-Retrofit Energy'!$B$59:$B$82,MATCH(E$53,'Pre- and Post-Retrofit Energy'!$A$59:$A$82,0)),240))*(('Pre- and Post-Retrofit Energy'!$D$31*INDEX('Emissions Factors'!$E$16:$E$46,MATCH('2030 and 2050 GHG Projections'!E81,'Emissions Factors'!$B$16:$B$46,0)))+(IF(E81&lt;2040,'Pre- and Post-Retrofit Energy'!$D$32,'Pre- and Post-Retrofit Energy'!$F$32))*'Emissions Factors'!$E$7+'Pre- and Post-Retrofit Energy'!$B$19*28))/1000</f>
        <v>2740.7310671682285</v>
      </c>
      <c r="F87" s="16">
        <f>((600-IFERROR(INDEX('Pre- and Post-Retrofit Energy'!$B$59:$B$82,MATCH(F$53,'Pre- and Post-Retrofit Energy'!$A$59:$A$82,0)),240))*(('Pre- and Post-Retrofit Energy'!$D$31*INDEX('Emissions Factors'!$E$16:$E$46,MATCH('2030 and 2050 GHG Projections'!F81,'Emissions Factors'!$B$16:$B$46,0)))+(IF(F81&lt;2040,'Pre- and Post-Retrofit Energy'!$D$32,'Pre- and Post-Retrofit Energy'!$F$32))*'Emissions Factors'!$E$7+'Pre- and Post-Retrofit Energy'!$B$19*28))/1000</f>
        <v>2623.0564260574242</v>
      </c>
      <c r="G87" s="16">
        <f>((600-IFERROR(INDEX('Pre- and Post-Retrofit Energy'!$B$59:$B$82,MATCH(G$53,'Pre- and Post-Retrofit Energy'!$A$59:$A$82,0)),240))*(('Pre- and Post-Retrofit Energy'!$D$31*INDEX('Emissions Factors'!$E$16:$E$46,MATCH('2030 and 2050 GHG Projections'!G81,'Emissions Factors'!$B$16:$B$46,0)))+(IF(G81&lt;2040,'Pre- and Post-Retrofit Energy'!$D$32,'Pre- and Post-Retrofit Energy'!$F$32))*'Emissions Factors'!$E$7+'Pre- and Post-Retrofit Energy'!$B$19*28))/1000</f>
        <v>2506.0522348152931</v>
      </c>
      <c r="H87" s="16">
        <f>((600-IFERROR(INDEX('Pre- and Post-Retrofit Energy'!$B$59:$B$82,MATCH(H$53,'Pre- and Post-Retrofit Energy'!$A$59:$A$82,0)),240))*(('Pre- and Post-Retrofit Energy'!$D$31*INDEX('Emissions Factors'!$E$16:$E$46,MATCH('2030 and 2050 GHG Projections'!H81,'Emissions Factors'!$B$16:$B$46,0)))+(IF(H81&lt;2040,'Pre- and Post-Retrofit Energy'!$D$32,'Pre- and Post-Retrofit Energy'!$F$32))*'Emissions Factors'!$E$7+'Pre- and Post-Retrofit Energy'!$B$19*28))/1000</f>
        <v>2389.7184934418351</v>
      </c>
      <c r="I87" s="16">
        <f>((600-IFERROR(INDEX('Pre- and Post-Retrofit Energy'!$B$59:$B$82,MATCH(I$53,'Pre- and Post-Retrofit Energy'!$A$59:$A$82,0)),240))*(('Pre- and Post-Retrofit Energy'!$D$31*INDEX('Emissions Factors'!$E$16:$E$46,MATCH('2030 and 2050 GHG Projections'!I81,'Emissions Factors'!$B$16:$B$46,0)))+(IF(I81&lt;2040,'Pre- and Post-Retrofit Energy'!$D$32,'Pre- and Post-Retrofit Energy'!$F$32))*'Emissions Factors'!$E$7+'Pre- and Post-Retrofit Energy'!$B$19*28))/1000</f>
        <v>2274.0552019370498</v>
      </c>
      <c r="J87" s="16">
        <f>((600-IFERROR(INDEX('Pre- and Post-Retrofit Energy'!$B$59:$B$82,MATCH(J$53,'Pre- and Post-Retrofit Energy'!$A$59:$A$82,0)),240))*(('Pre- and Post-Retrofit Energy'!$D$31*INDEX('Emissions Factors'!$E$16:$E$46,MATCH('2030 and 2050 GHG Projections'!J81,'Emissions Factors'!$B$16:$B$46,0)))+(IF(J81&lt;2040,'Pre- and Post-Retrofit Energy'!$D$32,'Pre- and Post-Retrofit Energy'!$F$32))*'Emissions Factors'!$E$7+'Pre- and Post-Retrofit Energy'!$B$19*28))/1000</f>
        <v>2159.0623603009371</v>
      </c>
      <c r="K87" s="16">
        <f>((600-IFERROR(INDEX('Pre- and Post-Retrofit Energy'!$B$59:$B$82,MATCH(K$53,'Pre- and Post-Retrofit Energy'!$A$59:$A$82,0)),240))*(('Pre- and Post-Retrofit Energy'!$D$31*INDEX('Emissions Factors'!$E$16:$E$46,MATCH('2030 and 2050 GHG Projections'!K81,'Emissions Factors'!$B$16:$B$46,0)))+(IF(K81&lt;2040,'Pre- and Post-Retrofit Energy'!$D$32,'Pre- and Post-Retrofit Energy'!$F$32))*'Emissions Factors'!$E$7+'Pre- and Post-Retrofit Energy'!$B$19*28))/1000</f>
        <v>2044.7399685334976</v>
      </c>
      <c r="L87" s="16">
        <f>((600-IFERROR(INDEX('Pre- and Post-Retrofit Energy'!$B$59:$B$82,MATCH(L$53,'Pre- and Post-Retrofit Energy'!$A$59:$A$82,0)),240))*(('Pre- and Post-Retrofit Energy'!$D$31*INDEX('Emissions Factors'!$E$16:$E$46,MATCH('2030 and 2050 GHG Projections'!L81,'Emissions Factors'!$B$16:$B$46,0)))+(IF(L81&lt;2040,'Pre- and Post-Retrofit Energy'!$D$32,'Pre- and Post-Retrofit Energy'!$F$32))*'Emissions Factors'!$E$7+'Pre- and Post-Retrofit Energy'!$B$19*28))/1000</f>
        <v>1931.088026634731</v>
      </c>
      <c r="M87" s="16">
        <f>((600-IFERROR(INDEX('Pre- and Post-Retrofit Energy'!$B$59:$B$82,MATCH(M$53,'Pre- and Post-Retrofit Energy'!$A$59:$A$82,0)),240))*(('Pre- and Post-Retrofit Energy'!$D$31*INDEX('Emissions Factors'!$E$16:$E$46,MATCH('2030 and 2050 GHG Projections'!M81,'Emissions Factors'!$B$16:$B$46,0)))+(IF(M81&lt;2040,'Pre- and Post-Retrofit Energy'!$D$32,'Pre- and Post-Retrofit Energy'!$F$32))*'Emissions Factors'!$E$7+'Pre- and Post-Retrofit Energy'!$B$19*28))/1000</f>
        <v>1818.1065346046371</v>
      </c>
      <c r="N87" s="16">
        <f>((600-IFERROR(INDEX('Pre- and Post-Retrofit Energy'!$B$59:$B$82,MATCH(N$53,'Pre- and Post-Retrofit Energy'!$A$59:$A$82,0)),240))*(('Pre- and Post-Retrofit Energy'!$D$31*INDEX('Emissions Factors'!$E$16:$E$46,MATCH('2030 and 2050 GHG Projections'!N81,'Emissions Factors'!$B$16:$B$46,0)))+(IF(N81&lt;2040,'Pre- and Post-Retrofit Energy'!$D$32,'Pre- and Post-Retrofit Energy'!$F$32))*'Emissions Factors'!$E$7+'Pre- and Post-Retrofit Energy'!$B$19*28))/1000</f>
        <v>1705.7954924432165</v>
      </c>
      <c r="O87" s="16">
        <f>((600-IFERROR(INDEX('Pre- and Post-Retrofit Energy'!$B$59:$B$82,MATCH(O$53,'Pre- and Post-Retrofit Energy'!$A$59:$A$82,0)),240))*(('Pre- and Post-Retrofit Energy'!$D$31*INDEX('Emissions Factors'!$E$16:$E$46,MATCH('2030 and 2050 GHG Projections'!O81,'Emissions Factors'!$B$16:$B$46,0)))+(IF(O81&lt;2040,'Pre- and Post-Retrofit Energy'!$D$32,'Pre- and Post-Retrofit Energy'!$F$32))*'Emissions Factors'!$E$7+'Pre- and Post-Retrofit Energy'!$B$19*28))/1000</f>
        <v>1517.2339221504683</v>
      </c>
      <c r="P87" s="16">
        <f>((600-IFERROR(INDEX('Pre- and Post-Retrofit Energy'!$B$59:$B$82,MATCH(P$53,'Pre- and Post-Retrofit Energy'!$A$59:$A$82,0)),240))*(('Pre- and Post-Retrofit Energy'!$D$31*INDEX('Emissions Factors'!$E$16:$E$46,MATCH('2030 and 2050 GHG Projections'!P81,'Emissions Factors'!$B$16:$B$46,0)))+(IF(P81&lt;2040,'Pre- and Post-Retrofit Energy'!$D$32,'Pre- and Post-Retrofit Energy'!$F$32))*'Emissions Factors'!$E$7+'Pre- and Post-Retrofit Energy'!$B$19*28))/1000</f>
        <v>1360.9849933218791</v>
      </c>
      <c r="Q87" s="16">
        <f>((600-IFERROR(INDEX('Pre- and Post-Retrofit Energy'!$B$59:$B$82,MATCH(Q$53,'Pre- and Post-Retrofit Energy'!$A$59:$A$82,0)),240))*(('Pre- and Post-Retrofit Energy'!$D$31*INDEX('Emissions Factors'!$E$16:$E$46,MATCH('2030 and 2050 GHG Projections'!Q81,'Emissions Factors'!$B$16:$B$46,0)))+(IF(Q81&lt;2040,'Pre- and Post-Retrofit Energy'!$D$32,'Pre- and Post-Retrofit Energy'!$F$32))*'Emissions Factors'!$E$7+'Pre- and Post-Retrofit Energy'!$B$19*28))/1000</f>
        <v>1205.7417392962993</v>
      </c>
      <c r="R87" s="16">
        <f>((600-IFERROR(INDEX('Pre- and Post-Retrofit Energy'!$B$59:$B$82,MATCH(R$53,'Pre- and Post-Retrofit Energy'!$A$59:$A$82,0)),240))*(('Pre- and Post-Retrofit Energy'!$D$31*INDEX('Emissions Factors'!$E$16:$E$46,MATCH('2030 and 2050 GHG Projections'!R81,'Emissions Factors'!$B$16:$B$46,0)))+(IF(R81&lt;2040,'Pre- and Post-Retrofit Energy'!$D$32,'Pre- and Post-Retrofit Energy'!$F$32))*'Emissions Factors'!$E$7+'Pre- and Post-Retrofit Energy'!$B$19*28))/1000</f>
        <v>1051.5041600737293</v>
      </c>
      <c r="S87" s="16">
        <f>((600-IFERROR(INDEX('Pre- and Post-Retrofit Energy'!$B$59:$B$82,MATCH(S$53,'Pre- and Post-Retrofit Energy'!$A$59:$A$82,0)),240))*(('Pre- and Post-Retrofit Energy'!$D$31*INDEX('Emissions Factors'!$E$16:$E$46,MATCH('2030 and 2050 GHG Projections'!S81,'Emissions Factors'!$B$16:$B$46,0)))+(IF(S81&lt;2040,'Pre- and Post-Retrofit Energy'!$D$32,'Pre- and Post-Retrofit Energy'!$F$32))*'Emissions Factors'!$E$7+'Pre- and Post-Retrofit Energy'!$B$19*28))/1000</f>
        <v>898.27225565416848</v>
      </c>
      <c r="T87" s="16">
        <f>((600-IFERROR(INDEX('Pre- and Post-Retrofit Energy'!$B$59:$B$82,MATCH(T$53,'Pre- and Post-Retrofit Energy'!$A$59:$A$82,0)),240))*(('Pre- and Post-Retrofit Energy'!$D$31*INDEX('Emissions Factors'!$E$16:$E$46,MATCH('2030 and 2050 GHG Projections'!T81,'Emissions Factors'!$B$16:$B$46,0)))+(IF(T81&lt;2040,'Pre- and Post-Retrofit Energy'!$D$32,'Pre- and Post-Retrofit Energy'!$F$32))*'Emissions Factors'!$E$7+'Pre- and Post-Retrofit Energy'!$B$19*28))/1000</f>
        <v>746.04602603761691</v>
      </c>
      <c r="U87" s="16">
        <f>((600-IFERROR(INDEX('Pre- and Post-Retrofit Energy'!$B$59:$B$82,MATCH(U$53,'Pre- and Post-Retrofit Energy'!$A$59:$A$82,0)),240))*(('Pre- and Post-Retrofit Energy'!$D$31*INDEX('Emissions Factors'!$E$16:$E$46,MATCH('2030 and 2050 GHG Projections'!U81,'Emissions Factors'!$B$16:$B$46,0)))+(IF(U81&lt;2040,'Pre- and Post-Retrofit Energy'!$D$32,'Pre- and Post-Retrofit Energy'!$F$32))*'Emissions Factors'!$E$7+'Pre- and Post-Retrofit Energy'!$B$19*28))/1000</f>
        <v>594.82547122407482</v>
      </c>
      <c r="V87" s="16">
        <f>((600-IFERROR(INDEX('Pre- and Post-Retrofit Energy'!$B$59:$B$82,MATCH(V$53,'Pre- and Post-Retrofit Energy'!$A$59:$A$82,0)),240))*(('Pre- and Post-Retrofit Energy'!$D$31*INDEX('Emissions Factors'!$E$16:$E$46,MATCH('2030 and 2050 GHG Projections'!V81,'Emissions Factors'!$B$16:$B$46,0)))+(IF(V81&lt;2040,'Pre- and Post-Retrofit Energy'!$D$32,'Pre- and Post-Retrofit Energy'!$F$32))*'Emissions Factors'!$E$7+'Pre- and Post-Retrofit Energy'!$B$19*28))/1000</f>
        <v>444.61059121354202</v>
      </c>
      <c r="W87" s="16">
        <f>((600-IFERROR(INDEX('Pre- and Post-Retrofit Energy'!$B$59:$B$82,MATCH(W$53,'Pre- and Post-Retrofit Energy'!$A$59:$A$82,0)),240))*(('Pre- and Post-Retrofit Energy'!$D$31*INDEX('Emissions Factors'!$E$16:$E$46,MATCH('2030 and 2050 GHG Projections'!W81,'Emissions Factors'!$B$16:$B$46,0)))+(IF(W81&lt;2040,'Pre- and Post-Retrofit Energy'!$D$32,'Pre- and Post-Retrofit Energy'!$F$32))*'Emissions Factors'!$E$7+'Pre- and Post-Retrofit Energy'!$B$19*28))/1000</f>
        <v>295.4013860060187</v>
      </c>
      <c r="X87" s="16">
        <f>((600-IFERROR(INDEX('Pre- and Post-Retrofit Energy'!$B$59:$B$82,MATCH(X$53,'Pre- and Post-Retrofit Energy'!$A$59:$A$82,0)),240))*(('Pre- and Post-Retrofit Energy'!$D$31*INDEX('Emissions Factors'!$E$16:$E$46,MATCH('2030 and 2050 GHG Projections'!X81,'Emissions Factors'!$B$16:$B$46,0)))+(IF(X81&lt;2040,'Pre- and Post-Retrofit Energy'!$D$32,'Pre- and Post-Retrofit Energy'!$F$32))*'Emissions Factors'!$E$7+'Pre- and Post-Retrofit Energy'!$B$19*28))/1000</f>
        <v>147.19785560150464</v>
      </c>
      <c r="Y87" s="16">
        <f>((600-IFERROR(INDEX('Pre- and Post-Retrofit Energy'!$B$59:$B$82,MATCH(Y$53,'Pre- and Post-Retrofit Energy'!$A$59:$A$82,0)),240))*(('Pre- and Post-Retrofit Energy'!$D$31*INDEX('Emissions Factors'!$E$16:$E$46,MATCH('2030 and 2050 GHG Projections'!Y81,'Emissions Factors'!$B$16:$B$46,0)))+(IF(Y81&lt;2040,'Pre- and Post-Retrofit Energy'!$D$32,'Pre- and Post-Retrofit Energy'!$F$32))*'Emissions Factors'!$E$7+'Pre- and Post-Retrofit Energy'!$B$19*28))/1000</f>
        <v>0</v>
      </c>
    </row>
    <row r="88" spans="1:25" x14ac:dyDescent="0.25">
      <c r="A88" t="s">
        <v>98</v>
      </c>
      <c r="B88" s="16">
        <f>SUM(B86:B87)</f>
        <v>3568.4548758384808</v>
      </c>
      <c r="C88" s="16">
        <f t="shared" ref="C88" si="34">SUM(C86:C87)</f>
        <v>3255.0117156145043</v>
      </c>
      <c r="D88" s="16">
        <f t="shared" ref="D88" si="35">SUM(D86:D87)</f>
        <v>3003.4751722097221</v>
      </c>
      <c r="E88" s="16">
        <f t="shared" ref="E88" si="36">SUM(E86:E87)</f>
        <v>2792.5319183353231</v>
      </c>
      <c r="F88" s="16">
        <f t="shared" ref="F88" si="37">SUM(F86:F87)</f>
        <v>2682.1093963879121</v>
      </c>
      <c r="G88" s="16">
        <f t="shared" ref="G88" si="38">SUM(G86:G87)</f>
        <v>2571.3213072858321</v>
      </c>
      <c r="H88" s="16">
        <f t="shared" ref="H88" si="39">SUM(H86:H87)</f>
        <v>2460.1676510290836</v>
      </c>
      <c r="I88" s="16">
        <f t="shared" ref="I88" si="40">SUM(I86:I87)</f>
        <v>2348.6484276176661</v>
      </c>
      <c r="J88" s="16">
        <f t="shared" ref="J88" si="41">SUM(J86:J87)</f>
        <v>2236.7636370515788</v>
      </c>
      <c r="K88" s="16">
        <f t="shared" ref="K88" si="42">SUM(K86:K87)</f>
        <v>2124.513279330823</v>
      </c>
      <c r="L88" s="16">
        <f t="shared" ref="L88" si="43">SUM(L86:L87)</f>
        <v>2011.8973544553985</v>
      </c>
      <c r="M88" s="16">
        <f t="shared" ref="M88" si="44">SUM(M86:M87)</f>
        <v>1898.9158624253046</v>
      </c>
      <c r="N88" s="16">
        <f t="shared" ref="N88" si="45">SUM(N86:N87)</f>
        <v>1785.5688032405421</v>
      </c>
      <c r="O88" s="16">
        <f t="shared" ref="O88" si="46">SUM(O86:O87)</f>
        <v>1594.93519890111</v>
      </c>
      <c r="P88" s="16">
        <f t="shared" ref="P88" si="47">SUM(P86:P87)</f>
        <v>1437.9092573050143</v>
      </c>
      <c r="Q88" s="16">
        <f t="shared" ref="Q88" si="48">SUM(Q86:Q87)</f>
        <v>1280.3349649769154</v>
      </c>
      <c r="R88" s="16">
        <f t="shared" ref="R88" si="49">SUM(R86:R87)</f>
        <v>1122.2123219168132</v>
      </c>
      <c r="S88" s="16">
        <f t="shared" ref="S88" si="50">SUM(S86:S87)</f>
        <v>963.54132812470743</v>
      </c>
      <c r="T88" s="16">
        <f t="shared" ref="T88" si="51">SUM(T86:T87)</f>
        <v>804.32198360059806</v>
      </c>
      <c r="U88" s="16">
        <f t="shared" ref="U88" si="52">SUM(U86:U87)</f>
        <v>644.55428834448537</v>
      </c>
      <c r="V88" s="16">
        <f t="shared" ref="V88" si="53">SUM(V86:V87)</f>
        <v>484.23824235636908</v>
      </c>
      <c r="W88" s="16">
        <f t="shared" ref="W88" si="54">SUM(W86:W87)</f>
        <v>323.37384563624948</v>
      </c>
      <c r="X88" s="16">
        <f t="shared" ref="X88" si="55">SUM(X86:X87)</f>
        <v>161.96109818412629</v>
      </c>
      <c r="Y88" s="16">
        <f t="shared" ref="Y88" si="56">SUM(Y86:Y87)</f>
        <v>0</v>
      </c>
    </row>
    <row r="90" spans="1:25" x14ac:dyDescent="0.25">
      <c r="A90" s="2" t="s">
        <v>94</v>
      </c>
      <c r="B90" s="16"/>
      <c r="C90" s="16"/>
      <c r="D90" s="16"/>
      <c r="E90" s="16"/>
      <c r="F90" s="16"/>
      <c r="G90" s="16"/>
      <c r="H90" s="16"/>
      <c r="I90" s="16"/>
      <c r="J90" s="16"/>
      <c r="K90" s="16"/>
      <c r="L90" s="16"/>
      <c r="M90" s="16"/>
      <c r="N90" s="16"/>
      <c r="O90" s="16"/>
      <c r="P90" s="16"/>
      <c r="Q90" s="16"/>
      <c r="R90" s="16"/>
      <c r="S90" s="16"/>
      <c r="T90" s="16"/>
      <c r="U90" s="16"/>
      <c r="V90" s="16"/>
      <c r="W90" s="16"/>
      <c r="X90" s="16"/>
      <c r="Y90" s="16"/>
    </row>
    <row r="91" spans="1:25" x14ac:dyDescent="0.25">
      <c r="A91" t="s">
        <v>18</v>
      </c>
      <c r="B91" s="16">
        <f>B83-B88</f>
        <v>0</v>
      </c>
      <c r="C91" s="16">
        <f t="shared" ref="C91:Y91" si="57">C83-C88</f>
        <v>192.76218386285154</v>
      </c>
      <c r="D91" s="16">
        <f t="shared" si="57"/>
        <v>343.73124696669583</v>
      </c>
      <c r="E91" s="16">
        <f t="shared" si="57"/>
        <v>496.34536226655109</v>
      </c>
      <c r="F91" s="16">
        <f t="shared" si="57"/>
        <v>596.71113618386835</v>
      </c>
      <c r="G91" s="16">
        <f t="shared" si="57"/>
        <v>697.44247725585501</v>
      </c>
      <c r="H91" s="16">
        <f t="shared" si="57"/>
        <v>798.53938548250926</v>
      </c>
      <c r="I91" s="16">
        <f t="shared" si="57"/>
        <v>900.00186086383337</v>
      </c>
      <c r="J91" s="16">
        <f t="shared" si="57"/>
        <v>1001.8299033998269</v>
      </c>
      <c r="K91" s="16">
        <f t="shared" si="57"/>
        <v>1104.0235130904889</v>
      </c>
      <c r="L91" s="16">
        <f t="shared" si="57"/>
        <v>1206.5826899358196</v>
      </c>
      <c r="M91" s="16">
        <f t="shared" si="57"/>
        <v>1309.5074339358202</v>
      </c>
      <c r="N91" s="16">
        <f t="shared" si="57"/>
        <v>1412.7977450904889</v>
      </c>
      <c r="O91" s="16">
        <f t="shared" si="57"/>
        <v>1439.5326453998266</v>
      </c>
      <c r="P91" s="16">
        <f t="shared" si="57"/>
        <v>1586.501838965828</v>
      </c>
      <c r="Q91" s="16">
        <f t="shared" si="57"/>
        <v>1734.0193832638331</v>
      </c>
      <c r="R91" s="16">
        <f t="shared" si="57"/>
        <v>1882.0852782938421</v>
      </c>
      <c r="S91" s="16">
        <f t="shared" si="57"/>
        <v>2030.699524055854</v>
      </c>
      <c r="T91" s="16">
        <f t="shared" si="57"/>
        <v>2179.8621205498694</v>
      </c>
      <c r="U91" s="16">
        <f t="shared" si="57"/>
        <v>2329.5730677758884</v>
      </c>
      <c r="V91" s="16">
        <f t="shared" si="57"/>
        <v>2479.832365733911</v>
      </c>
      <c r="W91" s="16">
        <f t="shared" si="57"/>
        <v>2630.6400144239374</v>
      </c>
      <c r="X91" s="16">
        <f t="shared" si="57"/>
        <v>2781.9960138459664</v>
      </c>
      <c r="Y91" s="16">
        <f t="shared" si="57"/>
        <v>2933.9003639999992</v>
      </c>
    </row>
    <row r="92" spans="1:25" x14ac:dyDescent="0.25">
      <c r="A92" s="2" t="s">
        <v>101</v>
      </c>
      <c r="B92" s="16">
        <f>B91*$B$99</f>
        <v>0</v>
      </c>
      <c r="C92" s="16">
        <f t="shared" ref="C92:Y92" si="58">C91*$B$99</f>
        <v>5.782865515885546</v>
      </c>
      <c r="D92" s="16">
        <f t="shared" si="58"/>
        <v>10.311937409000874</v>
      </c>
      <c r="E92" s="16">
        <f t="shared" si="58"/>
        <v>14.890360867996533</v>
      </c>
      <c r="F92" s="16">
        <f t="shared" si="58"/>
        <v>17.901334085516051</v>
      </c>
      <c r="G92" s="16">
        <f t="shared" si="58"/>
        <v>20.923274317675649</v>
      </c>
      <c r="H92" s="16">
        <f t="shared" si="58"/>
        <v>23.956181564475276</v>
      </c>
      <c r="I92" s="16">
        <f t="shared" si="58"/>
        <v>27.000055825915002</v>
      </c>
      <c r="J92" s="16">
        <f t="shared" si="58"/>
        <v>30.054897101994804</v>
      </c>
      <c r="K92" s="16">
        <f t="shared" si="58"/>
        <v>33.120705392714669</v>
      </c>
      <c r="L92" s="16">
        <f t="shared" si="58"/>
        <v>36.197480698074585</v>
      </c>
      <c r="M92" s="16">
        <f t="shared" si="58"/>
        <v>39.285223018074603</v>
      </c>
      <c r="N92" s="16">
        <f t="shared" si="58"/>
        <v>42.383932352714666</v>
      </c>
      <c r="O92" s="16">
        <f t="shared" si="58"/>
        <v>43.185979361994796</v>
      </c>
      <c r="P92" s="16">
        <f t="shared" si="58"/>
        <v>47.595055168974838</v>
      </c>
      <c r="Q92" s="16">
        <f t="shared" si="58"/>
        <v>52.020581497914989</v>
      </c>
      <c r="R92" s="16">
        <f t="shared" si="58"/>
        <v>56.462558348815257</v>
      </c>
      <c r="S92" s="16">
        <f t="shared" si="58"/>
        <v>60.920985721675621</v>
      </c>
      <c r="T92" s="16">
        <f t="shared" si="58"/>
        <v>65.395863616496072</v>
      </c>
      <c r="U92" s="16">
        <f t="shared" si="58"/>
        <v>69.887192033276648</v>
      </c>
      <c r="V92" s="16">
        <f t="shared" si="58"/>
        <v>74.394970972017333</v>
      </c>
      <c r="W92" s="16">
        <f t="shared" si="58"/>
        <v>78.919200432718114</v>
      </c>
      <c r="X92" s="16">
        <f t="shared" si="58"/>
        <v>83.45988041537899</v>
      </c>
      <c r="Y92" s="16">
        <f t="shared" si="58"/>
        <v>88.017010919999976</v>
      </c>
    </row>
    <row r="94" spans="1:25" x14ac:dyDescent="0.25">
      <c r="A94" s="2" t="s">
        <v>61</v>
      </c>
      <c r="B94" s="16">
        <f>SUM(B91:E91)</f>
        <v>1032.8387930960985</v>
      </c>
    </row>
    <row r="95" spans="1:25" x14ac:dyDescent="0.25">
      <c r="A95" s="2" t="s">
        <v>62</v>
      </c>
      <c r="B95" s="16">
        <f>SUM(B91:Y91)</f>
        <v>34068.917554643362</v>
      </c>
    </row>
    <row r="97" spans="1:25" x14ac:dyDescent="0.25">
      <c r="A97" s="2" t="s">
        <v>85</v>
      </c>
      <c r="B97" s="6">
        <v>314870</v>
      </c>
    </row>
    <row r="98" spans="1:25" x14ac:dyDescent="0.25">
      <c r="A98" s="2" t="s">
        <v>82</v>
      </c>
      <c r="B98" s="6">
        <v>0</v>
      </c>
    </row>
    <row r="99" spans="1:25" x14ac:dyDescent="0.25">
      <c r="A99" s="2" t="s">
        <v>83</v>
      </c>
      <c r="B99" s="19">
        <v>0.03</v>
      </c>
    </row>
    <row r="101" spans="1:25" x14ac:dyDescent="0.25">
      <c r="A101" s="2" t="s">
        <v>69</v>
      </c>
      <c r="B101" s="18">
        <f>$B$99*B94</f>
        <v>30.985163792882954</v>
      </c>
    </row>
    <row r="102" spans="1:25" x14ac:dyDescent="0.25">
      <c r="A102" s="2" t="s">
        <v>90</v>
      </c>
      <c r="B102" s="18">
        <f>$B$99*B95</f>
        <v>1022.0675266393008</v>
      </c>
    </row>
    <row r="104" spans="1:25" x14ac:dyDescent="0.25">
      <c r="A104" s="2" t="s">
        <v>58</v>
      </c>
      <c r="B104" s="7">
        <f>$B$97/B101</f>
        <v>10161.96015953684</v>
      </c>
    </row>
    <row r="105" spans="1:25" x14ac:dyDescent="0.25">
      <c r="A105" s="2" t="s">
        <v>59</v>
      </c>
      <c r="B105" s="7">
        <f>$B$97/B102</f>
        <v>308.07162129036232</v>
      </c>
    </row>
    <row r="108" spans="1:25" ht="24" x14ac:dyDescent="0.4">
      <c r="A108" s="32" t="s">
        <v>74</v>
      </c>
    </row>
    <row r="109" spans="1:25" x14ac:dyDescent="0.25">
      <c r="B109" s="2">
        <v>2027</v>
      </c>
      <c r="C109" s="2">
        <v>2028</v>
      </c>
      <c r="D109" s="2">
        <v>2029</v>
      </c>
      <c r="E109" s="2">
        <v>2030</v>
      </c>
      <c r="F109" s="2">
        <v>2031</v>
      </c>
      <c r="G109" s="2">
        <v>2032</v>
      </c>
      <c r="H109" s="2">
        <v>2033</v>
      </c>
      <c r="I109" s="2">
        <v>2034</v>
      </c>
      <c r="J109" s="2">
        <v>2035</v>
      </c>
      <c r="K109" s="2">
        <v>2036</v>
      </c>
      <c r="L109" s="2">
        <v>2037</v>
      </c>
      <c r="M109" s="2">
        <v>2038</v>
      </c>
      <c r="N109" s="2">
        <v>2039</v>
      </c>
      <c r="O109" s="2">
        <v>2040</v>
      </c>
      <c r="P109" s="2">
        <v>2041</v>
      </c>
      <c r="Q109" s="2">
        <v>2042</v>
      </c>
      <c r="R109" s="2">
        <v>2043</v>
      </c>
      <c r="S109" s="2">
        <v>2044</v>
      </c>
      <c r="T109" s="2">
        <v>2045</v>
      </c>
      <c r="U109" s="2">
        <v>2046</v>
      </c>
      <c r="V109" s="2">
        <v>2047</v>
      </c>
      <c r="W109" s="2">
        <v>2048</v>
      </c>
      <c r="X109" s="2">
        <v>2049</v>
      </c>
      <c r="Y109" s="2">
        <v>2050</v>
      </c>
    </row>
    <row r="110" spans="1:25" x14ac:dyDescent="0.25">
      <c r="A110" s="2" t="s">
        <v>57</v>
      </c>
    </row>
    <row r="111" spans="1:25" x14ac:dyDescent="0.25">
      <c r="A111" t="s">
        <v>96</v>
      </c>
      <c r="B111" s="16">
        <f>(1100*(('Pre- and Post-Retrofit Energy'!$D$31*INDEX('Emissions Factors'!$E$16:$E$46,MATCH('2030 and 2050 GHG Projections'!B109,'Emissions Factors'!$B$16:$B$46,0)))+(IF(B109&lt;2040,'Pre- and Post-Retrofit Energy'!$D$32,'Pre- and Post-Retrofit Energy'!$F$32))*'Emissions Factors'!$E$7+'Pre- and Post-Retrofit Energy'!$B$19*28))/1000</f>
        <v>6542.1672723705487</v>
      </c>
      <c r="C111" s="16">
        <f>(1100*(('Pre- and Post-Retrofit Energy'!$D$31*INDEX('Emissions Factors'!$E$16:$E$46,MATCH('2030 and 2050 GHG Projections'!C109,'Emissions Factors'!$B$16:$B$46,0)))+(IF(C109&lt;2040,'Pre- and Post-Retrofit Energy'!$D$32,'Pre- and Post-Retrofit Energy'!$F$32))*'Emissions Factors'!$E$7+'Pre- and Post-Retrofit Energy'!$B$19*28))/1000</f>
        <v>6320.9188157084855</v>
      </c>
      <c r="D111" s="16">
        <f>(1100*(('Pre- and Post-Retrofit Energy'!$D$31*INDEX('Emissions Factors'!$E$16:$E$46,MATCH('2030 and 2050 GHG Projections'!D109,'Emissions Factors'!$B$16:$B$46,0)))+(IF(D109&lt;2040,'Pre- and Post-Retrofit Energy'!$D$32,'Pre- and Post-Retrofit Energy'!$F$32))*'Emissions Factors'!$E$7+'Pre- and Post-Retrofit Energy'!$B$19*28))/1000</f>
        <v>6136.5451018234335</v>
      </c>
      <c r="E111" s="16">
        <f>(1100*(('Pre- and Post-Retrofit Energy'!$D$31*INDEX('Emissions Factors'!$E$16:$E$46,MATCH('2030 and 2050 GHG Projections'!E109,'Emissions Factors'!$B$16:$B$46,0)))+(IF(E109&lt;2040,'Pre- and Post-Retrofit Energy'!$D$32,'Pre- and Post-Retrofit Energy'!$F$32))*'Emissions Factors'!$E$7+'Pre- and Post-Retrofit Energy'!$B$19*28))/1000</f>
        <v>6029.6083477701022</v>
      </c>
      <c r="F111" s="16">
        <f>(1100*(('Pre- and Post-Retrofit Energy'!$D$31*INDEX('Emissions Factors'!$E$16:$E$46,MATCH('2030 and 2050 GHG Projections'!F109,'Emissions Factors'!$B$16:$B$46,0)))+(IF(F109&lt;2040,'Pre- and Post-Retrofit Energy'!$D$32,'Pre- and Post-Retrofit Energy'!$F$32))*'Emissions Factors'!$E$7+'Pre- and Post-Retrofit Energy'!$B$19*28))/1000</f>
        <v>6011.1709763815979</v>
      </c>
      <c r="G111" s="16">
        <f>(1100*(('Pre- and Post-Retrofit Energy'!$D$31*INDEX('Emissions Factors'!$E$16:$E$46,MATCH('2030 and 2050 GHG Projections'!G109,'Emissions Factors'!$B$16:$B$46,0)))+(IF(G109&lt;2040,'Pre- and Post-Retrofit Energy'!$D$32,'Pre- and Post-Retrofit Energy'!$F$32))*'Emissions Factors'!$E$7+'Pre- and Post-Retrofit Energy'!$B$19*28))/1000</f>
        <v>5992.7336049930927</v>
      </c>
      <c r="H111" s="16">
        <f>(1100*(('Pre- and Post-Retrofit Energy'!$D$31*INDEX('Emissions Factors'!$E$16:$E$46,MATCH('2030 and 2050 GHG Projections'!H109,'Emissions Factors'!$B$16:$B$46,0)))+(IF(H109&lt;2040,'Pre- and Post-Retrofit Energy'!$D$32,'Pre- and Post-Retrofit Energy'!$F$32))*'Emissions Factors'!$E$7+'Pre- and Post-Retrofit Energy'!$B$19*28))/1000</f>
        <v>5974.2962336045875</v>
      </c>
      <c r="I111" s="16">
        <f>(1100*(('Pre- and Post-Retrofit Energy'!$D$31*INDEX('Emissions Factors'!$E$16:$E$46,MATCH('2030 and 2050 GHG Projections'!I109,'Emissions Factors'!$B$16:$B$46,0)))+(IF(I109&lt;2040,'Pre- and Post-Retrofit Energy'!$D$32,'Pre- and Post-Retrofit Energy'!$F$32))*'Emissions Factors'!$E$7+'Pre- and Post-Retrofit Energy'!$B$19*28))/1000</f>
        <v>5955.8588622160823</v>
      </c>
      <c r="J111" s="16">
        <f>(1100*(('Pre- and Post-Retrofit Energy'!$D$31*INDEX('Emissions Factors'!$E$16:$E$46,MATCH('2030 and 2050 GHG Projections'!J109,'Emissions Factors'!$B$16:$B$46,0)))+(IF(J109&lt;2040,'Pre- and Post-Retrofit Energy'!$D$32,'Pre- and Post-Retrofit Energy'!$F$32))*'Emissions Factors'!$E$7+'Pre- and Post-Retrofit Energy'!$B$19*28))/1000</f>
        <v>5937.4214908275771</v>
      </c>
      <c r="K111" s="16">
        <f>(1100*(('Pre- and Post-Retrofit Energy'!$D$31*INDEX('Emissions Factors'!$E$16:$E$46,MATCH('2030 and 2050 GHG Projections'!K109,'Emissions Factors'!$B$16:$B$46,0)))+(IF(K109&lt;2040,'Pre- and Post-Retrofit Energy'!$D$32,'Pre- and Post-Retrofit Energy'!$F$32))*'Emissions Factors'!$E$7+'Pre- and Post-Retrofit Energy'!$B$19*28))/1000</f>
        <v>5918.9841194390719</v>
      </c>
      <c r="L111" s="16">
        <f>(1100*(('Pre- and Post-Retrofit Energy'!$D$31*INDEX('Emissions Factors'!$E$16:$E$46,MATCH('2030 and 2050 GHG Projections'!L109,'Emissions Factors'!$B$16:$B$46,0)))+(IF(L109&lt;2040,'Pre- and Post-Retrofit Energy'!$D$32,'Pre- and Post-Retrofit Energy'!$F$32))*'Emissions Factors'!$E$7+'Pre- and Post-Retrofit Energy'!$B$19*28))/1000</f>
        <v>5900.5467480505667</v>
      </c>
      <c r="M111" s="16">
        <f>(1100*(('Pre- and Post-Retrofit Energy'!$D$31*INDEX('Emissions Factors'!$E$16:$E$46,MATCH('2030 and 2050 GHG Projections'!M109,'Emissions Factors'!$B$16:$B$46,0)))+(IF(M109&lt;2040,'Pre- and Post-Retrofit Energy'!$D$32,'Pre- and Post-Retrofit Energy'!$F$32))*'Emissions Factors'!$E$7+'Pre- and Post-Retrofit Energy'!$B$19*28))/1000</f>
        <v>5882.1093766620615</v>
      </c>
      <c r="N111" s="16">
        <f>(1100*(('Pre- and Post-Retrofit Energy'!$D$31*INDEX('Emissions Factors'!$E$16:$E$46,MATCH('2030 and 2050 GHG Projections'!N109,'Emissions Factors'!$B$16:$B$46,0)))+(IF(N109&lt;2040,'Pre- and Post-Retrofit Energy'!$D$32,'Pre- and Post-Retrofit Energy'!$F$32))*'Emissions Factors'!$E$7+'Pre- and Post-Retrofit Energy'!$B$19*28))/1000</f>
        <v>5863.6720052735564</v>
      </c>
      <c r="O111" s="16">
        <f>(1100*(('Pre- and Post-Retrofit Energy'!$D$31*INDEX('Emissions Factors'!$E$16:$E$46,MATCH('2030 and 2050 GHG Projections'!O109,'Emissions Factors'!$B$16:$B$46,0)))+(IF(O109&lt;2040,'Pre- and Post-Retrofit Energy'!$D$32,'Pre- and Post-Retrofit Energy'!$F$32))*'Emissions Factors'!$E$7+'Pre- and Post-Retrofit Energy'!$B$19*28))/1000</f>
        <v>5563.1910478850514</v>
      </c>
      <c r="P111" s="16">
        <f>(1100*(('Pre- and Post-Retrofit Energy'!$D$31*INDEX('Emissions Factors'!$E$16:$E$46,MATCH('2030 and 2050 GHG Projections'!P109,'Emissions Factors'!$B$16:$B$46,0)))+(IF(P109&lt;2040,'Pre- and Post-Retrofit Energy'!$D$32,'Pre- and Post-Retrofit Energy'!$F$32))*'Emissions Factors'!$E$7+'Pre- and Post-Retrofit Energy'!$B$19*28))/1000</f>
        <v>5544.7536764965453</v>
      </c>
      <c r="Q111" s="16">
        <f>(1100*(('Pre- and Post-Retrofit Energy'!$D$31*INDEX('Emissions Factors'!$E$16:$E$46,MATCH('2030 and 2050 GHG Projections'!Q109,'Emissions Factors'!$B$16:$B$46,0)))+(IF(Q109&lt;2040,'Pre- and Post-Retrofit Energy'!$D$32,'Pre- and Post-Retrofit Energy'!$F$32))*'Emissions Factors'!$E$7+'Pre- and Post-Retrofit Energy'!$B$19*28))/1000</f>
        <v>5526.3163051080401</v>
      </c>
      <c r="R111" s="16">
        <f>(1100*(('Pre- and Post-Retrofit Energy'!$D$31*INDEX('Emissions Factors'!$E$16:$E$46,MATCH('2030 and 2050 GHG Projections'!R109,'Emissions Factors'!$B$16:$B$46,0)))+(IF(R109&lt;2040,'Pre- and Post-Retrofit Energy'!$D$32,'Pre- and Post-Retrofit Energy'!$F$32))*'Emissions Factors'!$E$7+'Pre- and Post-Retrofit Energy'!$B$19*28))/1000</f>
        <v>5507.8789337195349</v>
      </c>
      <c r="S111" s="16">
        <f>(1100*(('Pre- and Post-Retrofit Energy'!$D$31*INDEX('Emissions Factors'!$E$16:$E$46,MATCH('2030 and 2050 GHG Projections'!S109,'Emissions Factors'!$B$16:$B$46,0)))+(IF(S109&lt;2040,'Pre- and Post-Retrofit Energy'!$D$32,'Pre- and Post-Retrofit Energy'!$F$32))*'Emissions Factors'!$E$7+'Pre- and Post-Retrofit Energy'!$B$19*28))/1000</f>
        <v>5489.4415623310288</v>
      </c>
      <c r="T111" s="16">
        <f>(1100*(('Pre- and Post-Retrofit Energy'!$D$31*INDEX('Emissions Factors'!$E$16:$E$46,MATCH('2030 and 2050 GHG Projections'!T109,'Emissions Factors'!$B$16:$B$46,0)))+(IF(T109&lt;2040,'Pre- and Post-Retrofit Energy'!$D$32,'Pre- and Post-Retrofit Energy'!$F$32))*'Emissions Factors'!$E$7+'Pre- and Post-Retrofit Energy'!$B$19*28))/1000</f>
        <v>5471.0041909425236</v>
      </c>
      <c r="U111" s="16">
        <f>(1100*(('Pre- and Post-Retrofit Energy'!$D$31*INDEX('Emissions Factors'!$E$16:$E$46,MATCH('2030 and 2050 GHG Projections'!U109,'Emissions Factors'!$B$16:$B$46,0)))+(IF(U109&lt;2040,'Pre- and Post-Retrofit Energy'!$D$32,'Pre- and Post-Retrofit Energy'!$F$32))*'Emissions Factors'!$E$7+'Pre- and Post-Retrofit Energy'!$B$19*28))/1000</f>
        <v>5452.5668195540184</v>
      </c>
      <c r="V111" s="16">
        <f>(1100*(('Pre- and Post-Retrofit Energy'!$D$31*INDEX('Emissions Factors'!$E$16:$E$46,MATCH('2030 and 2050 GHG Projections'!V109,'Emissions Factors'!$B$16:$B$46,0)))+(IF(V109&lt;2040,'Pre- and Post-Retrofit Energy'!$D$32,'Pre- and Post-Retrofit Energy'!$F$32))*'Emissions Factors'!$E$7+'Pre- and Post-Retrofit Energy'!$B$19*28))/1000</f>
        <v>5434.1294481655132</v>
      </c>
      <c r="W111" s="16">
        <f>(1100*(('Pre- and Post-Retrofit Energy'!$D$31*INDEX('Emissions Factors'!$E$16:$E$46,MATCH('2030 and 2050 GHG Projections'!W109,'Emissions Factors'!$B$16:$B$46,0)))+(IF(W109&lt;2040,'Pre- and Post-Retrofit Energy'!$D$32,'Pre- and Post-Retrofit Energy'!$F$32))*'Emissions Factors'!$E$7+'Pre- and Post-Retrofit Energy'!$B$19*28))/1000</f>
        <v>5415.692076777008</v>
      </c>
      <c r="X111" s="16">
        <f>(1100*(('Pre- and Post-Retrofit Energy'!$D$31*INDEX('Emissions Factors'!$E$16:$E$46,MATCH('2030 and 2050 GHG Projections'!X109,'Emissions Factors'!$B$16:$B$46,0)))+(IF(X109&lt;2040,'Pre- and Post-Retrofit Energy'!$D$32,'Pre- and Post-Retrofit Energy'!$F$32))*'Emissions Factors'!$E$7+'Pre- and Post-Retrofit Energy'!$B$19*28))/1000</f>
        <v>5397.2547053885028</v>
      </c>
      <c r="Y111" s="16">
        <f>(1100*(('Pre- and Post-Retrofit Energy'!$D$31*INDEX('Emissions Factors'!$E$16:$E$46,MATCH('2030 and 2050 GHG Projections'!Y109,'Emissions Factors'!$B$16:$B$46,0)))+(IF(Y109&lt;2040,'Pre- and Post-Retrofit Energy'!$D$32,'Pre- and Post-Retrofit Energy'!$F$32))*'Emissions Factors'!$E$7+'Pre- and Post-Retrofit Energy'!$B$19*28))/1000</f>
        <v>5378.8173339999985</v>
      </c>
    </row>
    <row r="113" spans="1:25" x14ac:dyDescent="0.25">
      <c r="A113" s="2" t="s">
        <v>95</v>
      </c>
    </row>
    <row r="114" spans="1:25" x14ac:dyDescent="0.25">
      <c r="A114" t="s">
        <v>78</v>
      </c>
      <c r="B114" s="16">
        <f>(IFERROR(INDEX('Pre- and Post-Retrofit Energy'!$B$92:$B$115,MATCH('2030 and 2050 GHG Projections'!B$109,'Pre- and Post-Retrofit Energy'!$A$92:$A$115,0)),1100)*'Pre- and Post-Retrofit Energy'!$E$31*INDEX('Emissions Factors'!$E$16:$E$46,MATCH(B$109,'Emissions Factors'!$B$16:$B$46,0)))/1000</f>
        <v>61.902017144678013</v>
      </c>
      <c r="C114" s="16">
        <f>(IFERROR(INDEX('Pre- and Post-Retrofit Energy'!$B$92:$B$115,MATCH('2030 and 2050 GHG Projections'!C$109,'Pre- and Post-Retrofit Energy'!$A$92:$A$115,0)),1100)*'Pre- and Post-Retrofit Energy'!$E$31*INDEX('Emissions Factors'!$E$16:$E$46,MATCH(C$109,'Emissions Factors'!$B$16:$B$46,0)))/1000</f>
        <v>92.723523589099258</v>
      </c>
      <c r="D114" s="16">
        <f>(IFERROR(INDEX('Pre- and Post-Retrofit Energy'!$B$92:$B$115,MATCH('2030 and 2050 GHG Projections'!D$109,'Pre- and Post-Retrofit Energy'!$A$92:$A$115,0)),1100)*'Pre- and Post-Retrofit Energy'!$E$31*INDEX('Emissions Factors'!$E$16:$E$46,MATCH(D$109,'Emissions Factors'!$B$16:$B$46,0)))/1000</f>
        <v>100.23464700832795</v>
      </c>
      <c r="E114" s="16">
        <f>(IFERROR(INDEX('Pre- and Post-Retrofit Energy'!$B$92:$B$115,MATCH('2030 and 2050 GHG Projections'!E$109,'Pre- and Post-Retrofit Energy'!$A$92:$A$115,0)),1100)*'Pre- and Post-Retrofit Energy'!$E$31*INDEX('Emissions Factors'!$E$16:$E$46,MATCH(E$109,'Emissions Factors'!$B$16:$B$46,0)))/1000</f>
        <v>103.60170233418907</v>
      </c>
      <c r="F114" s="16">
        <f>(IFERROR(INDEX('Pre- and Post-Retrofit Energy'!$B$92:$B$115,MATCH('2030 and 2050 GHG Projections'!F$109,'Pre- and Post-Retrofit Energy'!$A$92:$A$115,0)),1100)*'Pre- and Post-Retrofit Energy'!$E$31*INDEX('Emissions Factors'!$E$16:$E$46,MATCH(F$109,'Emissions Factors'!$B$16:$B$46,0)))/1000</f>
        <v>123.02702152184953</v>
      </c>
      <c r="G114" s="16">
        <f>(IFERROR(INDEX('Pre- and Post-Retrofit Energy'!$B$92:$B$115,MATCH('2030 and 2050 GHG Projections'!G$109,'Pre- and Post-Retrofit Energy'!$A$92:$A$115,0)),1100)*'Pre- and Post-Retrofit Energy'!$E$31*INDEX('Emissions Factors'!$E$16:$E$46,MATCH(G$109,'Emissions Factors'!$B$16:$B$46,0)))/1000</f>
        <v>139.86229815115524</v>
      </c>
      <c r="H114" s="16">
        <f>(IFERROR(INDEX('Pre- and Post-Retrofit Energy'!$B$92:$B$115,MATCH('2030 and 2050 GHG Projections'!H$109,'Pre- and Post-Retrofit Energy'!$A$92:$A$115,0)),1100)*'Pre- and Post-Retrofit Energy'!$E$31*INDEX('Emissions Factors'!$E$16:$E$46,MATCH(H$109,'Emissions Factors'!$B$16:$B$46,0)))/1000</f>
        <v>154.10753222210624</v>
      </c>
      <c r="I114" s="16">
        <f>(IFERROR(INDEX('Pre- and Post-Retrofit Energy'!$B$92:$B$115,MATCH('2030 and 2050 GHG Projections'!I$109,'Pre- and Post-Retrofit Energy'!$A$92:$A$115,0)),1100)*'Pre- and Post-Retrofit Energy'!$E$31*INDEX('Emissions Factors'!$E$16:$E$46,MATCH(I$109,'Emissions Factors'!$B$16:$B$46,0)))/1000</f>
        <v>165.76272373470249</v>
      </c>
      <c r="J114" s="16">
        <f>(IFERROR(INDEX('Pre- and Post-Retrofit Energy'!$B$92:$B$115,MATCH('2030 and 2050 GHG Projections'!J$109,'Pre- and Post-Retrofit Energy'!$A$92:$A$115,0)),1100)*'Pre- and Post-Retrofit Energy'!$E$31*INDEX('Emissions Factors'!$E$16:$E$46,MATCH(J$109,'Emissions Factors'!$B$16:$B$46,0)))/1000</f>
        <v>174.82787268894398</v>
      </c>
      <c r="K114" s="16">
        <f>(IFERROR(INDEX('Pre- and Post-Retrofit Energy'!$B$92:$B$115,MATCH('2030 and 2050 GHG Projections'!K$109,'Pre- and Post-Retrofit Energy'!$A$92:$A$115,0)),1100)*'Pre- and Post-Retrofit Energy'!$E$31*INDEX('Emissions Factors'!$E$16:$E$46,MATCH(K$109,'Emissions Factors'!$B$16:$B$46,0)))/1000</f>
        <v>181.30297908483078</v>
      </c>
      <c r="L114" s="16">
        <f>(IFERROR(INDEX('Pre- and Post-Retrofit Energy'!$B$92:$B$115,MATCH('2030 and 2050 GHG Projections'!L$109,'Pre- and Post-Retrofit Energy'!$A$92:$A$115,0)),1100)*'Pre- and Post-Retrofit Energy'!$E$31*INDEX('Emissions Factors'!$E$16:$E$46,MATCH(L$109,'Emissions Factors'!$B$16:$B$46,0)))/1000</f>
        <v>185.18804292236285</v>
      </c>
      <c r="M114" s="16">
        <f>(IFERROR(INDEX('Pre- and Post-Retrofit Energy'!$B$92:$B$115,MATCH('2030 and 2050 GHG Projections'!M$109,'Pre- and Post-Retrofit Energy'!$A$92:$A$115,0)),1100)*'Pre- and Post-Retrofit Energy'!$E$31*INDEX('Emissions Factors'!$E$16:$E$46,MATCH(M$109,'Emissions Factors'!$B$16:$B$46,0)))/1000</f>
        <v>186.4830642015402</v>
      </c>
      <c r="N114" s="16">
        <f>(IFERROR(INDEX('Pre- and Post-Retrofit Energy'!$B$92:$B$115,MATCH('2030 and 2050 GHG Projections'!N$109,'Pre- and Post-Retrofit Energy'!$A$92:$A$115,0)),1100)*'Pre- and Post-Retrofit Energy'!$E$31*INDEX('Emissions Factors'!$E$16:$E$46,MATCH(N$109,'Emissions Factors'!$B$16:$B$46,0)))/1000</f>
        <v>185.18804292236283</v>
      </c>
      <c r="O114" s="16">
        <f>(IFERROR(INDEX('Pre- and Post-Retrofit Energy'!$B$92:$B$115,MATCH('2030 and 2050 GHG Projections'!O$109,'Pre- and Post-Retrofit Energy'!$A$92:$A$115,0)),1100)*'Pre- and Post-Retrofit Energy'!$E$31*INDEX('Emissions Factors'!$E$16:$E$46,MATCH(O$109,'Emissions Factors'!$B$16:$B$46,0)))/1000</f>
        <v>181.3029790848307</v>
      </c>
      <c r="P114" s="16">
        <f>(IFERROR(INDEX('Pre- and Post-Retrofit Energy'!$B$92:$B$115,MATCH('2030 and 2050 GHG Projections'!P$109,'Pre- and Post-Retrofit Energy'!$A$92:$A$115,0)),1100)*'Pre- and Post-Retrofit Energy'!$E$31*INDEX('Emissions Factors'!$E$16:$E$46,MATCH(P$109,'Emissions Factors'!$B$16:$B$46,0)))/1000</f>
        <v>177.15891099146307</v>
      </c>
      <c r="Q114" s="16">
        <f>(IFERROR(INDEX('Pre- and Post-Retrofit Energy'!$B$92:$B$115,MATCH('2030 and 2050 GHG Projections'!Q$109,'Pre- and Post-Retrofit Energy'!$A$92:$A$115,0)),1100)*'Pre- and Post-Retrofit Energy'!$E$31*INDEX('Emissions Factors'!$E$16:$E$46,MATCH(Q$109,'Emissions Factors'!$B$16:$B$46,0)))/1000</f>
        <v>169.9067918280698</v>
      </c>
      <c r="R114" s="16">
        <f>(IFERROR(INDEX('Pre- and Post-Retrofit Energy'!$B$92:$B$115,MATCH('2030 and 2050 GHG Projections'!R$109,'Pre- and Post-Retrofit Energy'!$A$92:$A$115,0)),1100)*'Pre- and Post-Retrofit Energy'!$E$31*INDEX('Emissions Factors'!$E$16:$E$46,MATCH(R$109,'Emissions Factors'!$B$16:$B$46,0)))/1000</f>
        <v>159.54662159465084</v>
      </c>
      <c r="S114" s="16">
        <f>(IFERROR(INDEX('Pre- and Post-Retrofit Energy'!$B$92:$B$115,MATCH('2030 and 2050 GHG Projections'!S$109,'Pre- and Post-Retrofit Energy'!$A$92:$A$115,0)),1100)*'Pre- and Post-Retrofit Energy'!$E$31*INDEX('Emissions Factors'!$E$16:$E$46,MATCH(S$109,'Emissions Factors'!$B$16:$B$46,0)))/1000</f>
        <v>146.07840029120621</v>
      </c>
      <c r="T114" s="16">
        <f>(IFERROR(INDEX('Pre- and Post-Retrofit Energy'!$B$92:$B$115,MATCH('2030 and 2050 GHG Projections'!T$109,'Pre- and Post-Retrofit Energy'!$A$92:$A$115,0)),1100)*'Pre- and Post-Retrofit Energy'!$E$31*INDEX('Emissions Factors'!$E$16:$E$46,MATCH(T$109,'Emissions Factors'!$B$16:$B$46,0)))/1000</f>
        <v>129.50212791773592</v>
      </c>
      <c r="U114" s="16">
        <f>(IFERROR(INDEX('Pre- and Post-Retrofit Energy'!$B$92:$B$115,MATCH('2030 and 2050 GHG Projections'!U$109,'Pre- and Post-Retrofit Energy'!$A$92:$A$115,0)),1100)*'Pre- and Post-Retrofit Energy'!$E$31*INDEX('Emissions Factors'!$E$16:$E$46,MATCH(U$109,'Emissions Factors'!$B$16:$B$46,0)))/1000</f>
        <v>109.81780447423992</v>
      </c>
      <c r="V114" s="16">
        <f>(IFERROR(INDEX('Pre- and Post-Retrofit Energy'!$B$92:$B$115,MATCH('2030 and 2050 GHG Projections'!V$109,'Pre- and Post-Retrofit Energy'!$A$92:$A$115,0)),1100)*'Pre- and Post-Retrofit Energy'!$E$31*INDEX('Emissions Factors'!$E$16:$E$46,MATCH(V$109,'Emissions Factors'!$B$16:$B$46,0)))/1000</f>
        <v>87.02542996071827</v>
      </c>
      <c r="W114" s="16">
        <f>(IFERROR(INDEX('Pre- and Post-Retrofit Energy'!$B$92:$B$115,MATCH('2030 and 2050 GHG Projections'!W$109,'Pre- and Post-Retrofit Energy'!$A$92:$A$115,0)),1100)*'Pre- and Post-Retrofit Energy'!$E$31*INDEX('Emissions Factors'!$E$16:$E$46,MATCH(W$109,'Emissions Factors'!$B$16:$B$46,0)))/1000</f>
        <v>61.125004377170939</v>
      </c>
      <c r="X114" s="16">
        <f>(IFERROR(INDEX('Pre- and Post-Retrofit Energy'!$B$92:$B$115,MATCH('2030 and 2050 GHG Projections'!X$109,'Pre- and Post-Retrofit Energy'!$A$92:$A$115,0)),1100)*'Pre- and Post-Retrofit Energy'!$E$31*INDEX('Emissions Factors'!$E$16:$E$46,MATCH(X$109,'Emissions Factors'!$B$16:$B$46,0)))/1000</f>
        <v>32.116527723597933</v>
      </c>
      <c r="Y114" s="16">
        <f>(IFERROR(INDEX('Pre- and Post-Retrofit Energy'!$B$92:$B$115,MATCH('2030 and 2050 GHG Projections'!Y$109,'Pre- and Post-Retrofit Energy'!$A$92:$A$115,0)),1100)*'Pre- and Post-Retrofit Energy'!$E$31*INDEX('Emissions Factors'!$E$16:$E$46,MATCH(Y$109,'Emissions Factors'!$B$16:$B$46,0)))/1000</f>
        <v>0</v>
      </c>
    </row>
    <row r="115" spans="1:25" x14ac:dyDescent="0.25">
      <c r="A115" t="s">
        <v>79</v>
      </c>
      <c r="B115" s="16">
        <f>((1100-IFERROR(INDEX('Pre- and Post-Retrofit Energy'!$B$92:$B$115,MATCH(B$109,'Pre- and Post-Retrofit Energy'!$A$92:$A$115,0)),240))*(('Pre- and Post-Retrofit Energy'!$D$31*INDEX('Emissions Factors'!$E$16:$E$46,MATCH('2030 and 2050 GHG Projections'!B109,'Emissions Factors'!$B$16:$B$46,0)))+(IF(B109&lt;2040,'Pre- and Post-Retrofit Energy'!$D$32,'Pre- and Post-Retrofit Energy'!$F$32))*'Emissions Factors'!$E$7+'Pre- and Post-Retrofit Energy'!$B$19*28))/1000</f>
        <v>6244.7960327173414</v>
      </c>
      <c r="C115" s="16">
        <f>((1100-IFERROR(INDEX('Pre- and Post-Retrofit Energy'!$B$92:$B$115,MATCH(C$109,'Pre- and Post-Retrofit Energy'!$A$92:$A$115,0)),240))*(('Pre- and Post-Retrofit Energy'!$D$31*INDEX('Emissions Factors'!$E$16:$E$46,MATCH('2030 and 2050 GHG Projections'!C109,'Emissions Factors'!$B$16:$B$46,0)))+(IF(C109&lt;2040,'Pre- and Post-Retrofit Energy'!$D$32,'Pre- and Post-Retrofit Energy'!$F$32))*'Emissions Factors'!$E$7+'Pre- and Post-Retrofit Energy'!$B$19*28))/1000</f>
        <v>5746.2898324622593</v>
      </c>
      <c r="D115" s="16">
        <f>((1100-IFERROR(INDEX('Pre- and Post-Retrofit Energy'!$B$92:$B$115,MATCH(D$109,'Pre- and Post-Retrofit Energy'!$A$92:$A$115,0)),240))*(('Pre- and Post-Retrofit Energy'!$D$31*INDEX('Emissions Factors'!$E$16:$E$46,MATCH('2030 and 2050 GHG Projections'!D109,'Emissions Factors'!$B$16:$B$46,0)))+(IF(D109&lt;2040,'Pre- and Post-Retrofit Energy'!$D$32,'Pre- and Post-Retrofit Energy'!$F$32))*'Emissions Factors'!$E$7+'Pre- and Post-Retrofit Energy'!$B$19*28))/1000</f>
        <v>5299.7434970293289</v>
      </c>
      <c r="E115" s="16">
        <f>((1100-IFERROR(INDEX('Pre- and Post-Retrofit Energy'!$B$92:$B$115,MATCH(E$109,'Pre- and Post-Retrofit Energy'!$A$92:$A$115,0)),240))*(('Pre- and Post-Retrofit Energy'!$D$31*INDEX('Emissions Factors'!$E$16:$E$46,MATCH('2030 and 2050 GHG Projections'!E109,'Emissions Factors'!$B$16:$B$46,0)))+(IF(E109&lt;2040,'Pre- and Post-Retrofit Energy'!$D$32,'Pre- and Post-Retrofit Energy'!$F$32))*'Emissions Factors'!$E$7+'Pre- and Post-Retrofit Energy'!$B$19*28))/1000</f>
        <v>4933.3159209028108</v>
      </c>
      <c r="F115" s="16">
        <f>((1100-IFERROR(INDEX('Pre- and Post-Retrofit Energy'!$B$92:$B$115,MATCH(F$109,'Pre- and Post-Retrofit Energy'!$A$92:$A$115,0)),240))*(('Pre- and Post-Retrofit Energy'!$D$31*INDEX('Emissions Factors'!$E$16:$E$46,MATCH('2030 and 2050 GHG Projections'!F109,'Emissions Factors'!$B$16:$B$46,0)))+(IF(F109&lt;2040,'Pre- and Post-Retrofit Energy'!$D$32,'Pre- and Post-Retrofit Energy'!$F$32))*'Emissions Factors'!$E$7+'Pre- and Post-Retrofit Energy'!$B$19*28))/1000</f>
        <v>4644.9957544766885</v>
      </c>
      <c r="G115" s="16">
        <f>((1100-IFERROR(INDEX('Pre- and Post-Retrofit Energy'!$B$92:$B$115,MATCH(G$109,'Pre- and Post-Retrofit Energy'!$A$92:$A$115,0)),240))*(('Pre- and Post-Retrofit Energy'!$D$31*INDEX('Emissions Factors'!$E$16:$E$46,MATCH('2030 and 2050 GHG Projections'!G109,'Emissions Factors'!$B$16:$B$46,0)))+(IF(G109&lt;2040,'Pre- and Post-Retrofit Energy'!$D$32,'Pre- and Post-Retrofit Energy'!$F$32))*'Emissions Factors'!$E$7+'Pre- and Post-Retrofit Energy'!$B$19*28))/1000</f>
        <v>4358.3517127222494</v>
      </c>
      <c r="H115" s="16">
        <f>((1100-IFERROR(INDEX('Pre- and Post-Retrofit Energy'!$B$92:$B$115,MATCH(H$109,'Pre- and Post-Retrofit Energy'!$A$92:$A$115,0)),240))*(('Pre- and Post-Retrofit Energy'!$D$31*INDEX('Emissions Factors'!$E$16:$E$46,MATCH('2030 and 2050 GHG Projections'!H109,'Emissions Factors'!$B$16:$B$46,0)))+(IF(H109&lt;2040,'Pre- and Post-Retrofit Energy'!$D$32,'Pre- and Post-Retrofit Energy'!$F$32))*'Emissions Factors'!$E$7+'Pre- and Post-Retrofit Energy'!$B$19*28))/1000</f>
        <v>4073.3837956394914</v>
      </c>
      <c r="I115" s="16">
        <f>((1100-IFERROR(INDEX('Pre- and Post-Retrofit Energy'!$B$92:$B$115,MATCH(I$109,'Pre- and Post-Retrofit Energy'!$A$92:$A$115,0)),240))*(('Pre- and Post-Retrofit Energy'!$D$31*INDEX('Emissions Factors'!$E$16:$E$46,MATCH('2030 and 2050 GHG Projections'!I109,'Emissions Factors'!$B$16:$B$46,0)))+(IF(I109&lt;2040,'Pre- and Post-Retrofit Energy'!$D$32,'Pre- and Post-Retrofit Energy'!$F$32))*'Emissions Factors'!$E$7+'Pre- and Post-Retrofit Energy'!$B$19*28))/1000</f>
        <v>3790.0920032284162</v>
      </c>
      <c r="J115" s="16">
        <f>((1100-IFERROR(INDEX('Pre- and Post-Retrofit Energy'!$B$92:$B$115,MATCH(J$109,'Pre- and Post-Retrofit Energy'!$A$92:$A$115,0)),240))*(('Pre- and Post-Retrofit Energy'!$D$31*INDEX('Emissions Factors'!$E$16:$E$46,MATCH('2030 and 2050 GHG Projections'!J109,'Emissions Factors'!$B$16:$B$46,0)))+(IF(J109&lt;2040,'Pre- and Post-Retrofit Energy'!$D$32,'Pre- and Post-Retrofit Energy'!$F$32))*'Emissions Factors'!$E$7+'Pre- and Post-Retrofit Energy'!$B$19*28))/1000</f>
        <v>3508.4763354890229</v>
      </c>
      <c r="K115" s="16">
        <f>((1100-IFERROR(INDEX('Pre- and Post-Retrofit Energy'!$B$92:$B$115,MATCH(K$109,'Pre- and Post-Retrofit Energy'!$A$92:$A$115,0)),240))*(('Pre- and Post-Retrofit Energy'!$D$31*INDEX('Emissions Factors'!$E$16:$E$46,MATCH('2030 and 2050 GHG Projections'!K109,'Emissions Factors'!$B$16:$B$46,0)))+(IF(K109&lt;2040,'Pre- and Post-Retrofit Energy'!$D$32,'Pre- and Post-Retrofit Energy'!$F$32))*'Emissions Factors'!$E$7+'Pre- and Post-Retrofit Energy'!$B$19*28))/1000</f>
        <v>3228.5367924213119</v>
      </c>
      <c r="L115" s="16">
        <f>((1100-IFERROR(INDEX('Pre- and Post-Retrofit Energy'!$B$92:$B$115,MATCH(L$109,'Pre- and Post-Retrofit Energy'!$A$92:$A$115,0)),240))*(('Pre- and Post-Retrofit Energy'!$D$31*INDEX('Emissions Factors'!$E$16:$E$46,MATCH('2030 and 2050 GHG Projections'!L109,'Emissions Factors'!$B$16:$B$46,0)))+(IF(L109&lt;2040,'Pre- and Post-Retrofit Energy'!$D$32,'Pre- and Post-Retrofit Energy'!$F$32))*'Emissions Factors'!$E$7+'Pre- and Post-Retrofit Energy'!$B$19*28))/1000</f>
        <v>2950.2733740252834</v>
      </c>
      <c r="M115" s="16">
        <f>((1100-IFERROR(INDEX('Pre- and Post-Retrofit Energy'!$B$92:$B$115,MATCH(M$109,'Pre- and Post-Retrofit Energy'!$A$92:$A$115,0)),240))*(('Pre- and Post-Retrofit Energy'!$D$31*INDEX('Emissions Factors'!$E$16:$E$46,MATCH('2030 and 2050 GHG Projections'!M109,'Emissions Factors'!$B$16:$B$46,0)))+(IF(M109&lt;2040,'Pre- and Post-Retrofit Energy'!$D$32,'Pre- and Post-Retrofit Energy'!$F$32))*'Emissions Factors'!$E$7+'Pre- and Post-Retrofit Energy'!$B$19*28))/1000</f>
        <v>2673.6860803009372</v>
      </c>
      <c r="N115" s="16">
        <f>((1100-IFERROR(INDEX('Pre- and Post-Retrofit Energy'!$B$92:$B$115,MATCH(N$109,'Pre- and Post-Retrofit Energy'!$A$92:$A$115,0)),240))*(('Pre- and Post-Retrofit Energy'!$D$31*INDEX('Emissions Factors'!$E$16:$E$46,MATCH('2030 and 2050 GHG Projections'!N109,'Emissions Factors'!$B$16:$B$46,0)))+(IF(N109&lt;2040,'Pre- and Post-Retrofit Energy'!$D$32,'Pre- and Post-Retrofit Energy'!$F$32))*'Emissions Factors'!$E$7+'Pre- and Post-Retrofit Energy'!$B$19*28))/1000</f>
        <v>2398.7749112482734</v>
      </c>
      <c r="O115" s="16">
        <f>((1100-IFERROR(INDEX('Pre- and Post-Retrofit Energy'!$B$92:$B$115,MATCH(O$109,'Pre- and Post-Retrofit Energy'!$A$92:$A$115,0)),240))*(('Pre- and Post-Retrofit Energy'!$D$31*INDEX('Emissions Factors'!$E$16:$E$46,MATCH('2030 and 2050 GHG Projections'!O109,'Emissions Factors'!$B$16:$B$46,0)))+(IF(O109&lt;2040,'Pre- and Post-Retrofit Energy'!$D$32,'Pre- and Post-Retrofit Energy'!$F$32))*'Emissions Factors'!$E$7+'Pre- and Post-Retrofit Energy'!$B$19*28))/1000</f>
        <v>2022.978562867291</v>
      </c>
      <c r="P115" s="16">
        <f>((1100-IFERROR(INDEX('Pre- and Post-Retrofit Energy'!$B$92:$B$115,MATCH(P$109,'Pre- and Post-Retrofit Energy'!$A$92:$A$115,0)),240))*(('Pre- and Post-Retrofit Energy'!$D$31*INDEX('Emissions Factors'!$E$16:$E$46,MATCH('2030 and 2050 GHG Projections'!P109,'Emissions Factors'!$B$16:$B$46,0)))+(IF(P109&lt;2040,'Pre- and Post-Retrofit Energy'!$D$32,'Pre- and Post-Retrofit Energy'!$F$32))*'Emissions Factors'!$E$7+'Pre- and Post-Retrofit Energy'!$B$19*28))/1000</f>
        <v>1713.8329545534775</v>
      </c>
      <c r="Q115" s="16">
        <f>((1100-IFERROR(INDEX('Pre- and Post-Retrofit Energy'!$B$92:$B$115,MATCH(Q$109,'Pre- and Post-Retrofit Energy'!$A$92:$A$115,0)),240))*(('Pre- and Post-Retrofit Energy'!$D$31*INDEX('Emissions Factors'!$E$16:$E$46,MATCH('2030 and 2050 GHG Projections'!Q109,'Emissions Factors'!$B$16:$B$46,0)))+(IF(Q109&lt;2040,'Pre- and Post-Retrofit Energy'!$D$32,'Pre- and Post-Retrofit Energy'!$F$32))*'Emissions Factors'!$E$7+'Pre- and Post-Retrofit Energy'!$B$19*28))/1000</f>
        <v>1406.6986958456826</v>
      </c>
      <c r="R115" s="16">
        <f>((1100-IFERROR(INDEX('Pre- and Post-Retrofit Energy'!$B$92:$B$115,MATCH(R$109,'Pre- and Post-Retrofit Energy'!$A$92:$A$115,0)),240))*(('Pre- and Post-Retrofit Energy'!$D$31*INDEX('Emissions Factors'!$E$16:$E$46,MATCH('2030 and 2050 GHG Projections'!R109,'Emissions Factors'!$B$16:$B$46,0)))+(IF(R109&lt;2040,'Pre- and Post-Retrofit Energy'!$D$32,'Pre- and Post-Retrofit Energy'!$F$32))*'Emissions Factors'!$E$7+'Pre- and Post-Retrofit Energy'!$B$19*28))/1000</f>
        <v>1101.5757867439067</v>
      </c>
      <c r="S115" s="16">
        <f>((1100-IFERROR(INDEX('Pre- and Post-Retrofit Energy'!$B$92:$B$115,MATCH(S$109,'Pre- and Post-Retrofit Energy'!$A$92:$A$115,0)),240))*(('Pre- and Post-Retrofit Energy'!$D$31*INDEX('Emissions Factors'!$E$16:$E$46,MATCH('2030 and 2050 GHG Projections'!S109,'Emissions Factors'!$B$16:$B$46,0)))+(IF(S109&lt;2040,'Pre- and Post-Retrofit Energy'!$D$32,'Pre- and Post-Retrofit Energy'!$F$32))*'Emissions Factors'!$E$7+'Pre- and Post-Retrofit Energy'!$B$19*28))/1000</f>
        <v>798.46422724814965</v>
      </c>
      <c r="T115" s="16">
        <f>((1100-IFERROR(INDEX('Pre- and Post-Retrofit Energy'!$B$92:$B$115,MATCH(T$109,'Pre- and Post-Retrofit Energy'!$A$92:$A$115,0)),240))*(('Pre- and Post-Retrofit Energy'!$D$31*INDEX('Emissions Factors'!$E$16:$E$46,MATCH('2030 and 2050 GHG Projections'!T109,'Emissions Factors'!$B$16:$B$46,0)))+(IF(T109&lt;2040,'Pre- and Post-Retrofit Energy'!$D$32,'Pre- and Post-Retrofit Energy'!$F$32))*'Emissions Factors'!$E$7+'Pre- and Post-Retrofit Energy'!$B$19*28))/1000</f>
        <v>497.36401735841127</v>
      </c>
      <c r="U115" s="16">
        <f>((1100-IFERROR(INDEX('Pre- and Post-Retrofit Energy'!$B$92:$B$115,MATCH(U$109,'Pre- and Post-Retrofit Energy'!$A$92:$A$115,0)),240))*(('Pre- and Post-Retrofit Energy'!$D$31*INDEX('Emissions Factors'!$E$16:$E$46,MATCH('2030 and 2050 GHG Projections'!U109,'Emissions Factors'!$B$16:$B$46,0)))+(IF(U109&lt;2040,'Pre- and Post-Retrofit Energy'!$D$32,'Pre- and Post-Retrofit Energy'!$F$32))*'Emissions Factors'!$E$7+'Pre- and Post-Retrofit Energy'!$B$19*28))/1000</f>
        <v>198.27515707469161</v>
      </c>
      <c r="V115" s="16">
        <f>((1100-IFERROR(INDEX('Pre- and Post-Retrofit Energy'!$B$92:$B$115,MATCH(V$109,'Pre- and Post-Retrofit Energy'!$A$92:$A$115,0)),240))*(('Pre- and Post-Retrofit Energy'!$D$31*INDEX('Emissions Factors'!$E$16:$E$46,MATCH('2030 and 2050 GHG Projections'!V109,'Emissions Factors'!$B$16:$B$46,0)))+(IF(V109&lt;2040,'Pre- and Post-Retrofit Energy'!$D$32,'Pre- and Post-Retrofit Energy'!$F$32))*'Emissions Factors'!$E$7+'Pre- and Post-Retrofit Energy'!$B$19*28))/1000</f>
        <v>-98.802353603009337</v>
      </c>
      <c r="W115" s="16">
        <f>((1100-IFERROR(INDEX('Pre- and Post-Retrofit Energy'!$B$92:$B$115,MATCH(W$109,'Pre- and Post-Retrofit Energy'!$A$92:$A$115,0)),240))*(('Pre- and Post-Retrofit Energy'!$D$31*INDEX('Emissions Factors'!$E$16:$E$46,MATCH('2030 and 2050 GHG Projections'!W109,'Emissions Factors'!$B$16:$B$46,0)))+(IF(W109&lt;2040,'Pre- and Post-Retrofit Energy'!$D$32,'Pre- and Post-Retrofit Energy'!$F$32))*'Emissions Factors'!$E$7+'Pre- and Post-Retrofit Energy'!$B$19*28))/1000</f>
        <v>-393.86851467469154</v>
      </c>
      <c r="X115" s="16">
        <f>((1100-IFERROR(INDEX('Pre- and Post-Retrofit Energy'!$B$92:$B$115,MATCH(X$109,'Pre- and Post-Retrofit Energy'!$A$92:$A$115,0)),240))*(('Pre- and Post-Retrofit Energy'!$D$31*INDEX('Emissions Factors'!$E$16:$E$46,MATCH('2030 and 2050 GHG Projections'!X109,'Emissions Factors'!$B$16:$B$46,0)))+(IF(X109&lt;2040,'Pre- and Post-Retrofit Energy'!$D$32,'Pre- and Post-Retrofit Energy'!$F$32))*'Emissions Factors'!$E$7+'Pre- and Post-Retrofit Energy'!$B$19*28))/1000</f>
        <v>-686.92332614035502</v>
      </c>
      <c r="Y115" s="16">
        <f>((1100-IFERROR(INDEX('Pre- and Post-Retrofit Energy'!$B$92:$B$115,MATCH(Y$109,'Pre- and Post-Retrofit Energy'!$A$92:$A$115,0)),240))*(('Pre- and Post-Retrofit Energy'!$D$31*INDEX('Emissions Factors'!$E$16:$E$46,MATCH('2030 and 2050 GHG Projections'!Y109,'Emissions Factors'!$B$16:$B$46,0)))+(IF(Y109&lt;2040,'Pre- and Post-Retrofit Energy'!$D$32,'Pre- and Post-Retrofit Energy'!$F$32))*'Emissions Factors'!$E$7+'Pre- and Post-Retrofit Energy'!$B$19*28))/1000</f>
        <v>-977.96678799999972</v>
      </c>
    </row>
    <row r="116" spans="1:25" x14ac:dyDescent="0.25">
      <c r="A116" t="s">
        <v>97</v>
      </c>
      <c r="B116" s="16">
        <f t="shared" ref="B116:Y116" si="59">SUM(B114:B115)</f>
        <v>6306.6980498620196</v>
      </c>
      <c r="C116" s="16">
        <f t="shared" si="59"/>
        <v>5839.0133560513586</v>
      </c>
      <c r="D116" s="16">
        <f t="shared" si="59"/>
        <v>5399.9781440376564</v>
      </c>
      <c r="E116" s="16">
        <f t="shared" si="59"/>
        <v>5036.917623237</v>
      </c>
      <c r="F116" s="16">
        <f t="shared" si="59"/>
        <v>4768.0227759985382</v>
      </c>
      <c r="G116" s="16">
        <f t="shared" si="59"/>
        <v>4498.2140108734047</v>
      </c>
      <c r="H116" s="16">
        <f t="shared" si="59"/>
        <v>4227.4913278615977</v>
      </c>
      <c r="I116" s="16">
        <f t="shared" si="59"/>
        <v>3955.8547269631185</v>
      </c>
      <c r="J116" s="16">
        <f t="shared" si="59"/>
        <v>3683.3042081779668</v>
      </c>
      <c r="K116" s="16">
        <f t="shared" si="59"/>
        <v>3409.8397715061428</v>
      </c>
      <c r="L116" s="16">
        <f t="shared" si="59"/>
        <v>3135.4614169476463</v>
      </c>
      <c r="M116" s="16">
        <f t="shared" si="59"/>
        <v>2860.1691445024776</v>
      </c>
      <c r="N116" s="16">
        <f t="shared" si="59"/>
        <v>2583.9629541706363</v>
      </c>
      <c r="O116" s="16">
        <f t="shared" si="59"/>
        <v>2204.2815419521216</v>
      </c>
      <c r="P116" s="16">
        <f t="shared" si="59"/>
        <v>1890.9918655449405</v>
      </c>
      <c r="Q116" s="16">
        <f t="shared" si="59"/>
        <v>1576.6054876737524</v>
      </c>
      <c r="R116" s="16">
        <f t="shared" si="59"/>
        <v>1261.1224083385575</v>
      </c>
      <c r="S116" s="16">
        <f t="shared" si="59"/>
        <v>944.54262753935586</v>
      </c>
      <c r="T116" s="16">
        <f t="shared" si="59"/>
        <v>626.86614527614722</v>
      </c>
      <c r="U116" s="16">
        <f t="shared" si="59"/>
        <v>308.0929615489315</v>
      </c>
      <c r="V116" s="16">
        <f t="shared" si="59"/>
        <v>-11.776923642291067</v>
      </c>
      <c r="W116" s="16">
        <f t="shared" si="59"/>
        <v>-332.74351029752063</v>
      </c>
      <c r="X116" s="16">
        <f t="shared" si="59"/>
        <v>-654.80679841675703</v>
      </c>
      <c r="Y116" s="16">
        <f t="shared" si="59"/>
        <v>-977.96678799999972</v>
      </c>
    </row>
    <row r="118" spans="1:25" x14ac:dyDescent="0.25">
      <c r="A118" s="2" t="s">
        <v>94</v>
      </c>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row>
    <row r="119" spans="1:25" x14ac:dyDescent="0.25">
      <c r="A119" t="s">
        <v>18</v>
      </c>
      <c r="B119" s="16">
        <f t="shared" ref="B119:Y119" si="60">B111-B116</f>
        <v>235.46922250852913</v>
      </c>
      <c r="C119" s="16">
        <f t="shared" si="60"/>
        <v>481.90545965712681</v>
      </c>
      <c r="D119" s="16">
        <f t="shared" si="60"/>
        <v>736.56695778577705</v>
      </c>
      <c r="E119" s="16">
        <f t="shared" si="60"/>
        <v>992.69072453310218</v>
      </c>
      <c r="F119" s="16">
        <f t="shared" si="60"/>
        <v>1243.1482003830597</v>
      </c>
      <c r="G119" s="16">
        <f t="shared" si="60"/>
        <v>1494.519594119688</v>
      </c>
      <c r="H119" s="16">
        <f t="shared" si="60"/>
        <v>1746.8049057429898</v>
      </c>
      <c r="I119" s="16">
        <f t="shared" si="60"/>
        <v>2000.0041352529638</v>
      </c>
      <c r="J119" s="16">
        <f t="shared" si="60"/>
        <v>2254.1172826496104</v>
      </c>
      <c r="K119" s="16">
        <f t="shared" si="60"/>
        <v>2509.1443479329291</v>
      </c>
      <c r="L119" s="16">
        <f t="shared" si="60"/>
        <v>2765.0853311029205</v>
      </c>
      <c r="M119" s="16">
        <f t="shared" si="60"/>
        <v>3021.940232159584</v>
      </c>
      <c r="N119" s="16">
        <f t="shared" si="60"/>
        <v>3279.7090511029201</v>
      </c>
      <c r="O119" s="16">
        <f t="shared" si="60"/>
        <v>3358.9095059329297</v>
      </c>
      <c r="P119" s="16">
        <f t="shared" si="60"/>
        <v>3653.7618109516047</v>
      </c>
      <c r="Q119" s="16">
        <f t="shared" si="60"/>
        <v>3949.7108174342875</v>
      </c>
      <c r="R119" s="16">
        <f t="shared" si="60"/>
        <v>4246.7565253809771</v>
      </c>
      <c r="S119" s="16">
        <f t="shared" si="60"/>
        <v>4544.8989347916731</v>
      </c>
      <c r="T119" s="16">
        <f t="shared" si="60"/>
        <v>4844.1380456663765</v>
      </c>
      <c r="U119" s="16">
        <f t="shared" si="60"/>
        <v>5144.4738580050871</v>
      </c>
      <c r="V119" s="16">
        <f t="shared" si="60"/>
        <v>5445.9063718078041</v>
      </c>
      <c r="W119" s="16">
        <f t="shared" si="60"/>
        <v>5748.4355870745285</v>
      </c>
      <c r="X119" s="16">
        <f t="shared" si="60"/>
        <v>6052.0615038052601</v>
      </c>
      <c r="Y119" s="16">
        <f t="shared" si="60"/>
        <v>6356.7841219999982</v>
      </c>
    </row>
    <row r="120" spans="1:25" x14ac:dyDescent="0.25">
      <c r="A120" s="2" t="s">
        <v>101</v>
      </c>
      <c r="B120" s="16">
        <f>B119*$B$127</f>
        <v>2.3546922250852913</v>
      </c>
      <c r="C120" s="16">
        <f t="shared" ref="C120:Y120" si="61">C119*$B$127</f>
        <v>4.8190545965712683</v>
      </c>
      <c r="D120" s="16">
        <f t="shared" si="61"/>
        <v>7.365669577857771</v>
      </c>
      <c r="E120" s="16">
        <f t="shared" si="61"/>
        <v>9.9269072453310212</v>
      </c>
      <c r="F120" s="16">
        <f t="shared" si="61"/>
        <v>12.431482003830597</v>
      </c>
      <c r="G120" s="16">
        <f t="shared" si="61"/>
        <v>14.94519594119688</v>
      </c>
      <c r="H120" s="16">
        <f t="shared" si="61"/>
        <v>17.468049057429898</v>
      </c>
      <c r="I120" s="16">
        <f t="shared" si="61"/>
        <v>20.000041352529639</v>
      </c>
      <c r="J120" s="16">
        <f t="shared" si="61"/>
        <v>22.541172826496105</v>
      </c>
      <c r="K120" s="16">
        <f t="shared" si="61"/>
        <v>25.091443479329293</v>
      </c>
      <c r="L120" s="16">
        <f t="shared" si="61"/>
        <v>27.650853311029206</v>
      </c>
      <c r="M120" s="16">
        <f t="shared" si="61"/>
        <v>30.21940232159584</v>
      </c>
      <c r="N120" s="16">
        <f t="shared" si="61"/>
        <v>32.797090511029204</v>
      </c>
      <c r="O120" s="16">
        <f t="shared" si="61"/>
        <v>33.589095059329296</v>
      </c>
      <c r="P120" s="16">
        <f t="shared" si="61"/>
        <v>36.537618109516046</v>
      </c>
      <c r="Q120" s="16">
        <f t="shared" si="61"/>
        <v>39.497108174342877</v>
      </c>
      <c r="R120" s="16">
        <f t="shared" si="61"/>
        <v>42.467565253809774</v>
      </c>
      <c r="S120" s="16">
        <f t="shared" si="61"/>
        <v>45.448989347916729</v>
      </c>
      <c r="T120" s="16">
        <f t="shared" si="61"/>
        <v>48.441380456663765</v>
      </c>
      <c r="U120" s="16">
        <f t="shared" si="61"/>
        <v>51.444738580050874</v>
      </c>
      <c r="V120" s="16">
        <f t="shared" si="61"/>
        <v>54.459063718078042</v>
      </c>
      <c r="W120" s="16">
        <f t="shared" si="61"/>
        <v>57.484355870745283</v>
      </c>
      <c r="X120" s="16">
        <f t="shared" si="61"/>
        <v>60.520615038052604</v>
      </c>
      <c r="Y120" s="16">
        <f t="shared" si="61"/>
        <v>63.567841219999984</v>
      </c>
    </row>
    <row r="122" spans="1:25" x14ac:dyDescent="0.25">
      <c r="A122" s="2" t="s">
        <v>61</v>
      </c>
      <c r="B122" s="16">
        <f>SUM(B119:E119)</f>
        <v>2446.6323644845352</v>
      </c>
    </row>
    <row r="123" spans="1:25" x14ac:dyDescent="0.25">
      <c r="A123" s="2" t="s">
        <v>62</v>
      </c>
      <c r="B123" s="16">
        <f>SUM(B119:Y119)</f>
        <v>76106.942527781721</v>
      </c>
    </row>
    <row r="125" spans="1:25" x14ac:dyDescent="0.25">
      <c r="A125" s="2" t="s">
        <v>86</v>
      </c>
      <c r="B125" s="6">
        <v>577856</v>
      </c>
    </row>
    <row r="126" spans="1:25" x14ac:dyDescent="0.25">
      <c r="A126" s="2" t="s">
        <v>82</v>
      </c>
      <c r="B126" s="6">
        <v>0</v>
      </c>
    </row>
    <row r="127" spans="1:25" x14ac:dyDescent="0.25">
      <c r="A127" s="2" t="s">
        <v>83</v>
      </c>
      <c r="B127" s="19">
        <v>0.01</v>
      </c>
    </row>
    <row r="129" spans="1:2" x14ac:dyDescent="0.25">
      <c r="A129" s="2" t="s">
        <v>69</v>
      </c>
      <c r="B129" s="18">
        <f>$B$127*B122</f>
        <v>24.466323644845353</v>
      </c>
    </row>
    <row r="130" spans="1:2" x14ac:dyDescent="0.25">
      <c r="A130" s="2" t="s">
        <v>90</v>
      </c>
      <c r="B130" s="18">
        <f>$B$127*B123</f>
        <v>761.06942527781723</v>
      </c>
    </row>
    <row r="132" spans="1:2" x14ac:dyDescent="0.25">
      <c r="A132" s="2" t="s">
        <v>58</v>
      </c>
      <c r="B132" s="7">
        <f>$B$125/B129</f>
        <v>23618.423772537019</v>
      </c>
    </row>
    <row r="133" spans="1:2" x14ac:dyDescent="0.25">
      <c r="A133" s="2" t="s">
        <v>59</v>
      </c>
      <c r="B133" s="7">
        <f>$B$125/B130</f>
        <v>759.2684462249448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88192-2095-48AA-A2B5-A1A36E387ED6}">
  <dimension ref="B3:J48"/>
  <sheetViews>
    <sheetView workbookViewId="0">
      <selection activeCell="P29" sqref="P29"/>
    </sheetView>
  </sheetViews>
  <sheetFormatPr defaultRowHeight="15" x14ac:dyDescent="0.25"/>
  <cols>
    <col min="3" max="3" width="13.85546875" customWidth="1"/>
    <col min="4" max="4" width="15.7109375" customWidth="1"/>
    <col min="5" max="5" width="14.5703125" customWidth="1"/>
    <col min="6" max="6" width="25.42578125" customWidth="1"/>
    <col min="7" max="7" width="25.5703125" customWidth="1"/>
  </cols>
  <sheetData>
    <row r="3" spans="2:10" x14ac:dyDescent="0.25">
      <c r="D3" s="2" t="s">
        <v>45</v>
      </c>
      <c r="E3" s="2"/>
      <c r="F3" s="2" t="s">
        <v>48</v>
      </c>
      <c r="G3" s="2" t="s">
        <v>49</v>
      </c>
    </row>
    <row r="4" spans="2:10" x14ac:dyDescent="0.25">
      <c r="D4" t="s">
        <v>0</v>
      </c>
      <c r="E4">
        <v>53.06</v>
      </c>
      <c r="F4" t="s">
        <v>1</v>
      </c>
      <c r="G4" t="s">
        <v>4</v>
      </c>
    </row>
    <row r="5" spans="2:10" x14ac:dyDescent="0.25">
      <c r="E5">
        <v>1</v>
      </c>
      <c r="F5" t="s">
        <v>2</v>
      </c>
      <c r="G5" t="s">
        <v>4</v>
      </c>
    </row>
    <row r="6" spans="2:10" x14ac:dyDescent="0.25">
      <c r="E6">
        <v>0.1</v>
      </c>
      <c r="F6" t="s">
        <v>3</v>
      </c>
      <c r="G6" t="s">
        <v>4</v>
      </c>
    </row>
    <row r="7" spans="2:10" x14ac:dyDescent="0.25">
      <c r="E7" s="1">
        <f>E5/1000*28+E6/1000*265+E4</f>
        <v>53.1145</v>
      </c>
      <c r="F7" t="s">
        <v>5</v>
      </c>
    </row>
    <row r="9" spans="2:10" x14ac:dyDescent="0.25">
      <c r="D9" t="s">
        <v>6</v>
      </c>
      <c r="E9" s="1">
        <f>743.8/2.20462</f>
        <v>337.38240603822879</v>
      </c>
      <c r="F9" t="s">
        <v>7</v>
      </c>
      <c r="G9" t="s">
        <v>8</v>
      </c>
    </row>
    <row r="14" spans="2:10" x14ac:dyDescent="0.25">
      <c r="B14" s="2" t="s">
        <v>53</v>
      </c>
      <c r="G14" t="s">
        <v>88</v>
      </c>
    </row>
    <row r="15" spans="2:10" ht="60" x14ac:dyDescent="0.25">
      <c r="B15" s="2" t="s">
        <v>50</v>
      </c>
      <c r="C15" s="2" t="s">
        <v>51</v>
      </c>
      <c r="D15" s="30" t="s">
        <v>52</v>
      </c>
      <c r="E15" s="30" t="s">
        <v>54</v>
      </c>
      <c r="J15" s="19"/>
    </row>
    <row r="16" spans="2:10" x14ac:dyDescent="0.25">
      <c r="B16">
        <v>2020</v>
      </c>
      <c r="C16" s="19">
        <v>0.2</v>
      </c>
      <c r="D16" s="20">
        <f>C16</f>
        <v>0.2</v>
      </c>
      <c r="E16" s="1">
        <f>E9</f>
        <v>337.38240603822879</v>
      </c>
      <c r="J16" s="19"/>
    </row>
    <row r="17" spans="2:5" x14ac:dyDescent="0.25">
      <c r="B17">
        <v>2021</v>
      </c>
      <c r="C17" s="19">
        <v>0.22</v>
      </c>
      <c r="D17" s="20">
        <f>C17+0.2+0.073</f>
        <v>0.49300000000000005</v>
      </c>
      <c r="E17" s="1">
        <f>$E$16/0.8*(1-D17)</f>
        <v>213.81609982672745</v>
      </c>
    </row>
    <row r="18" spans="2:5" x14ac:dyDescent="0.25">
      <c r="B18">
        <v>2022</v>
      </c>
      <c r="C18" s="19">
        <v>0.24</v>
      </c>
      <c r="D18" s="20">
        <f>C18+0.2+0.073</f>
        <v>0.51300000000000001</v>
      </c>
      <c r="E18" s="1">
        <f t="shared" ref="E18:E46" si="0">$E$16/0.8*(1-D18)</f>
        <v>205.38153967577176</v>
      </c>
    </row>
    <row r="19" spans="2:5" x14ac:dyDescent="0.25">
      <c r="B19">
        <v>2023</v>
      </c>
      <c r="C19" s="19">
        <v>0.26</v>
      </c>
      <c r="D19" s="20">
        <f>C19+0.26+0.072</f>
        <v>0.59199999999999997</v>
      </c>
      <c r="E19" s="1">
        <f t="shared" si="0"/>
        <v>172.0650270794967</v>
      </c>
    </row>
    <row r="20" spans="2:5" x14ac:dyDescent="0.25">
      <c r="B20">
        <v>2024</v>
      </c>
      <c r="C20" s="19">
        <v>0.28000000000000003</v>
      </c>
      <c r="D20" s="20">
        <f>C20+0.27+0.073</f>
        <v>0.623</v>
      </c>
      <c r="E20" s="1">
        <f t="shared" si="0"/>
        <v>158.99145884551533</v>
      </c>
    </row>
    <row r="21" spans="2:5" x14ac:dyDescent="0.25">
      <c r="B21">
        <v>2025</v>
      </c>
      <c r="C21" s="19">
        <v>0.3</v>
      </c>
      <c r="D21" s="20">
        <f>C21+0.26+0.073</f>
        <v>0.63300000000000001</v>
      </c>
      <c r="E21" s="1">
        <f t="shared" si="0"/>
        <v>154.77417877003745</v>
      </c>
    </row>
    <row r="22" spans="2:5" x14ac:dyDescent="0.25">
      <c r="B22">
        <v>2026</v>
      </c>
      <c r="C22" s="19">
        <v>0.36</v>
      </c>
      <c r="D22" s="21">
        <f>C22+0.26+0.071</f>
        <v>0.69099999999999995</v>
      </c>
      <c r="E22" s="1">
        <f t="shared" si="0"/>
        <v>130.31395433226589</v>
      </c>
    </row>
    <row r="23" spans="2:5" x14ac:dyDescent="0.25">
      <c r="B23">
        <v>2027</v>
      </c>
      <c r="C23" s="19">
        <v>0.42</v>
      </c>
      <c r="D23" s="21">
        <f>C23+0.27+0.071</f>
        <v>0.7609999999999999</v>
      </c>
      <c r="E23" s="1">
        <f t="shared" si="0"/>
        <v>100.79299380392089</v>
      </c>
    </row>
    <row r="24" spans="2:5" x14ac:dyDescent="0.25">
      <c r="B24">
        <v>2028</v>
      </c>
      <c r="C24" s="19">
        <v>0.48</v>
      </c>
      <c r="D24" s="21">
        <f>C24+0.27+0.071</f>
        <v>0.82099999999999995</v>
      </c>
      <c r="E24" s="1">
        <f t="shared" si="0"/>
        <v>75.48931335105371</v>
      </c>
    </row>
    <row r="25" spans="2:5" x14ac:dyDescent="0.25">
      <c r="B25">
        <v>2029</v>
      </c>
      <c r="C25" s="19">
        <v>0.54</v>
      </c>
      <c r="D25" s="21">
        <f>C25+0.26+0.071</f>
        <v>0.871</v>
      </c>
      <c r="E25" s="1">
        <f t="shared" si="0"/>
        <v>54.402912973664392</v>
      </c>
    </row>
    <row r="26" spans="2:5" x14ac:dyDescent="0.25">
      <c r="B26">
        <v>2030</v>
      </c>
      <c r="C26" s="19">
        <v>0.6</v>
      </c>
      <c r="D26" s="20">
        <v>0.9</v>
      </c>
      <c r="E26" s="1">
        <f t="shared" si="0"/>
        <v>42.172800754778585</v>
      </c>
    </row>
    <row r="27" spans="2:5" x14ac:dyDescent="0.25">
      <c r="B27">
        <v>2031</v>
      </c>
      <c r="C27" s="19">
        <v>0.61</v>
      </c>
      <c r="D27" s="21">
        <f>D26+0.005</f>
        <v>0.90500000000000003</v>
      </c>
      <c r="E27" s="1">
        <f t="shared" si="0"/>
        <v>40.064160717039655</v>
      </c>
    </row>
    <row r="28" spans="2:5" x14ac:dyDescent="0.25">
      <c r="B28">
        <v>2032</v>
      </c>
      <c r="C28" s="19">
        <v>0.62</v>
      </c>
      <c r="D28" s="21">
        <f t="shared" ref="D28:D45" si="1">D27+0.005</f>
        <v>0.91</v>
      </c>
      <c r="E28" s="1">
        <f t="shared" si="0"/>
        <v>37.955520679300726</v>
      </c>
    </row>
    <row r="29" spans="2:5" x14ac:dyDescent="0.25">
      <c r="B29">
        <v>2033</v>
      </c>
      <c r="C29" s="19">
        <v>0.63</v>
      </c>
      <c r="D29" s="21">
        <f t="shared" si="1"/>
        <v>0.91500000000000004</v>
      </c>
      <c r="E29" s="1">
        <f t="shared" si="0"/>
        <v>35.846880641561796</v>
      </c>
    </row>
    <row r="30" spans="2:5" x14ac:dyDescent="0.25">
      <c r="B30">
        <v>2034</v>
      </c>
      <c r="C30" s="19">
        <v>0.64</v>
      </c>
      <c r="D30" s="21">
        <f t="shared" si="1"/>
        <v>0.92</v>
      </c>
      <c r="E30" s="1">
        <f t="shared" si="0"/>
        <v>33.738240603822859</v>
      </c>
    </row>
    <row r="31" spans="2:5" x14ac:dyDescent="0.25">
      <c r="B31">
        <v>2035</v>
      </c>
      <c r="C31" s="19">
        <v>0.65</v>
      </c>
      <c r="D31" s="21">
        <f t="shared" si="1"/>
        <v>0.92500000000000004</v>
      </c>
      <c r="E31" s="1">
        <f t="shared" si="0"/>
        <v>31.62960056608393</v>
      </c>
    </row>
    <row r="32" spans="2:5" x14ac:dyDescent="0.25">
      <c r="B32">
        <v>2036</v>
      </c>
      <c r="C32" s="19">
        <v>0.66</v>
      </c>
      <c r="D32" s="21">
        <f t="shared" si="1"/>
        <v>0.93</v>
      </c>
      <c r="E32" s="1">
        <f t="shared" si="0"/>
        <v>29.520960528344997</v>
      </c>
    </row>
    <row r="33" spans="2:5" x14ac:dyDescent="0.25">
      <c r="B33">
        <v>2037</v>
      </c>
      <c r="C33" s="19">
        <v>0.67</v>
      </c>
      <c r="D33" s="21">
        <f t="shared" si="1"/>
        <v>0.93500000000000005</v>
      </c>
      <c r="E33" s="1">
        <f t="shared" si="0"/>
        <v>27.412320490606067</v>
      </c>
    </row>
    <row r="34" spans="2:5" x14ac:dyDescent="0.25">
      <c r="B34">
        <v>2038</v>
      </c>
      <c r="C34" s="19">
        <v>0.68</v>
      </c>
      <c r="D34" s="21">
        <f t="shared" si="1"/>
        <v>0.94000000000000006</v>
      </c>
      <c r="E34" s="1">
        <f t="shared" si="0"/>
        <v>25.303680452867134</v>
      </c>
    </row>
    <row r="35" spans="2:5" x14ac:dyDescent="0.25">
      <c r="B35">
        <v>2039</v>
      </c>
      <c r="C35" s="19">
        <v>0.69</v>
      </c>
      <c r="D35" s="21">
        <f t="shared" si="1"/>
        <v>0.94500000000000006</v>
      </c>
      <c r="E35" s="1">
        <f t="shared" si="0"/>
        <v>23.195040415128204</v>
      </c>
    </row>
    <row r="36" spans="2:5" x14ac:dyDescent="0.25">
      <c r="B36">
        <v>2040</v>
      </c>
      <c r="C36" s="19">
        <v>0.7</v>
      </c>
      <c r="D36" s="21">
        <f t="shared" si="1"/>
        <v>0.95000000000000007</v>
      </c>
      <c r="E36" s="1">
        <f t="shared" si="0"/>
        <v>21.086400377389271</v>
      </c>
    </row>
    <row r="37" spans="2:5" x14ac:dyDescent="0.25">
      <c r="B37">
        <v>2041</v>
      </c>
      <c r="C37" s="19">
        <v>0.71</v>
      </c>
      <c r="D37" s="21">
        <f t="shared" si="1"/>
        <v>0.95500000000000007</v>
      </c>
      <c r="E37" s="1">
        <f t="shared" si="0"/>
        <v>18.977760339650338</v>
      </c>
    </row>
    <row r="38" spans="2:5" x14ac:dyDescent="0.25">
      <c r="B38">
        <v>2042</v>
      </c>
      <c r="C38" s="19">
        <v>0.72</v>
      </c>
      <c r="D38" s="21">
        <f t="shared" si="1"/>
        <v>0.96000000000000008</v>
      </c>
      <c r="E38" s="1">
        <f t="shared" si="0"/>
        <v>16.869120301911408</v>
      </c>
    </row>
    <row r="39" spans="2:5" x14ac:dyDescent="0.25">
      <c r="B39">
        <v>2043</v>
      </c>
      <c r="C39" s="19">
        <v>0.73</v>
      </c>
      <c r="D39" s="21">
        <f t="shared" si="1"/>
        <v>0.96500000000000008</v>
      </c>
      <c r="E39" s="1">
        <f t="shared" si="0"/>
        <v>14.760480264172475</v>
      </c>
    </row>
    <row r="40" spans="2:5" x14ac:dyDescent="0.25">
      <c r="B40">
        <v>2044</v>
      </c>
      <c r="C40" s="19">
        <v>0.74</v>
      </c>
      <c r="D40" s="21">
        <f t="shared" si="1"/>
        <v>0.97000000000000008</v>
      </c>
      <c r="E40" s="1">
        <f t="shared" si="0"/>
        <v>12.651840226433544</v>
      </c>
    </row>
    <row r="41" spans="2:5" x14ac:dyDescent="0.25">
      <c r="B41">
        <v>2045</v>
      </c>
      <c r="C41" s="19">
        <v>0.75</v>
      </c>
      <c r="D41" s="21">
        <f t="shared" si="1"/>
        <v>0.97500000000000009</v>
      </c>
      <c r="E41" s="1">
        <f t="shared" si="0"/>
        <v>10.543200188694613</v>
      </c>
    </row>
    <row r="42" spans="2:5" x14ac:dyDescent="0.25">
      <c r="B42">
        <v>2046</v>
      </c>
      <c r="C42" s="19">
        <v>0.76</v>
      </c>
      <c r="D42" s="21">
        <f t="shared" si="1"/>
        <v>0.98000000000000009</v>
      </c>
      <c r="E42" s="1">
        <f t="shared" si="0"/>
        <v>8.4345601509556793</v>
      </c>
    </row>
    <row r="43" spans="2:5" x14ac:dyDescent="0.25">
      <c r="B43">
        <v>2047</v>
      </c>
      <c r="C43" s="19">
        <v>0.77</v>
      </c>
      <c r="D43" s="21">
        <f t="shared" si="1"/>
        <v>0.9850000000000001</v>
      </c>
      <c r="E43" s="1">
        <f t="shared" si="0"/>
        <v>6.3259201132167489</v>
      </c>
    </row>
    <row r="44" spans="2:5" x14ac:dyDescent="0.25">
      <c r="B44">
        <v>2048</v>
      </c>
      <c r="C44" s="19">
        <v>0.78</v>
      </c>
      <c r="D44" s="21">
        <f t="shared" si="1"/>
        <v>0.9900000000000001</v>
      </c>
      <c r="E44" s="1">
        <f t="shared" si="0"/>
        <v>4.2172800754778166</v>
      </c>
    </row>
    <row r="45" spans="2:5" x14ac:dyDescent="0.25">
      <c r="B45">
        <v>2049</v>
      </c>
      <c r="C45" s="19">
        <v>0.79</v>
      </c>
      <c r="D45" s="21">
        <f t="shared" si="1"/>
        <v>0.99500000000000011</v>
      </c>
      <c r="E45" s="1">
        <f t="shared" si="0"/>
        <v>2.1086400377388848</v>
      </c>
    </row>
    <row r="46" spans="2:5" x14ac:dyDescent="0.25">
      <c r="B46">
        <v>2050</v>
      </c>
      <c r="C46" s="19">
        <v>0.8</v>
      </c>
      <c r="D46" s="29">
        <v>1</v>
      </c>
      <c r="E46" s="1">
        <f t="shared" si="0"/>
        <v>0</v>
      </c>
    </row>
    <row r="48" spans="2:5" x14ac:dyDescent="0.25">
      <c r="B48" s="22" t="s">
        <v>102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6FB6C31F7B677469C7CC8B9DD6B63D0" ma:contentTypeVersion="20" ma:contentTypeDescription="Create a new document." ma:contentTypeScope="" ma:versionID="41fe75f13e371b43ebb56c86ad494a43">
  <xsd:schema xmlns:xsd="http://www.w3.org/2001/XMLSchema" xmlns:xs="http://www.w3.org/2001/XMLSchema" xmlns:p="http://schemas.microsoft.com/office/2006/metadata/properties" xmlns:ns2="6a68dead-cc65-4be7-a1c5-fad9282055f1" xmlns:ns3="4a7dbaee-d756-4a4b-b1f5-897b4f3c31a2" targetNamespace="http://schemas.microsoft.com/office/2006/metadata/properties" ma:root="true" ma:fieldsID="daf1be0b90193904f6bcec89605ae193" ns2:_="" ns3:_="">
    <xsd:import namespace="6a68dead-cc65-4be7-a1c5-fad9282055f1"/>
    <xsd:import namespace="4a7dbaee-d756-4a4b-b1f5-897b4f3c31a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Note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68dead-cc65-4be7-a1c5-fad9282055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e940289e-7c2c-41a1-9630-5237cb6f5e2a" ma:termSetId="09814cd3-568e-fe90-9814-8d621ff8fb84" ma:anchorId="fba54fb3-c3e1-fe81-a776-ca4b69148c4d" ma:open="true" ma:isKeyword="false">
      <xsd:complexType>
        <xsd:sequence>
          <xsd:element ref="pc:Terms" minOccurs="0" maxOccurs="1"/>
        </xsd:sequence>
      </xsd:complexType>
    </xsd:element>
    <xsd:element name="Notes" ma:index="24" nillable="true" ma:displayName="Notes" ma:format="Dropdown" ma:internalName="Notes">
      <xsd:simpleType>
        <xsd:restriction base="dms:Text">
          <xsd:maxLength value="255"/>
        </xsd:restriction>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a7dbaee-d756-4a4b-b1f5-897b4f3c31a2"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ba92791-a091-4576-94e9-d1a1f2b1cef0}" ma:internalName="TaxCatchAll" ma:showField="CatchAllData" ma:web="4a7dbaee-d756-4a4b-b1f5-897b4f3c31a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a68dead-cc65-4be7-a1c5-fad9282055f1">
      <Terms xmlns="http://schemas.microsoft.com/office/infopath/2007/PartnerControls"/>
    </lcf76f155ced4ddcb4097134ff3c332f>
    <TaxCatchAll xmlns="4a7dbaee-d756-4a4b-b1f5-897b4f3c31a2" xsi:nil="true"/>
    <Notes xmlns="6a68dead-cc65-4be7-a1c5-fad9282055f1" xsi:nil="true"/>
  </documentManagement>
</p:properties>
</file>

<file path=customXml/itemProps1.xml><?xml version="1.0" encoding="utf-8"?>
<ds:datastoreItem xmlns:ds="http://schemas.openxmlformats.org/officeDocument/2006/customXml" ds:itemID="{E3D81744-34D5-4356-B568-D782FD509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68dead-cc65-4be7-a1c5-fad9282055f1"/>
    <ds:schemaRef ds:uri="4a7dbaee-d756-4a4b-b1f5-897b4f3c31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75779E-7AE2-40EE-8685-A7D62F2CBB26}">
  <ds:schemaRefs>
    <ds:schemaRef ds:uri="http://schemas.microsoft.com/sharepoint/v3/contenttype/forms"/>
  </ds:schemaRefs>
</ds:datastoreItem>
</file>

<file path=customXml/itemProps3.xml><?xml version="1.0" encoding="utf-8"?>
<ds:datastoreItem xmlns:ds="http://schemas.openxmlformats.org/officeDocument/2006/customXml" ds:itemID="{66E41DCD-F24C-4C1A-96E7-5EB6DA2B4895}">
  <ds:schemaRefs>
    <ds:schemaRef ds:uri="http://schemas.microsoft.com/office/2006/metadata/properties"/>
    <ds:schemaRef ds:uri="http://www.w3.org/XML/1998/namespace"/>
    <ds:schemaRef ds:uri="http://purl.org/dc/terms/"/>
    <ds:schemaRef ds:uri="http://schemas.microsoft.com/office/2006/documentManagement/types"/>
    <ds:schemaRef ds:uri="http://schemas.openxmlformats.org/package/2006/metadata/core-properties"/>
    <ds:schemaRef ds:uri="6a68dead-cc65-4be7-a1c5-fad9282055f1"/>
    <ds:schemaRef ds:uri="4a7dbaee-d756-4a4b-b1f5-897b4f3c31a2"/>
    <ds:schemaRef ds:uri="http://purl.org/dc/dcmitype/"/>
    <ds:schemaRef ds:uri="http://schemas.microsoft.com/office/infopath/2007/PartnerControl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Energy Model Output</vt:lpstr>
      <vt:lpstr>Pre- and Post-Retrofit Energy</vt:lpstr>
      <vt:lpstr>2030 and 2050 GHG Projections</vt:lpstr>
      <vt:lpstr>Emissions Factors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 Koo</dc:creator>
  <cp:lastModifiedBy>Koo, Jeremy</cp:lastModifiedBy>
  <dcterms:created xsi:type="dcterms:W3CDTF">2024-03-26T18:48:49Z</dcterms:created>
  <dcterms:modified xsi:type="dcterms:W3CDTF">2024-04-01T20:07:24Z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0x010100F6FB6C31F7B677469C7CC8B9DD6B63D0</vt:lpwstr>
  </property>
  <property fmtid="{D5CDD505-2E9C-101B-9397-08002B2CF9AE}" pid="3" name="MediaServiceImageTags">
    <vt:lpwstr/>
  </property>
</Properties>
</file>