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threadedComments/threadedComment2.xml" ContentType="application/vnd.ms-excel.threaded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filterPrivacy="1" codeName="ThisWorkbook" defaultThemeVersion="166925"/>
  <xr:revisionPtr revIDLastSave="0" documentId="13_ncr:1_{0779AB41-E6B4-4428-B431-023BC2374DC8}" xr6:coauthVersionLast="47" xr6:coauthVersionMax="47" xr10:uidLastSave="{00000000-0000-0000-0000-000000000000}"/>
  <bookViews>
    <workbookView xWindow="-110" yWindow="-110" windowWidth="22780" windowHeight="14660" tabRatio="979" xr2:uid="{AAC398A2-E95D-4231-A920-55B8B1C73F3F}"/>
  </bookViews>
  <sheets>
    <sheet name="Consolidated Budget" sheetId="30" r:id="rId1"/>
    <sheet name="BART-Bike Access " sheetId="16" r:id="rId2"/>
    <sheet name="BART-EV Charging" sheetId="27" r:id="rId3"/>
    <sheet name="BART-ADA" sheetId="29" r:id="rId4"/>
    <sheet name="BART- TODPlazas" sheetId="28" r:id="rId5"/>
    <sheet name="BART-RTDs" sheetId="31" r:id="rId6"/>
    <sheet name="BART-Lighting" sheetId="35" r:id="rId7"/>
    <sheet name="BART-Wayfinding" sheetId="36" r:id="rId8"/>
    <sheet name="BART-Bus" sheetId="38" r:id="rId9"/>
    <sheet name="BART-Outreach" sheetId="47" r:id="rId10"/>
    <sheet name="SFMTA-EV" sheetId="39" r:id="rId11"/>
    <sheet name="AVA" sheetId="41" r:id="rId12"/>
    <sheet name="CCTA" sheetId="40" r:id="rId13"/>
    <sheet name="MTC-EbikeshareStation" sheetId="42" r:id="rId14"/>
    <sheet name="MTC-BikeshareOutreach" sheetId="46" r:id="rId15"/>
    <sheet name="MTC-EBikeshare" sheetId="45" r:id="rId16"/>
    <sheet name="MTC-Pb+E" sheetId="44" r:id="rId17"/>
    <sheet name="MTC-Admin+Eval" sheetId="43" r:id="rId18"/>
  </sheets>
  <definedNames>
    <definedName name="_xlnm._FilterDatabase" localSheetId="4" hidden="1">'BART- TODPlazas'!#REF!</definedName>
    <definedName name="_xlnm._FilterDatabase" localSheetId="3" hidden="1">'BART-ADA'!#REF!</definedName>
    <definedName name="_xlnm._FilterDatabase" localSheetId="1" hidden="1">'BART-Bike Access '!#REF!</definedName>
    <definedName name="_xlnm._FilterDatabase" localSheetId="8" hidden="1">'BART-Bus'!#REF!</definedName>
    <definedName name="_xlnm._FilterDatabase" localSheetId="2" hidden="1">'BART-EV Charging'!#REF!</definedName>
    <definedName name="_xlnm._FilterDatabase" localSheetId="6" hidden="1">'BART-Lighting'!#REF!</definedName>
    <definedName name="_xlnm._FilterDatabase" localSheetId="5" hidden="1">'BART-RTDs'!#REF!</definedName>
    <definedName name="_xlnm._FilterDatabase" localSheetId="7" hidden="1">'BART-Wayfinding'!#REF!</definedName>
    <definedName name="_xlnm._FilterDatabase" localSheetId="0" hidden="1">'Consolidated Budget'!#REF!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7" i="28" l="1"/>
  <c r="J12" i="29"/>
  <c r="J51" i="27"/>
  <c r="J42" i="27"/>
  <c r="J31" i="27"/>
  <c r="J11" i="27"/>
  <c r="J40" i="16"/>
  <c r="J30" i="16"/>
  <c r="J11" i="16"/>
  <c r="E13" i="43"/>
  <c r="F13" i="43"/>
  <c r="G13" i="43"/>
  <c r="H13" i="43"/>
  <c r="E14" i="43"/>
  <c r="F14" i="43"/>
  <c r="G14" i="43"/>
  <c r="H14" i="43"/>
  <c r="D14" i="43"/>
  <c r="D13" i="43"/>
  <c r="E8" i="43"/>
  <c r="F8" i="43"/>
  <c r="G8" i="43"/>
  <c r="H8" i="43"/>
  <c r="D8" i="43"/>
  <c r="E14" i="44"/>
  <c r="F14" i="44"/>
  <c r="G14" i="44"/>
  <c r="H14" i="44"/>
  <c r="D14" i="44"/>
  <c r="E13" i="44"/>
  <c r="F13" i="44"/>
  <c r="G13" i="44"/>
  <c r="H13" i="44"/>
  <c r="D13" i="44"/>
  <c r="E14" i="45"/>
  <c r="F14" i="45"/>
  <c r="G14" i="45"/>
  <c r="H14" i="45"/>
  <c r="E13" i="45"/>
  <c r="F13" i="45"/>
  <c r="G13" i="45"/>
  <c r="H13" i="45"/>
  <c r="D13" i="45"/>
  <c r="E8" i="44"/>
  <c r="F8" i="44" s="1"/>
  <c r="G8" i="44" s="1"/>
  <c r="H8" i="44" s="1"/>
  <c r="E8" i="45"/>
  <c r="J47" i="28"/>
  <c r="J46" i="28"/>
  <c r="J45" i="28"/>
  <c r="J44" i="28"/>
  <c r="H43" i="28"/>
  <c r="G43" i="28"/>
  <c r="F43" i="28"/>
  <c r="J43" i="28" s="1"/>
  <c r="H42" i="28"/>
  <c r="J42" i="28" s="1"/>
  <c r="G42" i="28"/>
  <c r="F42" i="28"/>
  <c r="J41" i="28"/>
  <c r="E41" i="28"/>
  <c r="D41" i="28"/>
  <c r="J13" i="28"/>
  <c r="J12" i="28"/>
  <c r="J10" i="28"/>
  <c r="J9" i="28"/>
  <c r="H9" i="28"/>
  <c r="G9" i="28"/>
  <c r="F9" i="28"/>
  <c r="E8" i="28"/>
  <c r="D8" i="28"/>
  <c r="J8" i="28" s="1"/>
  <c r="J46" i="16" l="1"/>
  <c r="J53" i="16" s="1"/>
  <c r="D31" i="30"/>
  <c r="I57" i="47"/>
  <c r="H55" i="47"/>
  <c r="G55" i="47"/>
  <c r="F55" i="47"/>
  <c r="E55" i="47"/>
  <c r="D55" i="47"/>
  <c r="D57" i="47" s="1"/>
  <c r="J54" i="47"/>
  <c r="J53" i="47"/>
  <c r="D50" i="47"/>
  <c r="J49" i="47"/>
  <c r="H49" i="47"/>
  <c r="H50" i="47" s="1"/>
  <c r="H57" i="47" s="1"/>
  <c r="G49" i="47"/>
  <c r="F49" i="47"/>
  <c r="E49" i="47"/>
  <c r="D49" i="47"/>
  <c r="J48" i="47"/>
  <c r="J47" i="47"/>
  <c r="J46" i="47"/>
  <c r="J45" i="47"/>
  <c r="J44" i="47"/>
  <c r="J43" i="47"/>
  <c r="H41" i="47"/>
  <c r="G41" i="47"/>
  <c r="G50" i="47" s="1"/>
  <c r="G57" i="47" s="1"/>
  <c r="F41" i="47"/>
  <c r="F50" i="47" s="1"/>
  <c r="F57" i="47" s="1"/>
  <c r="E41" i="47"/>
  <c r="J41" i="47" s="1"/>
  <c r="D41" i="47"/>
  <c r="J40" i="47"/>
  <c r="J39" i="47"/>
  <c r="J38" i="47"/>
  <c r="J37" i="47"/>
  <c r="H35" i="47"/>
  <c r="G35" i="47"/>
  <c r="J35" i="47" s="1"/>
  <c r="F35" i="47"/>
  <c r="E35" i="47"/>
  <c r="D35" i="47"/>
  <c r="J34" i="47"/>
  <c r="J33" i="47"/>
  <c r="H31" i="47"/>
  <c r="G31" i="47"/>
  <c r="J31" i="47" s="1"/>
  <c r="F31" i="47"/>
  <c r="E31" i="47"/>
  <c r="D31" i="47"/>
  <c r="J30" i="47"/>
  <c r="J29" i="47"/>
  <c r="H27" i="47"/>
  <c r="G27" i="47"/>
  <c r="J27" i="47" s="1"/>
  <c r="F27" i="47"/>
  <c r="E27" i="47"/>
  <c r="D27" i="47"/>
  <c r="J26" i="47"/>
  <c r="J25" i="47"/>
  <c r="J24" i="47"/>
  <c r="J23" i="47"/>
  <c r="J22" i="47"/>
  <c r="J21" i="47"/>
  <c r="J20" i="47"/>
  <c r="J19" i="47"/>
  <c r="J18" i="47"/>
  <c r="I16" i="47"/>
  <c r="H16" i="47"/>
  <c r="G16" i="47"/>
  <c r="F16" i="47"/>
  <c r="E16" i="47"/>
  <c r="D16" i="47"/>
  <c r="J15" i="47"/>
  <c r="J14" i="47"/>
  <c r="J13" i="47"/>
  <c r="J16" i="47" s="1"/>
  <c r="I11" i="47"/>
  <c r="H11" i="47"/>
  <c r="G11" i="47"/>
  <c r="F11" i="47"/>
  <c r="E11" i="47"/>
  <c r="D11" i="47"/>
  <c r="J10" i="47"/>
  <c r="J9" i="47"/>
  <c r="J8" i="47"/>
  <c r="J11" i="47" s="1"/>
  <c r="J50" i="47" l="1"/>
  <c r="E50" i="47"/>
  <c r="E57" i="47" s="1"/>
  <c r="J55" i="47"/>
  <c r="J57" i="47" l="1"/>
  <c r="J34" i="27" l="1"/>
  <c r="D38" i="27"/>
  <c r="J38" i="27"/>
  <c r="D36" i="30"/>
  <c r="D34" i="30"/>
  <c r="D33" i="30"/>
  <c r="D32" i="30"/>
  <c r="D30" i="30"/>
  <c r="D29" i="30"/>
  <c r="D28" i="30"/>
  <c r="D27" i="30"/>
  <c r="D25" i="30"/>
  <c r="D23" i="30"/>
  <c r="J30" i="42"/>
  <c r="D31" i="42"/>
  <c r="I58" i="43" l="1"/>
  <c r="H56" i="43"/>
  <c r="G56" i="43"/>
  <c r="F56" i="43"/>
  <c r="E56" i="43"/>
  <c r="D56" i="43"/>
  <c r="J55" i="43"/>
  <c r="J54" i="43"/>
  <c r="H50" i="43"/>
  <c r="G50" i="43"/>
  <c r="F50" i="43"/>
  <c r="E50" i="43"/>
  <c r="D50" i="43"/>
  <c r="J49" i="43"/>
  <c r="J48" i="43"/>
  <c r="J47" i="43"/>
  <c r="J46" i="43"/>
  <c r="J45" i="43"/>
  <c r="J44" i="43"/>
  <c r="J50" i="43" s="1"/>
  <c r="H42" i="43"/>
  <c r="G42" i="43"/>
  <c r="F42" i="43"/>
  <c r="E42" i="43"/>
  <c r="D42" i="43"/>
  <c r="J41" i="43"/>
  <c r="J40" i="43"/>
  <c r="J39" i="43"/>
  <c r="J38" i="43"/>
  <c r="J37" i="43"/>
  <c r="H35" i="43"/>
  <c r="G35" i="43"/>
  <c r="F35" i="43"/>
  <c r="E35" i="43"/>
  <c r="D35" i="43"/>
  <c r="J34" i="43"/>
  <c r="J33" i="43"/>
  <c r="J35" i="43" s="1"/>
  <c r="H31" i="43"/>
  <c r="G31" i="43"/>
  <c r="F31" i="43"/>
  <c r="E31" i="43"/>
  <c r="D31" i="43"/>
  <c r="J30" i="43"/>
  <c r="J31" i="43" s="1"/>
  <c r="J29" i="43"/>
  <c r="H27" i="43"/>
  <c r="G27" i="43"/>
  <c r="F27" i="43"/>
  <c r="E27" i="43"/>
  <c r="D27" i="43"/>
  <c r="J26" i="43"/>
  <c r="J25" i="43"/>
  <c r="J24" i="43"/>
  <c r="J23" i="43"/>
  <c r="J22" i="43"/>
  <c r="J21" i="43"/>
  <c r="J20" i="43"/>
  <c r="J19" i="43"/>
  <c r="J18" i="43"/>
  <c r="J27" i="43" s="1"/>
  <c r="I16" i="43"/>
  <c r="H16" i="43"/>
  <c r="G16" i="43"/>
  <c r="F16" i="43"/>
  <c r="E16" i="43"/>
  <c r="D16" i="43"/>
  <c r="J15" i="43"/>
  <c r="J14" i="43"/>
  <c r="J13" i="43"/>
  <c r="I11" i="43"/>
  <c r="H11" i="43"/>
  <c r="G11" i="43"/>
  <c r="F11" i="43"/>
  <c r="E11" i="43"/>
  <c r="D11" i="43"/>
  <c r="J10" i="43"/>
  <c r="J9" i="43"/>
  <c r="J8" i="43"/>
  <c r="J51" i="44"/>
  <c r="H51" i="44"/>
  <c r="G51" i="44"/>
  <c r="F51" i="44"/>
  <c r="E51" i="44"/>
  <c r="D51" i="44"/>
  <c r="J50" i="44"/>
  <c r="J49" i="44"/>
  <c r="H45" i="44"/>
  <c r="G45" i="44"/>
  <c r="F45" i="44"/>
  <c r="E45" i="44"/>
  <c r="D45" i="44"/>
  <c r="J44" i="44"/>
  <c r="J43" i="44"/>
  <c r="J42" i="44"/>
  <c r="J45" i="44" s="1"/>
  <c r="H40" i="44"/>
  <c r="G40" i="44"/>
  <c r="F40" i="44"/>
  <c r="E40" i="44"/>
  <c r="D40" i="44"/>
  <c r="J39" i="44"/>
  <c r="J38" i="44"/>
  <c r="J37" i="44"/>
  <c r="J36" i="44"/>
  <c r="J40" i="44" s="1"/>
  <c r="J34" i="44"/>
  <c r="H34" i="44"/>
  <c r="G34" i="44"/>
  <c r="F34" i="44"/>
  <c r="E34" i="44"/>
  <c r="D34" i="44"/>
  <c r="J33" i="44"/>
  <c r="J32" i="44"/>
  <c r="J30" i="44"/>
  <c r="H30" i="44"/>
  <c r="G30" i="44"/>
  <c r="F30" i="44"/>
  <c r="E30" i="44"/>
  <c r="D30" i="44"/>
  <c r="J29" i="44"/>
  <c r="J28" i="44"/>
  <c r="J26" i="44"/>
  <c r="H26" i="44"/>
  <c r="G26" i="44"/>
  <c r="F26" i="44"/>
  <c r="E26" i="44"/>
  <c r="D26" i="44"/>
  <c r="J25" i="44"/>
  <c r="J24" i="44"/>
  <c r="J23" i="44"/>
  <c r="J22" i="44"/>
  <c r="J21" i="44"/>
  <c r="J20" i="44"/>
  <c r="J19" i="44"/>
  <c r="J18" i="44"/>
  <c r="H16" i="44"/>
  <c r="G16" i="44"/>
  <c r="F16" i="44"/>
  <c r="E16" i="44"/>
  <c r="D16" i="44"/>
  <c r="J15" i="44"/>
  <c r="J14" i="44"/>
  <c r="J13" i="44"/>
  <c r="H11" i="44"/>
  <c r="H46" i="44" s="1"/>
  <c r="G11" i="44"/>
  <c r="F11" i="44"/>
  <c r="E11" i="44"/>
  <c r="D11" i="44"/>
  <c r="D46" i="44" s="1"/>
  <c r="J10" i="44"/>
  <c r="J9" i="44"/>
  <c r="J8" i="44"/>
  <c r="J11" i="44" s="1"/>
  <c r="J16" i="43" l="1"/>
  <c r="J11" i="43"/>
  <c r="J16" i="44"/>
  <c r="F46" i="44"/>
  <c r="F53" i="44" s="1"/>
  <c r="H53" i="44"/>
  <c r="G46" i="44"/>
  <c r="G53" i="44" s="1"/>
  <c r="E46" i="44"/>
  <c r="E53" i="44" s="1"/>
  <c r="G51" i="43"/>
  <c r="G58" i="43" s="1"/>
  <c r="J42" i="43"/>
  <c r="H51" i="43"/>
  <c r="H58" i="43" s="1"/>
  <c r="D51" i="43"/>
  <c r="D58" i="43" s="1"/>
  <c r="E51" i="43"/>
  <c r="E58" i="43" s="1"/>
  <c r="F51" i="43"/>
  <c r="F58" i="43" s="1"/>
  <c r="J56" i="43"/>
  <c r="D53" i="44"/>
  <c r="J46" i="44" l="1"/>
  <c r="J53" i="44" s="1"/>
  <c r="D38" i="30" s="1"/>
  <c r="J51" i="43"/>
  <c r="J58" i="43" s="1"/>
  <c r="D39" i="30" s="1"/>
  <c r="I50" i="45" l="1"/>
  <c r="J48" i="45"/>
  <c r="H48" i="45"/>
  <c r="G48" i="45"/>
  <c r="F48" i="45"/>
  <c r="E48" i="45"/>
  <c r="D48" i="45"/>
  <c r="J47" i="45"/>
  <c r="J46" i="45"/>
  <c r="H42" i="45"/>
  <c r="G42" i="45"/>
  <c r="F42" i="45"/>
  <c r="E42" i="45"/>
  <c r="D42" i="45"/>
  <c r="J41" i="45"/>
  <c r="J40" i="45"/>
  <c r="J39" i="45"/>
  <c r="J38" i="45"/>
  <c r="J37" i="45"/>
  <c r="J36" i="45"/>
  <c r="H34" i="45"/>
  <c r="G34" i="45"/>
  <c r="F34" i="45"/>
  <c r="E34" i="45"/>
  <c r="J33" i="45"/>
  <c r="J32" i="45"/>
  <c r="J31" i="45"/>
  <c r="J30" i="45"/>
  <c r="D29" i="45"/>
  <c r="J29" i="45" s="1"/>
  <c r="H27" i="45"/>
  <c r="G27" i="45"/>
  <c r="F27" i="45"/>
  <c r="E27" i="45"/>
  <c r="D27" i="45"/>
  <c r="J27" i="45" s="1"/>
  <c r="J26" i="45"/>
  <c r="J25" i="45"/>
  <c r="H23" i="45"/>
  <c r="G23" i="45"/>
  <c r="F23" i="45"/>
  <c r="E23" i="45"/>
  <c r="D23" i="45"/>
  <c r="J23" i="45" s="1"/>
  <c r="J22" i="45"/>
  <c r="J21" i="45"/>
  <c r="D21" i="45"/>
  <c r="H19" i="45"/>
  <c r="G19" i="45"/>
  <c r="F19" i="45"/>
  <c r="E19" i="45"/>
  <c r="D19" i="45"/>
  <c r="J19" i="45" s="1"/>
  <c r="J18" i="45"/>
  <c r="I16" i="45"/>
  <c r="J15" i="45"/>
  <c r="D14" i="45"/>
  <c r="D16" i="45"/>
  <c r="I11" i="45"/>
  <c r="J10" i="45"/>
  <c r="J9" i="45"/>
  <c r="D8" i="45"/>
  <c r="I50" i="46"/>
  <c r="J48" i="46"/>
  <c r="H48" i="46"/>
  <c r="G48" i="46"/>
  <c r="F48" i="46"/>
  <c r="E48" i="46"/>
  <c r="D48" i="46"/>
  <c r="J47" i="46"/>
  <c r="J46" i="46"/>
  <c r="H42" i="46"/>
  <c r="G42" i="46"/>
  <c r="F42" i="46"/>
  <c r="E42" i="46"/>
  <c r="D42" i="46"/>
  <c r="J41" i="46"/>
  <c r="J40" i="46"/>
  <c r="J39" i="46"/>
  <c r="J38" i="46"/>
  <c r="J42" i="46"/>
  <c r="I36" i="46"/>
  <c r="J33" i="46"/>
  <c r="J32" i="46"/>
  <c r="J31" i="46"/>
  <c r="H30" i="46"/>
  <c r="G30" i="46"/>
  <c r="F30" i="46"/>
  <c r="E30" i="46"/>
  <c r="D30" i="46"/>
  <c r="J30" i="46" s="1"/>
  <c r="D29" i="46"/>
  <c r="J27" i="46"/>
  <c r="H27" i="46"/>
  <c r="G27" i="46"/>
  <c r="F27" i="46"/>
  <c r="E27" i="46"/>
  <c r="D27" i="46"/>
  <c r="J26" i="46"/>
  <c r="J25" i="46"/>
  <c r="J23" i="46"/>
  <c r="H23" i="46"/>
  <c r="G23" i="46"/>
  <c r="F23" i="46"/>
  <c r="E23" i="46"/>
  <c r="D23" i="46"/>
  <c r="J22" i="46"/>
  <c r="J21" i="46"/>
  <c r="J19" i="46"/>
  <c r="H19" i="46"/>
  <c r="G19" i="46"/>
  <c r="F19" i="46"/>
  <c r="E19" i="46"/>
  <c r="D19" i="46"/>
  <c r="J18" i="46"/>
  <c r="J16" i="46"/>
  <c r="I16" i="46"/>
  <c r="H16" i="46"/>
  <c r="G16" i="46"/>
  <c r="F16" i="46"/>
  <c r="E16" i="46"/>
  <c r="D16" i="46"/>
  <c r="J15" i="46"/>
  <c r="I11" i="46"/>
  <c r="H11" i="46"/>
  <c r="G11" i="46"/>
  <c r="F11" i="46"/>
  <c r="E11" i="46"/>
  <c r="D11" i="46"/>
  <c r="J10" i="46"/>
  <c r="J9" i="46"/>
  <c r="J11" i="46" s="1"/>
  <c r="H52" i="42"/>
  <c r="G52" i="42"/>
  <c r="F52" i="42"/>
  <c r="E52" i="42"/>
  <c r="D52" i="42"/>
  <c r="J51" i="42"/>
  <c r="J50" i="42"/>
  <c r="J52" i="42" s="1"/>
  <c r="H46" i="42"/>
  <c r="J45" i="42"/>
  <c r="J44" i="42"/>
  <c r="J37" i="42"/>
  <c r="E37" i="42"/>
  <c r="D37" i="42"/>
  <c r="H41" i="42"/>
  <c r="H47" i="42" s="1"/>
  <c r="H54" i="42" s="1"/>
  <c r="G41" i="42"/>
  <c r="F41" i="42"/>
  <c r="E41" i="42"/>
  <c r="E47" i="42" s="1"/>
  <c r="D41" i="42"/>
  <c r="J40" i="42"/>
  <c r="J39" i="42"/>
  <c r="J38" i="42"/>
  <c r="J35" i="42"/>
  <c r="H35" i="42"/>
  <c r="G35" i="42"/>
  <c r="F35" i="42"/>
  <c r="E35" i="42"/>
  <c r="D35" i="42"/>
  <c r="J34" i="42"/>
  <c r="J33" i="42"/>
  <c r="H31" i="42"/>
  <c r="G31" i="42"/>
  <c r="F31" i="42"/>
  <c r="E31" i="42"/>
  <c r="D30" i="42"/>
  <c r="D29" i="42"/>
  <c r="J29" i="42" s="1"/>
  <c r="J31" i="42" s="1"/>
  <c r="J28" i="42"/>
  <c r="D28" i="42"/>
  <c r="H26" i="42"/>
  <c r="G26" i="42"/>
  <c r="F26" i="42"/>
  <c r="E26" i="42"/>
  <c r="D26" i="42"/>
  <c r="J25" i="42"/>
  <c r="J24" i="42"/>
  <c r="J23" i="42"/>
  <c r="J22" i="42"/>
  <c r="J21" i="42"/>
  <c r="J20" i="42"/>
  <c r="J19" i="42"/>
  <c r="J18" i="42"/>
  <c r="J26" i="42" s="1"/>
  <c r="H16" i="42"/>
  <c r="G16" i="42"/>
  <c r="F16" i="42"/>
  <c r="E16" i="42"/>
  <c r="D16" i="42"/>
  <c r="J15" i="42"/>
  <c r="J14" i="42"/>
  <c r="J13" i="42"/>
  <c r="J16" i="42" s="1"/>
  <c r="H11" i="42"/>
  <c r="G11" i="42"/>
  <c r="F11" i="42"/>
  <c r="E11" i="42"/>
  <c r="D11" i="42"/>
  <c r="J10" i="42"/>
  <c r="J9" i="42"/>
  <c r="J8" i="42"/>
  <c r="J11" i="42" s="1"/>
  <c r="E54" i="42" l="1"/>
  <c r="F47" i="42"/>
  <c r="F54" i="42" s="1"/>
  <c r="J41" i="42"/>
  <c r="F46" i="42"/>
  <c r="G46" i="42"/>
  <c r="G47" i="42" s="1"/>
  <c r="G54" i="42" s="1"/>
  <c r="E16" i="45"/>
  <c r="D34" i="45"/>
  <c r="J34" i="45" s="1"/>
  <c r="J14" i="45"/>
  <c r="J42" i="45"/>
  <c r="D11" i="45"/>
  <c r="D34" i="46"/>
  <c r="D43" i="46" s="1"/>
  <c r="E29" i="46"/>
  <c r="D47" i="42"/>
  <c r="J47" i="42" l="1"/>
  <c r="J54" i="42" s="1"/>
  <c r="D35" i="30" s="1"/>
  <c r="F16" i="45"/>
  <c r="F8" i="45"/>
  <c r="E11" i="45"/>
  <c r="E43" i="45" s="1"/>
  <c r="E50" i="45" s="1"/>
  <c r="D43" i="45"/>
  <c r="D50" i="46"/>
  <c r="F29" i="46"/>
  <c r="E34" i="46"/>
  <c r="E43" i="46" s="1"/>
  <c r="E50" i="46" s="1"/>
  <c r="D54" i="42"/>
  <c r="D50" i="45" l="1"/>
  <c r="G8" i="45"/>
  <c r="F11" i="45"/>
  <c r="G16" i="45"/>
  <c r="F43" i="45"/>
  <c r="F50" i="45" s="1"/>
  <c r="F34" i="46"/>
  <c r="F43" i="46" s="1"/>
  <c r="G29" i="46"/>
  <c r="H16" i="45" l="1"/>
  <c r="J13" i="45"/>
  <c r="J16" i="45" s="1"/>
  <c r="G43" i="45"/>
  <c r="G50" i="45" s="1"/>
  <c r="H8" i="45"/>
  <c r="G11" i="45"/>
  <c r="F50" i="46"/>
  <c r="H29" i="46"/>
  <c r="H34" i="46" s="1"/>
  <c r="H43" i="46" s="1"/>
  <c r="H50" i="46" s="1"/>
  <c r="G34" i="46"/>
  <c r="G43" i="46" s="1"/>
  <c r="G50" i="46" s="1"/>
  <c r="H11" i="45" l="1"/>
  <c r="J8" i="45"/>
  <c r="J11" i="45" s="1"/>
  <c r="H43" i="45"/>
  <c r="H50" i="45" s="1"/>
  <c r="J29" i="46"/>
  <c r="J34" i="46" s="1"/>
  <c r="J43" i="46"/>
  <c r="J50" i="46" s="1"/>
  <c r="J43" i="45" l="1"/>
  <c r="J50" i="45" s="1"/>
  <c r="D37" i="30" s="1"/>
  <c r="D59" i="40" l="1"/>
  <c r="E59" i="40" s="1"/>
  <c r="D58" i="40"/>
  <c r="E58" i="40" s="1"/>
  <c r="F57" i="40"/>
  <c r="G57" i="40" s="1"/>
  <c r="E57" i="40"/>
  <c r="H51" i="40"/>
  <c r="G51" i="40"/>
  <c r="F51" i="40"/>
  <c r="E51" i="40"/>
  <c r="D51" i="40"/>
  <c r="J50" i="40"/>
  <c r="J51" i="40" s="1"/>
  <c r="J49" i="40"/>
  <c r="G45" i="40"/>
  <c r="D45" i="40"/>
  <c r="J44" i="40"/>
  <c r="H36" i="40"/>
  <c r="J36" i="40" s="1"/>
  <c r="G36" i="40"/>
  <c r="F36" i="40"/>
  <c r="F45" i="40" s="1"/>
  <c r="E36" i="40"/>
  <c r="E45" i="40" s="1"/>
  <c r="D36" i="40"/>
  <c r="J42" i="40"/>
  <c r="H40" i="40"/>
  <c r="G40" i="40"/>
  <c r="F40" i="40"/>
  <c r="E40" i="40"/>
  <c r="D40" i="40"/>
  <c r="J39" i="40"/>
  <c r="J38" i="40"/>
  <c r="J37" i="40"/>
  <c r="J40" i="40"/>
  <c r="H34" i="40"/>
  <c r="G34" i="40"/>
  <c r="F34" i="40"/>
  <c r="E34" i="40"/>
  <c r="D34" i="40"/>
  <c r="J33" i="40"/>
  <c r="J32" i="40"/>
  <c r="J34" i="40" s="1"/>
  <c r="J30" i="40"/>
  <c r="H30" i="40"/>
  <c r="G30" i="40"/>
  <c r="F30" i="40"/>
  <c r="E30" i="40"/>
  <c r="D30" i="40"/>
  <c r="J29" i="40"/>
  <c r="J28" i="40"/>
  <c r="D26" i="40"/>
  <c r="J25" i="40"/>
  <c r="J24" i="40"/>
  <c r="J23" i="40"/>
  <c r="J22" i="40"/>
  <c r="J21" i="40"/>
  <c r="J20" i="40"/>
  <c r="H19" i="40"/>
  <c r="H26" i="40" s="1"/>
  <c r="G19" i="40"/>
  <c r="G26" i="40" s="1"/>
  <c r="F19" i="40"/>
  <c r="F26" i="40" s="1"/>
  <c r="E19" i="40"/>
  <c r="E26" i="40" s="1"/>
  <c r="D19" i="40"/>
  <c r="J19" i="40" s="1"/>
  <c r="J26" i="40" s="1"/>
  <c r="J18" i="40"/>
  <c r="H16" i="40"/>
  <c r="G16" i="40"/>
  <c r="F16" i="40"/>
  <c r="E16" i="40"/>
  <c r="D16" i="40"/>
  <c r="J15" i="40"/>
  <c r="J14" i="40"/>
  <c r="J13" i="40"/>
  <c r="J16" i="40" s="1"/>
  <c r="D10" i="40"/>
  <c r="D9" i="40"/>
  <c r="F8" i="40"/>
  <c r="E8" i="40"/>
  <c r="D8" i="40"/>
  <c r="D11" i="40" s="1"/>
  <c r="D46" i="40" l="1"/>
  <c r="D53" i="40" s="1"/>
  <c r="J45" i="40"/>
  <c r="E10" i="40"/>
  <c r="F59" i="40"/>
  <c r="H57" i="40"/>
  <c r="H8" i="40" s="1"/>
  <c r="G8" i="40"/>
  <c r="E9" i="40"/>
  <c r="F58" i="40"/>
  <c r="H45" i="40"/>
  <c r="J8" i="40" l="1"/>
  <c r="G59" i="40"/>
  <c r="F10" i="40"/>
  <c r="F9" i="40"/>
  <c r="F11" i="40" s="1"/>
  <c r="F46" i="40" s="1"/>
  <c r="F53" i="40" s="1"/>
  <c r="G58" i="40"/>
  <c r="E11" i="40"/>
  <c r="E46" i="40" s="1"/>
  <c r="E53" i="40" s="1"/>
  <c r="G9" i="40" l="1"/>
  <c r="H58" i="40"/>
  <c r="H9" i="40" s="1"/>
  <c r="H11" i="40" s="1"/>
  <c r="H46" i="40" s="1"/>
  <c r="H53" i="40" s="1"/>
  <c r="H59" i="40"/>
  <c r="H10" i="40" s="1"/>
  <c r="G10" i="40"/>
  <c r="J10" i="40" s="1"/>
  <c r="G11" i="40" l="1"/>
  <c r="G46" i="40" s="1"/>
  <c r="J9" i="40"/>
  <c r="J11" i="40" s="1"/>
  <c r="G53" i="40" l="1"/>
  <c r="J46" i="40"/>
  <c r="J53" i="40" s="1"/>
  <c r="I57" i="41"/>
  <c r="H55" i="41"/>
  <c r="H57" i="41" s="1"/>
  <c r="G55" i="41"/>
  <c r="G57" i="41" s="1"/>
  <c r="F55" i="41"/>
  <c r="E55" i="41"/>
  <c r="D55" i="41"/>
  <c r="J54" i="41"/>
  <c r="J53" i="41"/>
  <c r="H49" i="41"/>
  <c r="G49" i="41"/>
  <c r="F49" i="41"/>
  <c r="F50" i="41" s="1"/>
  <c r="E49" i="41"/>
  <c r="D49" i="41"/>
  <c r="D50" i="41" s="1"/>
  <c r="J48" i="41"/>
  <c r="J47" i="41"/>
  <c r="J46" i="41"/>
  <c r="J45" i="41"/>
  <c r="J44" i="41"/>
  <c r="J43" i="41"/>
  <c r="J40" i="41"/>
  <c r="J39" i="41"/>
  <c r="J38" i="41"/>
  <c r="H38" i="41"/>
  <c r="G38" i="41"/>
  <c r="F38" i="41"/>
  <c r="E38" i="41"/>
  <c r="E41" i="41" s="1"/>
  <c r="D38" i="41"/>
  <c r="H37" i="41"/>
  <c r="H41" i="41" s="1"/>
  <c r="H50" i="41" s="1"/>
  <c r="G37" i="41"/>
  <c r="G41" i="41" s="1"/>
  <c r="G50" i="41" s="1"/>
  <c r="F37" i="41"/>
  <c r="F41" i="41" s="1"/>
  <c r="E37" i="41"/>
  <c r="D37" i="41"/>
  <c r="D41" i="41" s="1"/>
  <c r="H35" i="41"/>
  <c r="G35" i="41"/>
  <c r="F35" i="41"/>
  <c r="E35" i="41"/>
  <c r="J35" i="41" s="1"/>
  <c r="D35" i="41"/>
  <c r="J34" i="41"/>
  <c r="J33" i="41"/>
  <c r="H31" i="41"/>
  <c r="G31" i="41"/>
  <c r="F31" i="41"/>
  <c r="E31" i="41"/>
  <c r="J31" i="41" s="1"/>
  <c r="D31" i="41"/>
  <c r="J30" i="41"/>
  <c r="J29" i="41"/>
  <c r="H27" i="41"/>
  <c r="G27" i="41"/>
  <c r="F27" i="41"/>
  <c r="E27" i="41"/>
  <c r="J27" i="41" s="1"/>
  <c r="D27" i="41"/>
  <c r="J26" i="41"/>
  <c r="J25" i="41"/>
  <c r="J24" i="41"/>
  <c r="J23" i="41"/>
  <c r="J22" i="41"/>
  <c r="J21" i="41"/>
  <c r="J20" i="41"/>
  <c r="J19" i="41"/>
  <c r="J18" i="41"/>
  <c r="I16" i="41"/>
  <c r="H16" i="41"/>
  <c r="G16" i="41"/>
  <c r="F16" i="41"/>
  <c r="E16" i="41"/>
  <c r="D16" i="41"/>
  <c r="J15" i="41"/>
  <c r="J14" i="41"/>
  <c r="J13" i="41"/>
  <c r="J16" i="41" s="1"/>
  <c r="I11" i="41"/>
  <c r="H11" i="41"/>
  <c r="G11" i="41"/>
  <c r="F11" i="41"/>
  <c r="E11" i="41"/>
  <c r="D11" i="41"/>
  <c r="J10" i="41"/>
  <c r="J9" i="41"/>
  <c r="J8" i="41"/>
  <c r="J11" i="41" s="1"/>
  <c r="J41" i="41" l="1"/>
  <c r="D57" i="41"/>
  <c r="J50" i="41"/>
  <c r="E50" i="41"/>
  <c r="E57" i="41" s="1"/>
  <c r="F57" i="41"/>
  <c r="J37" i="41"/>
  <c r="J55" i="41"/>
  <c r="J57" i="41" s="1"/>
  <c r="J49" i="41"/>
  <c r="H51" i="39" l="1"/>
  <c r="G51" i="39"/>
  <c r="G53" i="39" s="1"/>
  <c r="F51" i="39"/>
  <c r="F53" i="39" s="1"/>
  <c r="E51" i="39"/>
  <c r="E53" i="39" s="1"/>
  <c r="D51" i="39"/>
  <c r="J50" i="39"/>
  <c r="J49" i="39"/>
  <c r="J51" i="39" s="1"/>
  <c r="H45" i="39"/>
  <c r="H46" i="39" s="1"/>
  <c r="G45" i="39"/>
  <c r="F45" i="39"/>
  <c r="F46" i="39" s="1"/>
  <c r="E45" i="39"/>
  <c r="E46" i="39" s="1"/>
  <c r="D45" i="39"/>
  <c r="D46" i="39" s="1"/>
  <c r="J44" i="39"/>
  <c r="J43" i="39"/>
  <c r="J42" i="39"/>
  <c r="J45" i="39" s="1"/>
  <c r="H40" i="39"/>
  <c r="G40" i="39"/>
  <c r="G46" i="39" s="1"/>
  <c r="F40" i="39"/>
  <c r="E40" i="39"/>
  <c r="D40" i="39"/>
  <c r="J39" i="39"/>
  <c r="J38" i="39"/>
  <c r="J37" i="39"/>
  <c r="J40" i="39" s="1"/>
  <c r="J36" i="39"/>
  <c r="H34" i="39"/>
  <c r="G34" i="39"/>
  <c r="F34" i="39"/>
  <c r="E34" i="39"/>
  <c r="D34" i="39"/>
  <c r="J33" i="39"/>
  <c r="J34" i="39" s="1"/>
  <c r="J32" i="39"/>
  <c r="H30" i="39"/>
  <c r="G30" i="39"/>
  <c r="F30" i="39"/>
  <c r="E30" i="39"/>
  <c r="D30" i="39"/>
  <c r="J29" i="39"/>
  <c r="J30" i="39" s="1"/>
  <c r="J28" i="39"/>
  <c r="H26" i="39"/>
  <c r="G26" i="39"/>
  <c r="F26" i="39"/>
  <c r="E26" i="39"/>
  <c r="D26" i="39"/>
  <c r="J25" i="39"/>
  <c r="J24" i="39"/>
  <c r="J23" i="39"/>
  <c r="J22" i="39"/>
  <c r="J21" i="39"/>
  <c r="J20" i="39"/>
  <c r="J19" i="39"/>
  <c r="J18" i="39"/>
  <c r="J26" i="39" s="1"/>
  <c r="H16" i="39"/>
  <c r="G16" i="39"/>
  <c r="F16" i="39"/>
  <c r="E16" i="39"/>
  <c r="D16" i="39"/>
  <c r="J15" i="39"/>
  <c r="J14" i="39"/>
  <c r="J13" i="39"/>
  <c r="J16" i="39" s="1"/>
  <c r="H11" i="39"/>
  <c r="G11" i="39"/>
  <c r="F11" i="39"/>
  <c r="E11" i="39"/>
  <c r="D11" i="39"/>
  <c r="J10" i="39"/>
  <c r="J9" i="39"/>
  <c r="J8" i="39"/>
  <c r="J11" i="39" s="1"/>
  <c r="D53" i="39" l="1"/>
  <c r="J46" i="39"/>
  <c r="J53" i="39" s="1"/>
  <c r="H53" i="39"/>
  <c r="E12" i="36" l="1"/>
  <c r="J38" i="29"/>
  <c r="J39" i="29"/>
  <c r="J8" i="29"/>
  <c r="J9" i="29"/>
  <c r="J10" i="29"/>
  <c r="J11" i="29"/>
  <c r="J10" i="36" l="1"/>
  <c r="J8" i="38"/>
  <c r="J9" i="38"/>
  <c r="J10" i="38"/>
  <c r="D11" i="38"/>
  <c r="E11" i="38"/>
  <c r="F11" i="38"/>
  <c r="G11" i="38"/>
  <c r="H11" i="38"/>
  <c r="I11" i="38"/>
  <c r="J11" i="38"/>
  <c r="J13" i="38"/>
  <c r="J14" i="38"/>
  <c r="J15" i="38"/>
  <c r="D16" i="38"/>
  <c r="E16" i="38"/>
  <c r="F16" i="38"/>
  <c r="G16" i="38"/>
  <c r="H16" i="38"/>
  <c r="I16" i="38"/>
  <c r="J16" i="38"/>
  <c r="J18" i="38"/>
  <c r="J19" i="38"/>
  <c r="J20" i="38"/>
  <c r="J21" i="38"/>
  <c r="J22" i="38"/>
  <c r="J23" i="38"/>
  <c r="J24" i="38"/>
  <c r="J25" i="38"/>
  <c r="J26" i="38"/>
  <c r="D27" i="38"/>
  <c r="E27" i="38"/>
  <c r="F27" i="38"/>
  <c r="G27" i="38"/>
  <c r="H27" i="38"/>
  <c r="J27" i="38"/>
  <c r="J29" i="38"/>
  <c r="J30" i="38"/>
  <c r="D31" i="38"/>
  <c r="E31" i="38"/>
  <c r="F31" i="38"/>
  <c r="G31" i="38"/>
  <c r="H31" i="38"/>
  <c r="J31" i="38"/>
  <c r="J33" i="38"/>
  <c r="J34" i="38"/>
  <c r="D35" i="38"/>
  <c r="E35" i="38"/>
  <c r="F35" i="38"/>
  <c r="G35" i="38"/>
  <c r="H35" i="38"/>
  <c r="J35" i="38"/>
  <c r="J37" i="38"/>
  <c r="J38" i="38"/>
  <c r="J39" i="38"/>
  <c r="J40" i="38"/>
  <c r="D41" i="38"/>
  <c r="E41" i="38"/>
  <c r="F41" i="38"/>
  <c r="G41" i="38"/>
  <c r="H41" i="38"/>
  <c r="J41" i="38"/>
  <c r="J43" i="38"/>
  <c r="J44" i="38"/>
  <c r="J45" i="38"/>
  <c r="J46" i="38"/>
  <c r="J47" i="38"/>
  <c r="J48" i="38"/>
  <c r="D49" i="38"/>
  <c r="E49" i="38"/>
  <c r="F49" i="38"/>
  <c r="G49" i="38"/>
  <c r="H49" i="38"/>
  <c r="J49" i="38"/>
  <c r="D50" i="38"/>
  <c r="E50" i="38"/>
  <c r="F50" i="38"/>
  <c r="G50" i="38"/>
  <c r="H50" i="38"/>
  <c r="J50" i="38"/>
  <c r="J53" i="38"/>
  <c r="J54" i="38"/>
  <c r="D55" i="38"/>
  <c r="E55" i="38"/>
  <c r="F55" i="38"/>
  <c r="G55" i="38"/>
  <c r="H55" i="38"/>
  <c r="J55" i="38"/>
  <c r="D57" i="38"/>
  <c r="E57" i="38"/>
  <c r="F57" i="38"/>
  <c r="G57" i="38"/>
  <c r="H57" i="38"/>
  <c r="I57" i="38"/>
  <c r="J57" i="38"/>
  <c r="I58" i="36"/>
  <c r="H56" i="36"/>
  <c r="G56" i="36"/>
  <c r="F56" i="36"/>
  <c r="D56" i="36"/>
  <c r="J55" i="36"/>
  <c r="J54" i="36"/>
  <c r="H50" i="36"/>
  <c r="G50" i="36"/>
  <c r="F50" i="36"/>
  <c r="E50" i="36"/>
  <c r="D50" i="36"/>
  <c r="J49" i="36"/>
  <c r="J48" i="36"/>
  <c r="J47" i="36"/>
  <c r="J46" i="36"/>
  <c r="J45" i="36"/>
  <c r="J44" i="36"/>
  <c r="H42" i="36"/>
  <c r="G42" i="36"/>
  <c r="F42" i="36"/>
  <c r="E42" i="36"/>
  <c r="D42" i="36"/>
  <c r="J41" i="36"/>
  <c r="J40" i="36"/>
  <c r="J39" i="36"/>
  <c r="J38" i="36"/>
  <c r="H36" i="36"/>
  <c r="G36" i="36"/>
  <c r="F36" i="36"/>
  <c r="E36" i="36"/>
  <c r="D36" i="36"/>
  <c r="J35" i="36"/>
  <c r="J34" i="36"/>
  <c r="H32" i="36"/>
  <c r="G32" i="36"/>
  <c r="F32" i="36"/>
  <c r="E32" i="36"/>
  <c r="D32" i="36"/>
  <c r="J32" i="36" s="1"/>
  <c r="J31" i="36"/>
  <c r="J30" i="36"/>
  <c r="H28" i="36"/>
  <c r="G28" i="36"/>
  <c r="F28" i="36"/>
  <c r="E28" i="36"/>
  <c r="D28" i="36"/>
  <c r="J28" i="36" s="1"/>
  <c r="J27" i="36"/>
  <c r="J26" i="36"/>
  <c r="J25" i="36"/>
  <c r="J24" i="36"/>
  <c r="J23" i="36"/>
  <c r="J22" i="36"/>
  <c r="J21" i="36"/>
  <c r="J20" i="36"/>
  <c r="J19" i="36"/>
  <c r="I17" i="36"/>
  <c r="H17" i="36"/>
  <c r="G17" i="36"/>
  <c r="F17" i="36"/>
  <c r="E17" i="36"/>
  <c r="D17" i="36"/>
  <c r="J16" i="36"/>
  <c r="J15" i="36"/>
  <c r="J14" i="36"/>
  <c r="J17" i="36" s="1"/>
  <c r="I12" i="36"/>
  <c r="H12" i="36"/>
  <c r="G12" i="36"/>
  <c r="F12" i="36"/>
  <c r="D12" i="36"/>
  <c r="J11" i="36"/>
  <c r="J9" i="36"/>
  <c r="J8" i="36"/>
  <c r="I57" i="35"/>
  <c r="H55" i="35"/>
  <c r="G55" i="35"/>
  <c r="F55" i="35"/>
  <c r="E55" i="35"/>
  <c r="D55" i="35"/>
  <c r="J54" i="35"/>
  <c r="J53" i="35"/>
  <c r="H49" i="35"/>
  <c r="G49" i="35"/>
  <c r="F49" i="35"/>
  <c r="E49" i="35"/>
  <c r="D49" i="35"/>
  <c r="J48" i="35"/>
  <c r="J47" i="35"/>
  <c r="J46" i="35"/>
  <c r="J45" i="35"/>
  <c r="J44" i="35"/>
  <c r="J43" i="35"/>
  <c r="H41" i="35"/>
  <c r="G41" i="35"/>
  <c r="F41" i="35"/>
  <c r="E41" i="35"/>
  <c r="D41" i="35"/>
  <c r="J41" i="35" s="1"/>
  <c r="J40" i="35"/>
  <c r="J39" i="35"/>
  <c r="J38" i="35"/>
  <c r="J37" i="35"/>
  <c r="H35" i="35"/>
  <c r="G35" i="35"/>
  <c r="F35" i="35"/>
  <c r="E35" i="35"/>
  <c r="D35" i="35"/>
  <c r="J35" i="35" s="1"/>
  <c r="J34" i="35"/>
  <c r="J33" i="35"/>
  <c r="H31" i="35"/>
  <c r="G31" i="35"/>
  <c r="F31" i="35"/>
  <c r="E31" i="35"/>
  <c r="D31" i="35"/>
  <c r="J31" i="35" s="1"/>
  <c r="J30" i="35"/>
  <c r="J29" i="35"/>
  <c r="H27" i="35"/>
  <c r="G27" i="35"/>
  <c r="F27" i="35"/>
  <c r="E27" i="35"/>
  <c r="D27" i="35"/>
  <c r="J27" i="35" s="1"/>
  <c r="J26" i="35"/>
  <c r="J25" i="35"/>
  <c r="J24" i="35"/>
  <c r="J23" i="35"/>
  <c r="J22" i="35"/>
  <c r="J21" i="35"/>
  <c r="J20" i="35"/>
  <c r="J19" i="35"/>
  <c r="J18" i="35"/>
  <c r="I16" i="35"/>
  <c r="H16" i="35"/>
  <c r="G16" i="35"/>
  <c r="F16" i="35"/>
  <c r="E16" i="35"/>
  <c r="D16" i="35"/>
  <c r="J15" i="35"/>
  <c r="J14" i="35"/>
  <c r="J13" i="35"/>
  <c r="J16" i="35" s="1"/>
  <c r="I11" i="35"/>
  <c r="H11" i="35"/>
  <c r="G11" i="35"/>
  <c r="F11" i="35"/>
  <c r="E11" i="35"/>
  <c r="D11" i="35"/>
  <c r="J10" i="35"/>
  <c r="J9" i="35"/>
  <c r="J8" i="35"/>
  <c r="J11" i="35" s="1"/>
  <c r="J18" i="31"/>
  <c r="J19" i="31"/>
  <c r="J19" i="29"/>
  <c r="J20" i="29"/>
  <c r="J22" i="28"/>
  <c r="J23" i="28"/>
  <c r="J50" i="27"/>
  <c r="J37" i="27"/>
  <c r="J39" i="27"/>
  <c r="J40" i="27"/>
  <c r="J27" i="27"/>
  <c r="J18" i="27"/>
  <c r="J19" i="27"/>
  <c r="E62" i="28"/>
  <c r="F62" i="28"/>
  <c r="H20" i="28"/>
  <c r="H8" i="30" s="1"/>
  <c r="I57" i="31"/>
  <c r="J55" i="31"/>
  <c r="H55" i="31"/>
  <c r="G55" i="31"/>
  <c r="F55" i="31"/>
  <c r="E55" i="31"/>
  <c r="D55" i="31"/>
  <c r="J54" i="31"/>
  <c r="J53" i="31"/>
  <c r="H49" i="31"/>
  <c r="G49" i="31"/>
  <c r="F49" i="31"/>
  <c r="E49" i="31"/>
  <c r="D49" i="31"/>
  <c r="J48" i="31"/>
  <c r="J47" i="31"/>
  <c r="J46" i="31"/>
  <c r="J45" i="31"/>
  <c r="J44" i="31"/>
  <c r="J43" i="31"/>
  <c r="H41" i="31"/>
  <c r="G41" i="31"/>
  <c r="F41" i="31"/>
  <c r="E41" i="31"/>
  <c r="D41" i="31"/>
  <c r="J40" i="31"/>
  <c r="J39" i="31"/>
  <c r="J38" i="31"/>
  <c r="J37" i="31"/>
  <c r="H35" i="31"/>
  <c r="G35" i="31"/>
  <c r="F35" i="31"/>
  <c r="E35" i="31"/>
  <c r="D35" i="31"/>
  <c r="J35" i="31" s="1"/>
  <c r="J34" i="31"/>
  <c r="J33" i="31"/>
  <c r="H31" i="31"/>
  <c r="G31" i="31"/>
  <c r="F31" i="31"/>
  <c r="E31" i="31"/>
  <c r="D31" i="31"/>
  <c r="J30" i="31"/>
  <c r="J29" i="31"/>
  <c r="H27" i="31"/>
  <c r="G27" i="31"/>
  <c r="F27" i="31"/>
  <c r="E27" i="31"/>
  <c r="D27" i="31"/>
  <c r="J27" i="31" s="1"/>
  <c r="J26" i="31"/>
  <c r="J25" i="31"/>
  <c r="J24" i="31"/>
  <c r="J23" i="31"/>
  <c r="J22" i="31"/>
  <c r="J21" i="31"/>
  <c r="J20" i="31"/>
  <c r="I16" i="31"/>
  <c r="H16" i="31"/>
  <c r="G16" i="31"/>
  <c r="F16" i="31"/>
  <c r="E16" i="31"/>
  <c r="D16" i="31"/>
  <c r="J15" i="31"/>
  <c r="J14" i="31"/>
  <c r="J13" i="31"/>
  <c r="I11" i="31"/>
  <c r="H11" i="31"/>
  <c r="G11" i="31"/>
  <c r="F11" i="31"/>
  <c r="E11" i="31"/>
  <c r="D11" i="31"/>
  <c r="J10" i="31"/>
  <c r="J9" i="31"/>
  <c r="J8" i="31"/>
  <c r="J11" i="31" s="1"/>
  <c r="I58" i="29"/>
  <c r="H56" i="29"/>
  <c r="G56" i="29"/>
  <c r="F56" i="29"/>
  <c r="E56" i="29"/>
  <c r="D56" i="29"/>
  <c r="J55" i="29"/>
  <c r="J54" i="29"/>
  <c r="H50" i="29"/>
  <c r="G50" i="29"/>
  <c r="F50" i="29"/>
  <c r="E50" i="29"/>
  <c r="D50" i="29"/>
  <c r="J49" i="29"/>
  <c r="J48" i="29"/>
  <c r="J47" i="29"/>
  <c r="J46" i="29"/>
  <c r="J45" i="29"/>
  <c r="J44" i="29"/>
  <c r="H42" i="29"/>
  <c r="G42" i="29"/>
  <c r="F42" i="29"/>
  <c r="E42" i="29"/>
  <c r="D42" i="29"/>
  <c r="J41" i="29"/>
  <c r="J40" i="29"/>
  <c r="H36" i="29"/>
  <c r="G36" i="29"/>
  <c r="F36" i="29"/>
  <c r="E36" i="29"/>
  <c r="D36" i="29"/>
  <c r="J36" i="29" s="1"/>
  <c r="J35" i="29"/>
  <c r="J34" i="29"/>
  <c r="H32" i="29"/>
  <c r="G32" i="29"/>
  <c r="F32" i="29"/>
  <c r="E32" i="29"/>
  <c r="D32" i="29"/>
  <c r="J31" i="29"/>
  <c r="J30" i="29"/>
  <c r="H28" i="29"/>
  <c r="G28" i="29"/>
  <c r="F28" i="29"/>
  <c r="E28" i="29"/>
  <c r="D28" i="29"/>
  <c r="J27" i="29"/>
  <c r="J26" i="29"/>
  <c r="J25" i="29"/>
  <c r="J24" i="29"/>
  <c r="J23" i="29"/>
  <c r="J22" i="29"/>
  <c r="J21" i="29"/>
  <c r="I17" i="29"/>
  <c r="H17" i="29"/>
  <c r="G17" i="29"/>
  <c r="F17" i="29"/>
  <c r="E17" i="29"/>
  <c r="D17" i="29"/>
  <c r="J16" i="29"/>
  <c r="J15" i="29"/>
  <c r="J14" i="29"/>
  <c r="J17" i="29" s="1"/>
  <c r="I12" i="29"/>
  <c r="H12" i="29"/>
  <c r="G12" i="29"/>
  <c r="F12" i="29"/>
  <c r="E12" i="29"/>
  <c r="D12" i="29"/>
  <c r="I64" i="28"/>
  <c r="H62" i="28"/>
  <c r="G62" i="28"/>
  <c r="D62" i="28"/>
  <c r="J61" i="28"/>
  <c r="H56" i="28"/>
  <c r="H13" i="30" s="1"/>
  <c r="G56" i="28"/>
  <c r="G13" i="30" s="1"/>
  <c r="F56" i="28"/>
  <c r="F13" i="30" s="1"/>
  <c r="E56" i="28"/>
  <c r="E13" i="30" s="1"/>
  <c r="D56" i="28"/>
  <c r="D13" i="30" s="1"/>
  <c r="J55" i="28"/>
  <c r="J54" i="28"/>
  <c r="J53" i="28"/>
  <c r="J52" i="28"/>
  <c r="J51" i="28"/>
  <c r="J50" i="28"/>
  <c r="H48" i="28"/>
  <c r="H12" i="30" s="1"/>
  <c r="G48" i="28"/>
  <c r="G12" i="30" s="1"/>
  <c r="F48" i="28"/>
  <c r="F12" i="30" s="1"/>
  <c r="E48" i="28"/>
  <c r="E12" i="30" s="1"/>
  <c r="D48" i="28"/>
  <c r="D12" i="30" s="1"/>
  <c r="H39" i="28"/>
  <c r="G39" i="28"/>
  <c r="F39" i="28"/>
  <c r="E39" i="28"/>
  <c r="D39" i="28"/>
  <c r="J38" i="28"/>
  <c r="J37" i="28"/>
  <c r="H35" i="28"/>
  <c r="G35" i="28"/>
  <c r="F35" i="28"/>
  <c r="E35" i="28"/>
  <c r="E10" i="30" s="1"/>
  <c r="D35" i="28"/>
  <c r="J34" i="28"/>
  <c r="J33" i="28"/>
  <c r="H31" i="28"/>
  <c r="H9" i="30" s="1"/>
  <c r="G31" i="28"/>
  <c r="G9" i="30" s="1"/>
  <c r="F31" i="28"/>
  <c r="F9" i="30" s="1"/>
  <c r="E31" i="28"/>
  <c r="E9" i="30" s="1"/>
  <c r="D31" i="28"/>
  <c r="D9" i="30" s="1"/>
  <c r="J30" i="28"/>
  <c r="J29" i="28"/>
  <c r="J28" i="28"/>
  <c r="J27" i="28"/>
  <c r="J26" i="28"/>
  <c r="J25" i="28"/>
  <c r="J24" i="28"/>
  <c r="I20" i="28"/>
  <c r="J19" i="28"/>
  <c r="J18" i="28"/>
  <c r="I15" i="28"/>
  <c r="H15" i="28"/>
  <c r="H7" i="30" s="1"/>
  <c r="G15" i="28"/>
  <c r="G7" i="30" s="1"/>
  <c r="F15" i="28"/>
  <c r="F7" i="30" s="1"/>
  <c r="E15" i="28"/>
  <c r="E7" i="30" s="1"/>
  <c r="D15" i="28"/>
  <c r="D7" i="30" s="1"/>
  <c r="J14" i="28"/>
  <c r="I58" i="27"/>
  <c r="H56" i="27"/>
  <c r="G56" i="27"/>
  <c r="F56" i="27"/>
  <c r="E56" i="27"/>
  <c r="D56" i="27"/>
  <c r="J55" i="27"/>
  <c r="J54" i="27"/>
  <c r="H50" i="27"/>
  <c r="G50" i="27"/>
  <c r="F50" i="27"/>
  <c r="E50" i="27"/>
  <c r="D50" i="27"/>
  <c r="J49" i="27"/>
  <c r="J48" i="27"/>
  <c r="J47" i="27"/>
  <c r="J46" i="27"/>
  <c r="J45" i="27"/>
  <c r="J44" i="27"/>
  <c r="H42" i="27"/>
  <c r="G42" i="27"/>
  <c r="F42" i="27"/>
  <c r="E42" i="27"/>
  <c r="D42" i="27"/>
  <c r="J41" i="27"/>
  <c r="H35" i="27"/>
  <c r="H11" i="30" s="1"/>
  <c r="G35" i="27"/>
  <c r="F35" i="27"/>
  <c r="E35" i="27"/>
  <c r="D35" i="27"/>
  <c r="J33" i="27"/>
  <c r="J35" i="27" s="1"/>
  <c r="H31" i="27"/>
  <c r="G31" i="27"/>
  <c r="F31" i="27"/>
  <c r="E31" i="27"/>
  <c r="D31" i="27"/>
  <c r="J30" i="27"/>
  <c r="J29" i="27"/>
  <c r="H27" i="27"/>
  <c r="G27" i="27"/>
  <c r="F27" i="27"/>
  <c r="E27" i="27"/>
  <c r="D27" i="27"/>
  <c r="J26" i="27"/>
  <c r="J25" i="27"/>
  <c r="J24" i="27"/>
  <c r="J23" i="27"/>
  <c r="J22" i="27"/>
  <c r="J21" i="27"/>
  <c r="J20" i="27"/>
  <c r="I16" i="27"/>
  <c r="J15" i="27"/>
  <c r="J14" i="27"/>
  <c r="I11" i="27"/>
  <c r="H11" i="27"/>
  <c r="H16" i="27" s="1"/>
  <c r="G11" i="27"/>
  <c r="G16" i="27" s="1"/>
  <c r="F11" i="27"/>
  <c r="F16" i="27" s="1"/>
  <c r="E11" i="27"/>
  <c r="E16" i="27" s="1"/>
  <c r="D11" i="27"/>
  <c r="D16" i="27" s="1"/>
  <c r="J10" i="27"/>
  <c r="J9" i="27"/>
  <c r="J8" i="27"/>
  <c r="D10" i="30" l="1"/>
  <c r="G10" i="30"/>
  <c r="H10" i="30"/>
  <c r="F10" i="30"/>
  <c r="E11" i="30"/>
  <c r="F11" i="30"/>
  <c r="D11" i="30"/>
  <c r="G11" i="30"/>
  <c r="D20" i="28"/>
  <c r="D8" i="30" s="1"/>
  <c r="E20" i="28"/>
  <c r="E57" i="28" s="1"/>
  <c r="E64" i="28" s="1"/>
  <c r="F20" i="28"/>
  <c r="F57" i="28" s="1"/>
  <c r="G20" i="28"/>
  <c r="G8" i="30" s="1"/>
  <c r="J32" i="29"/>
  <c r="J42" i="36"/>
  <c r="J36" i="36"/>
  <c r="J12" i="36"/>
  <c r="J31" i="31"/>
  <c r="D50" i="31"/>
  <c r="D57" i="31" s="1"/>
  <c r="D16" i="30"/>
  <c r="D51" i="36"/>
  <c r="D58" i="36" s="1"/>
  <c r="J50" i="36"/>
  <c r="E51" i="36"/>
  <c r="E58" i="36" s="1"/>
  <c r="F51" i="36"/>
  <c r="F58" i="36" s="1"/>
  <c r="G51" i="36"/>
  <c r="G58" i="36" s="1"/>
  <c r="H51" i="36"/>
  <c r="H58" i="36" s="1"/>
  <c r="J56" i="36"/>
  <c r="D50" i="35"/>
  <c r="J49" i="35"/>
  <c r="E50" i="35"/>
  <c r="F50" i="35"/>
  <c r="G50" i="35"/>
  <c r="H50" i="35"/>
  <c r="D57" i="35"/>
  <c r="J55" i="35"/>
  <c r="E57" i="35"/>
  <c r="F57" i="35"/>
  <c r="G57" i="35"/>
  <c r="H57" i="35"/>
  <c r="F16" i="30"/>
  <c r="G16" i="30"/>
  <c r="E16" i="30"/>
  <c r="H16" i="30"/>
  <c r="H51" i="27"/>
  <c r="H58" i="27" s="1"/>
  <c r="J13" i="27"/>
  <c r="J16" i="27" s="1"/>
  <c r="G51" i="27"/>
  <c r="G58" i="27" s="1"/>
  <c r="D51" i="27"/>
  <c r="D58" i="27" s="1"/>
  <c r="J62" i="28"/>
  <c r="J60" i="28"/>
  <c r="J48" i="28"/>
  <c r="J35" i="28"/>
  <c r="J39" i="28"/>
  <c r="J31" i="28"/>
  <c r="J17" i="28"/>
  <c r="J20" i="28" s="1"/>
  <c r="H57" i="28"/>
  <c r="H64" i="28" s="1"/>
  <c r="J15" i="28"/>
  <c r="H50" i="31"/>
  <c r="H57" i="31" s="1"/>
  <c r="J41" i="31"/>
  <c r="J16" i="31"/>
  <c r="F50" i="31"/>
  <c r="F57" i="31" s="1"/>
  <c r="G50" i="31"/>
  <c r="G57" i="31" s="1"/>
  <c r="E50" i="31"/>
  <c r="E57" i="31" s="1"/>
  <c r="J42" i="29"/>
  <c r="J28" i="29"/>
  <c r="E51" i="29"/>
  <c r="E58" i="29" s="1"/>
  <c r="G51" i="29"/>
  <c r="G58" i="29" s="1"/>
  <c r="H51" i="29"/>
  <c r="H58" i="29" s="1"/>
  <c r="D51" i="29"/>
  <c r="D58" i="29" s="1"/>
  <c r="F51" i="29"/>
  <c r="F58" i="29" s="1"/>
  <c r="J49" i="31"/>
  <c r="E51" i="27"/>
  <c r="E58" i="27" s="1"/>
  <c r="F51" i="27"/>
  <c r="F58" i="27" s="1"/>
  <c r="J56" i="29"/>
  <c r="J50" i="29"/>
  <c r="J56" i="28"/>
  <c r="J56" i="27"/>
  <c r="E8" i="30" l="1"/>
  <c r="E14" i="30" s="1"/>
  <c r="E18" i="30" s="1"/>
  <c r="D57" i="28"/>
  <c r="D64" i="28" s="1"/>
  <c r="G57" i="28"/>
  <c r="G64" i="28" s="1"/>
  <c r="F8" i="30"/>
  <c r="F14" i="30" s="1"/>
  <c r="F18" i="30" s="1"/>
  <c r="J16" i="30"/>
  <c r="J10" i="30"/>
  <c r="J51" i="36"/>
  <c r="J58" i="36" s="1"/>
  <c r="J50" i="35"/>
  <c r="J57" i="35" s="1"/>
  <c r="J11" i="30"/>
  <c r="J12" i="30"/>
  <c r="J9" i="30"/>
  <c r="G14" i="30"/>
  <c r="G18" i="30" s="1"/>
  <c r="J7" i="30"/>
  <c r="F64" i="28"/>
  <c r="H14" i="30"/>
  <c r="H18" i="30" s="1"/>
  <c r="D14" i="30"/>
  <c r="J13" i="30"/>
  <c r="J50" i="31"/>
  <c r="J57" i="31" s="1"/>
  <c r="J51" i="29"/>
  <c r="J58" i="29" s="1"/>
  <c r="J58" i="27"/>
  <c r="D24" i="30" s="1"/>
  <c r="J64" i="28" l="1"/>
  <c r="D26" i="30" s="1"/>
  <c r="J8" i="30"/>
  <c r="J14" i="30"/>
  <c r="J18" i="30" s="1"/>
  <c r="D18" i="30"/>
  <c r="D40" i="30" l="1"/>
  <c r="E33" i="30" s="1"/>
  <c r="E32" i="30" l="1"/>
  <c r="E27" i="30"/>
  <c r="E37" i="30"/>
  <c r="E28" i="30"/>
  <c r="E30" i="30"/>
  <c r="E35" i="30"/>
  <c r="E29" i="30"/>
  <c r="E26" i="30"/>
  <c r="E39" i="30"/>
  <c r="E38" i="30"/>
  <c r="E23" i="30"/>
  <c r="E34" i="30"/>
  <c r="E31" i="30"/>
  <c r="E25" i="30"/>
  <c r="E24" i="30"/>
  <c r="E36" i="30"/>
  <c r="E40" i="3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tc={1BD251A6-3108-489D-B93C-178AC6A27553}</author>
  </authors>
  <commentList>
    <comment ref="C8" authorId="0" shapeId="0" xr:uid="{1BD251A6-3108-489D-B93C-178AC6A27553}">
      <text>
        <t>[Threaded comment]
Your version of Excel allows you to read this threaded comment; however, any edits to it will get removed if the file is opened in a newer version of Excel. Learn more: https://go.microsoft.com/fwlink/?linkid=870924
Comment:
    Krute - can you confirm that this is the appropriate way to budget to staff time? I used the amounts based on the most recent internal budget;
Not sure if benefits/overhead are also supposed to increase by the COLA or if we're even supposed to include overhead in the grant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tc={853C4F7C-2B89-4564-BDBF-66B2D998B351}</author>
  </authors>
  <commentList>
    <comment ref="C46" authorId="0" shapeId="0" xr:uid="{853C4F7C-2B89-4564-BDBF-66B2D998B351}">
      <text>
        <t>[Threaded comment]
Your version of Excel allows you to read this threaded comment; however, any edits to it will get removed if the file is opened in a newer version of Excel. Learn more: https://go.microsoft.com/fwlink/?linkid=870924
Comment:
    Can we include indirect costs of say, food at outreach events? I padded the event cost by an add'l 2k incase we couldn't</t>
      </text>
    </comment>
  </commentList>
</comments>
</file>

<file path=xl/sharedStrings.xml><?xml version="1.0" encoding="utf-8"?>
<sst xmlns="http://schemas.openxmlformats.org/spreadsheetml/2006/main" count="1182" uniqueCount="165">
  <si>
    <t>Consolidated Budget Table</t>
  </si>
  <si>
    <t>This table will update automatically based on the budget detail entered in the tabs for measures 1-5. If your application includes more than 5 individual measures, you will need to add additional tabs, update the formulas below, and add additional lines to the "Budget by Project" table to include the additional measures.</t>
  </si>
  <si>
    <t>BUDGET BY YEAR</t>
  </si>
  <si>
    <t>COST-TYPE</t>
  </si>
  <si>
    <t>CATEGORY</t>
  </si>
  <si>
    <t>YEAR 1</t>
  </si>
  <si>
    <t>YEAR 2</t>
  </si>
  <si>
    <t>YEAR 3</t>
  </si>
  <si>
    <t>YEAR 4</t>
  </si>
  <si>
    <t>YEAR 5</t>
  </si>
  <si>
    <t>TOTAL</t>
  </si>
  <si>
    <t>Direct Costs</t>
  </si>
  <si>
    <t xml:space="preserve">TOTAL PERSONNEL </t>
  </si>
  <si>
    <t xml:space="preserve"> TOTAL FRINGE BENEFITS  </t>
  </si>
  <si>
    <t xml:space="preserve"> TOTAL TRAVEL </t>
  </si>
  <si>
    <t xml:space="preserve"> TOTAL EQUIPMENT </t>
  </si>
  <si>
    <t xml:space="preserve"> TOTAL SUPPLIES </t>
  </si>
  <si>
    <t xml:space="preserve"> TOTAL CONTRACTUAL </t>
  </si>
  <si>
    <t>TOTAL OTHER</t>
  </si>
  <si>
    <t>TOTAL DIRECT</t>
  </si>
  <si>
    <t/>
  </si>
  <si>
    <t xml:space="preserve"> TOTAL INDIRECT </t>
  </si>
  <si>
    <t xml:space="preserve"> TOTAL FUNDING </t>
  </si>
  <si>
    <t>BUDGET BY PROJECT</t>
  </si>
  <si>
    <t>Project Number</t>
  </si>
  <si>
    <t>Project Name</t>
  </si>
  <si>
    <t>Total Cost</t>
  </si>
  <si>
    <t>% of Total</t>
  </si>
  <si>
    <t>Total</t>
  </si>
  <si>
    <t xml:space="preserve">This Excel Workbook is provided to aid applicants in developing the required budget table(s) within the budget narrative.  </t>
  </si>
  <si>
    <t>Personnel</t>
  </si>
  <si>
    <t> </t>
  </si>
  <si>
    <t xml:space="preserve"> Fringe Benefits </t>
  </si>
  <si>
    <t xml:space="preserve"> Travel </t>
  </si>
  <si>
    <t xml:space="preserve"> Equipment </t>
  </si>
  <si>
    <t xml:space="preserve"> </t>
  </si>
  <si>
    <t xml:space="preserve"> Supplies </t>
  </si>
  <si>
    <t>Lockers</t>
  </si>
  <si>
    <t xml:space="preserve"> Contractual </t>
  </si>
  <si>
    <t>OTHER</t>
  </si>
  <si>
    <t>Indirect Costs</t>
  </si>
  <si>
    <t>Project Manager @ $198,000/yr, 0.25 FTE, plus 4% cost of living adjustment</t>
  </si>
  <si>
    <t>Dual-port EV chargers, 192 @$15,000</t>
  </si>
  <si>
    <t>Electrical equipment, $250,000 per station</t>
  </si>
  <si>
    <t>Design, civil, electrical, trenching, installation; $735,000 per station</t>
  </si>
  <si>
    <t>Interior AIP - installation</t>
  </si>
  <si>
    <t>TOTAL CONTRACTUAL</t>
  </si>
  <si>
    <t>Other</t>
  </si>
  <si>
    <t>Lake Merritt Plaza BART labor - design phase</t>
  </si>
  <si>
    <t>Lake Merritt BART labor - construction &amp; closeout</t>
  </si>
  <si>
    <t>Lake Merritt Design consultant contract</t>
  </si>
  <si>
    <t>Lake Merritt Construction contract</t>
  </si>
  <si>
    <t>Lake Merritt Construction management contract</t>
  </si>
  <si>
    <t>Project Management</t>
  </si>
  <si>
    <t>Engineering</t>
  </si>
  <si>
    <t>Construction Management</t>
  </si>
  <si>
    <t>Construction - Installation</t>
  </si>
  <si>
    <t>Materials and Labor (between $150k - $300k/station)</t>
  </si>
  <si>
    <t>Exterior Wayfinding - installation</t>
  </si>
  <si>
    <t>Interior Wayfinding - installation</t>
  </si>
  <si>
    <t>Exterior AIP: site mobilization, contingency, etc.</t>
  </si>
  <si>
    <t>Part of the construction cost</t>
  </si>
  <si>
    <t>Fabrication of perforated metal art panels</t>
  </si>
  <si>
    <t>Artist services</t>
  </si>
  <si>
    <t>EV Service Provider - charger hardware and installation</t>
  </si>
  <si>
    <t>EV Service Provider - make-ready equipment</t>
  </si>
  <si>
    <t>Safe Biking Accessory incentive (2,608) of $150 for a helmet, lock, and front &amp; rear lights for those who purchase an e-bike using the income qualified e-bike incentive, along with a 10% increase to account for incentive adjustments based on inflation over the five year program.</t>
  </si>
  <si>
    <t>Project Manager @ $192.19 / hour with salary increases (2.5 hours/week)</t>
  </si>
  <si>
    <t>CCTA Senior Accountant (40 hours/year)</t>
  </si>
  <si>
    <t>CCTA Director, Mobility Programs (10 hours/year)</t>
  </si>
  <si>
    <t>Marketing costs including webpage management, 3 paid social media ads/year, development of graphics and print materials</t>
  </si>
  <si>
    <t>Contractor to issue 200 e-bike rebates per year (100 per station) in the amount of $1,000 each. Includes $1 per rebate fee from check provider.</t>
  </si>
  <si>
    <t>Notes:</t>
  </si>
  <si>
    <t>hourly rates incl. benefits (4% annual increase)</t>
  </si>
  <si>
    <t>Project Manager (contracted)</t>
  </si>
  <si>
    <t>CCTA Senior Accountant</t>
  </si>
  <si>
    <t>CCTA Director, Mobility Programs</t>
  </si>
  <si>
    <t>E-bikes: 508 e-bikes @ $3,700 each</t>
  </si>
  <si>
    <t>Non-Charging Stations: 35 stations @ $45,000 each</t>
  </si>
  <si>
    <t>Installation Fees: 35 stations @ 10k each</t>
  </si>
  <si>
    <t>Station Siting Support - Consultant to support Cities in location selection for new stations; $20,000 @ 35 stations</t>
  </si>
  <si>
    <t>Bi-monthly outreach events @ $3,000 per event in 7 station areas, including cost escalation @ 6%</t>
  </si>
  <si>
    <t>Charging station hardware, 7 @ $55,000 per station</t>
  </si>
  <si>
    <t>Civil, electrical and trenching work; $70,000 per station</t>
  </si>
  <si>
    <t>Community Mobility Grants (10 grants
for 10 stations at $40,000/station) for Activation Projects</t>
  </si>
  <si>
    <t>Training and Knowledge Platform (virtual and in-person Workshops)</t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</si>
  <si>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Pb+E Community Mobility Ambassador Program</t>
    </r>
  </si>
  <si>
    <t xml:space="preserve">TOTAL CONTRACTUAL </t>
  </si>
  <si>
    <t xml:space="preserve">TOTAL SUPPLIES </t>
  </si>
  <si>
    <t xml:space="preserve">TOTAL EQUIPMENT </t>
  </si>
  <si>
    <t xml:space="preserve">TOTAL TRAVEL </t>
  </si>
  <si>
    <t xml:space="preserve">TOTAL FRINGE BENEFITS  </t>
  </si>
  <si>
    <t>BART - Bike Access</t>
  </si>
  <si>
    <t>BART - EV Charging</t>
  </si>
  <si>
    <t>BART - ADA</t>
  </si>
  <si>
    <t>BART - TOD Plazas</t>
  </si>
  <si>
    <t>BART - RTDs</t>
  </si>
  <si>
    <t>BART - Lighting</t>
  </si>
  <si>
    <t>BART - Wayfinding</t>
  </si>
  <si>
    <t>BART - Transit Shelter</t>
  </si>
  <si>
    <t>SFMTA - EV Chargers</t>
  </si>
  <si>
    <t>Ava - Ebike Incentive</t>
  </si>
  <si>
    <t>CCTA - Ebike Incentive</t>
  </si>
  <si>
    <t>Bikeshare Stations</t>
  </si>
  <si>
    <t>Bikeshare Outreach</t>
  </si>
  <si>
    <t>Bikeshare Electrification</t>
  </si>
  <si>
    <t>Pb+E Outreach</t>
  </si>
  <si>
    <t>Admin and Evaluation</t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</si>
  <si>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Mobility Hubs Lighting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</si>
  <si>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Mobility Hubs Bus Shelters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</si>
  <si>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Mobility Hubs Wayfinding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</si>
  <si>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Grant Administration and Full Project Evaluation</t>
    </r>
  </si>
  <si>
    <t>DC Fast Charging</t>
  </si>
  <si>
    <t>Surveying and reporting (intercept, digital)</t>
  </si>
  <si>
    <t>Stairway Channel Installation Project Manager</t>
  </si>
  <si>
    <t>Exterior Accessibility Improvement Program (AIP) - Project Manager</t>
  </si>
  <si>
    <t>Interior AIP - Project Manager</t>
  </si>
  <si>
    <t>Interior AIP - Design Engineering Project Manager</t>
  </si>
  <si>
    <t>Interior AIP - Construction Management Project Manager</t>
  </si>
  <si>
    <t>eLocker Electrical Project Manager</t>
  </si>
  <si>
    <t>Stairway Channel Design</t>
  </si>
  <si>
    <t>Stairway Channel Fabrication</t>
  </si>
  <si>
    <t>* Preferred Path of Travel = The project aims to support clear, predictable bicycle access between the edge of BART property to station platforms and bicycle parking.</t>
  </si>
  <si>
    <t>Preferred Path of Travel Design</t>
  </si>
  <si>
    <t>Preferred Path of Travel* Project Manager</t>
  </si>
  <si>
    <t>Preferred Path of Travel Construction</t>
  </si>
  <si>
    <t>Exterior Accessibility Improvement Program (AIP) - installation</t>
  </si>
  <si>
    <t>Exterior Wayfinding - Project Manager</t>
  </si>
  <si>
    <t>Interior Wayfinding - Project Manager</t>
  </si>
  <si>
    <t>Interior Wayfinding - Design Engineering Project Manager</t>
  </si>
  <si>
    <t>Interior Wayfinding - Construction Project Manager</t>
  </si>
  <si>
    <t>Project Manager</t>
  </si>
  <si>
    <t>Displays/Brackets/Electrical</t>
  </si>
  <si>
    <t>E-bike incentives (2,608) for income-qualified program participants. $1,000 for a standard e-bike and $1,500 for a cargo or adaptive e-bike. This calculation assumes 50% of incentive funds go toward standard and the other 50% goes toward cargo &amp; adaptive, along with a 10% increase to account for incentive adjustments based on inflation over the five year program.</t>
  </si>
  <si>
    <t>Travel to Marketing events, up to two per year: Mileage for travel: $.67/mile (with est. yearly increases) for travel from CCTA to various sites near project areas, approx 60 miles roundtrip</t>
  </si>
  <si>
    <t>500 Memberships in 7 station areas @ $150 / annual membership plus $10/month ebike credit ($270 total), including up to 4% increase in membership fee (allowed in current MTC contract with Lyft)</t>
  </si>
  <si>
    <t>Outreach @ 10 stations over the period of performance</t>
  </si>
  <si>
    <t>BART - Outreach</t>
  </si>
  <si>
    <t>Lake Merritt BART Labor - Construction Management</t>
  </si>
  <si>
    <t>16th St. Plaza - BART Labor - Design Phase</t>
  </si>
  <si>
    <t>16th St. Plaza - BART Labor - Construction Support &amp; Closeout</t>
  </si>
  <si>
    <t>16th St. Plaza - Design Contract</t>
  </si>
  <si>
    <t>16th St. Plaza - Construction Contact</t>
  </si>
  <si>
    <t>16th St. Plaza - Construction Management Contract</t>
  </si>
  <si>
    <t>Project Manager @ $148,038/yr, 1.5 FTE, plus MTC employer 4.8% max annual cost of living adjustment</t>
  </si>
  <si>
    <t>Benefits @ $62,916 / year, 1.5 FTE</t>
  </si>
  <si>
    <t>Overhead $105,477 / year, 1.5 FTE</t>
  </si>
  <si>
    <t>Project Manager $148,038/yr, 1 FTE, plus MTC employer 4.8% max annual cost of living adjustment</t>
  </si>
  <si>
    <t>Benefits @ $62,916 / year, 1 FTE</t>
  </si>
  <si>
    <t>Overhead $105,477 / year, 1 FTE</t>
  </si>
  <si>
    <t>Project Manager $148,038/yr, 0.5 FTE, plus MTC employer 4.8% max annual cost of living adjustment</t>
  </si>
  <si>
    <t>Benefits @ $62,916 / year, 0.5 FTE</t>
  </si>
  <si>
    <t>Overhead $105,477 / year, 0.5 FTE</t>
  </si>
  <si>
    <r>
      <t>Detailed Budget Table -</t>
    </r>
    <r>
      <rPr>
        <b/>
        <sz val="18"/>
        <color theme="5"/>
        <rFont val="Calibri"/>
        <family val="2"/>
        <scheme val="minor"/>
      </rPr>
      <t xml:space="preserve"> Mobility Hubs Real Time Displays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</si>
  <si>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Mobility Hubs ADA Accessiblity Upgrades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</si>
  <si>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Mobility Hubs EV Charging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</si>
  <si>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Mobility Hubs Bike Access</t>
    </r>
  </si>
  <si>
    <r>
      <t>Detailed Budget Table -</t>
    </r>
    <r>
      <rPr>
        <b/>
        <sz val="18"/>
        <color rgb="FFFF0000"/>
        <rFont val="Calibri"/>
        <family val="2"/>
        <scheme val="minor"/>
      </rPr>
      <t xml:space="preserve"> </t>
    </r>
    <r>
      <rPr>
        <b/>
        <sz val="18"/>
        <color theme="5"/>
        <rFont val="Calibri"/>
        <family val="2"/>
        <scheme val="minor"/>
      </rPr>
      <t>Mobility Hubs Transit-Oriented Communities Plazas</t>
    </r>
  </si>
  <si>
    <r>
      <t>Detailed Budget Table -</t>
    </r>
    <r>
      <rPr>
        <b/>
        <sz val="18"/>
        <color theme="5"/>
        <rFont val="Calibri"/>
        <family val="2"/>
        <scheme val="minor"/>
      </rPr>
      <t xml:space="preserve"> Mobility Hub BART Construction Outreach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</si>
  <si>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Mobility Hubs 16th Mission EV Chargers by Coalition Member SFMTA</t>
    </r>
  </si>
  <si>
    <r>
      <t>Detailed Budget Table -</t>
    </r>
    <r>
      <rPr>
        <b/>
        <sz val="18"/>
        <color theme="5"/>
        <rFont val="Calibri"/>
        <family val="2"/>
        <scheme val="minor"/>
      </rPr>
      <t xml:space="preserve"> Ebike Incentives by Coalition Member Ava</t>
    </r>
  </si>
  <si>
    <r>
      <t xml:space="preserve">Detailed Budget Table -  </t>
    </r>
    <r>
      <rPr>
        <b/>
        <sz val="18"/>
        <color theme="5"/>
        <rFont val="Calibri"/>
        <family val="2"/>
        <scheme val="minor"/>
      </rPr>
      <t>Ebike Incentives by Coalition Member CCTA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</si>
  <si>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Bay Wheels Ebikes and Non Charging Stations</t>
    </r>
  </si>
  <si>
    <r>
      <t>Detailed Budget Table -</t>
    </r>
    <r>
      <rPr>
        <b/>
        <sz val="18"/>
        <color theme="5"/>
        <rFont val="Calibri"/>
        <family val="2"/>
        <scheme val="minor"/>
      </rPr>
      <t xml:space="preserve"> Bay Wheels Bikeshare Outreach</t>
    </r>
  </si>
  <si>
    <r>
      <t xml:space="preserve">Detailed Budget Table - </t>
    </r>
    <r>
      <rPr>
        <b/>
        <sz val="18"/>
        <color theme="5"/>
        <rFont val="Calibri"/>
        <family val="2"/>
        <scheme val="minor"/>
      </rPr>
      <t>Bay Wheels Bikeshare Electrification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</si>
</sst>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0" tint="-0.3499862666707357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i/>
      <sz val="11"/>
      <color theme="0" tint="-0.3499862666707357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rgb="FFA6A6A6"/>
      <name val="Calibri"/>
      <family val="2"/>
    </font>
    <font>
      <i/>
      <sz val="11"/>
      <color rgb="FF000000"/>
      <name val="Calibri"/>
      <family val="2"/>
    </font>
    <font>
      <b/>
      <i/>
      <sz val="11"/>
      <color rgb="FF000000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i/>
      <sz val="11"/>
      <color theme="4"/>
      <name val="Calibri"/>
      <family val="2"/>
      <scheme val="minor"/>
    </font>
    <font>
      <b/>
      <sz val="18"/>
      <color theme="5"/>
      <name val="Calibri"/>
      <family val="2"/>
      <scheme val="minor"/>
    </font>
    <font>
      <sz val="8"/>
      <name val="Calibri"/>
      <family val="2"/>
      <scheme val="minor"/>
    </font>
    <font>
      <b/>
      <sz val="18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6E6E6"/>
        <bgColor rgb="FF000000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9">
    <xf numFmtId="0" fontId="0" fillId="0" borderId="0" xfId="0"/>
    <xf numFmtId="0" fontId="2" fillId="0" borderId="0" xfId="0" applyFont="1"/>
    <xf numFmtId="164" fontId="0" fillId="0" borderId="0" xfId="1" applyNumberFormat="1" applyFont="1" applyBorder="1"/>
    <xf numFmtId="0" fontId="3" fillId="0" borderId="0" xfId="0" applyFont="1"/>
    <xf numFmtId="0" fontId="0" fillId="0" borderId="0" xfId="0" applyAlignment="1">
      <alignment vertical="top"/>
    </xf>
    <xf numFmtId="0" fontId="7" fillId="0" borderId="0" xfId="0" applyFont="1"/>
    <xf numFmtId="0" fontId="7" fillId="0" borderId="1" xfId="0" applyFont="1" applyBorder="1"/>
    <xf numFmtId="0" fontId="7" fillId="4" borderId="1" xfId="0" applyFont="1" applyFill="1" applyBorder="1" applyAlignment="1">
      <alignment wrapText="1"/>
    </xf>
    <xf numFmtId="0" fontId="7" fillId="0" borderId="1" xfId="0" applyFont="1" applyBorder="1" applyAlignment="1">
      <alignment wrapText="1"/>
    </xf>
    <xf numFmtId="6" fontId="7" fillId="0" borderId="1" xfId="0" applyNumberFormat="1" applyFont="1" applyBorder="1" applyAlignment="1">
      <alignment wrapText="1"/>
    </xf>
    <xf numFmtId="6" fontId="9" fillId="4" borderId="4" xfId="0" applyNumberFormat="1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6" fontId="9" fillId="0" borderId="1" xfId="0" applyNumberFormat="1" applyFont="1" applyBorder="1" applyAlignment="1">
      <alignment wrapText="1"/>
    </xf>
    <xf numFmtId="6" fontId="9" fillId="4" borderId="1" xfId="0" applyNumberFormat="1" applyFont="1" applyFill="1" applyBorder="1" applyAlignment="1">
      <alignment wrapText="1"/>
    </xf>
    <xf numFmtId="0" fontId="2" fillId="0" borderId="1" xfId="0" applyFont="1" applyBorder="1"/>
    <xf numFmtId="0" fontId="0" fillId="0" borderId="1" xfId="0" applyBorder="1"/>
    <xf numFmtId="0" fontId="10" fillId="0" borderId="9" xfId="0" applyFont="1" applyBorder="1" applyAlignment="1">
      <alignment wrapText="1"/>
    </xf>
    <xf numFmtId="0" fontId="2" fillId="0" borderId="2" xfId="0" applyFont="1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3" xfId="0" applyBorder="1" applyAlignment="1">
      <alignment vertical="top"/>
    </xf>
    <xf numFmtId="0" fontId="9" fillId="0" borderId="1" xfId="0" applyFont="1" applyBorder="1" applyAlignment="1">
      <alignment horizontal="left" wrapText="1" indent="2"/>
    </xf>
    <xf numFmtId="0" fontId="2" fillId="0" borderId="1" xfId="0" applyFont="1" applyBorder="1" applyAlignment="1">
      <alignment vertical="top"/>
    </xf>
    <xf numFmtId="0" fontId="7" fillId="0" borderId="1" xfId="0" applyFont="1" applyBorder="1" applyAlignment="1">
      <alignment horizontal="left" wrapText="1" indent="2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horizontal="left" wrapText="1" indent="4"/>
    </xf>
    <xf numFmtId="0" fontId="13" fillId="0" borderId="0" xfId="0" applyFont="1"/>
    <xf numFmtId="6" fontId="0" fillId="0" borderId="0" xfId="0" applyNumberFormat="1"/>
    <xf numFmtId="6" fontId="7" fillId="0" borderId="0" xfId="0" applyNumberFormat="1" applyFont="1"/>
    <xf numFmtId="0" fontId="12" fillId="5" borderId="8" xfId="0" applyFont="1" applyFill="1" applyBorder="1"/>
    <xf numFmtId="0" fontId="1" fillId="5" borderId="7" xfId="0" applyFont="1" applyFill="1" applyBorder="1" applyAlignment="1">
      <alignment wrapText="1"/>
    </xf>
    <xf numFmtId="0" fontId="1" fillId="5" borderId="6" xfId="0" applyFont="1" applyFill="1" applyBorder="1" applyAlignment="1">
      <alignment wrapText="1"/>
    </xf>
    <xf numFmtId="0" fontId="10" fillId="6" borderId="11" xfId="0" applyFont="1" applyFill="1" applyBorder="1" applyAlignment="1">
      <alignment wrapText="1"/>
    </xf>
    <xf numFmtId="0" fontId="10" fillId="6" borderId="12" xfId="0" applyFont="1" applyFill="1" applyBorder="1" applyAlignment="1">
      <alignment wrapText="1"/>
    </xf>
    <xf numFmtId="0" fontId="10" fillId="6" borderId="13" xfId="0" applyFont="1" applyFill="1" applyBorder="1" applyAlignment="1">
      <alignment wrapText="1"/>
    </xf>
    <xf numFmtId="0" fontId="10" fillId="6" borderId="7" xfId="0" applyFont="1" applyFill="1" applyBorder="1" applyAlignment="1">
      <alignment wrapText="1"/>
    </xf>
    <xf numFmtId="0" fontId="10" fillId="6" borderId="3" xfId="0" applyFont="1" applyFill="1" applyBorder="1"/>
    <xf numFmtId="6" fontId="14" fillId="0" borderId="1" xfId="0" applyNumberFormat="1" applyFont="1" applyBorder="1" applyAlignment="1">
      <alignment wrapText="1"/>
    </xf>
    <xf numFmtId="0" fontId="12" fillId="2" borderId="8" xfId="0" applyFont="1" applyFill="1" applyBorder="1"/>
    <xf numFmtId="0" fontId="1" fillId="2" borderId="7" xfId="0" applyFont="1" applyFill="1" applyBorder="1" applyAlignment="1">
      <alignment wrapText="1"/>
    </xf>
    <xf numFmtId="0" fontId="10" fillId="3" borderId="11" xfId="0" applyFont="1" applyFill="1" applyBorder="1" applyAlignment="1">
      <alignment wrapText="1"/>
    </xf>
    <xf numFmtId="0" fontId="10" fillId="3" borderId="12" xfId="0" applyFont="1" applyFill="1" applyBorder="1" applyAlignment="1">
      <alignment wrapText="1"/>
    </xf>
    <xf numFmtId="0" fontId="10" fillId="3" borderId="13" xfId="0" applyFont="1" applyFill="1" applyBorder="1" applyAlignment="1">
      <alignment wrapText="1"/>
    </xf>
    <xf numFmtId="0" fontId="10" fillId="3" borderId="7" xfId="0" applyFont="1" applyFill="1" applyBorder="1" applyAlignment="1">
      <alignment wrapText="1"/>
    </xf>
    <xf numFmtId="0" fontId="7" fillId="7" borderId="1" xfId="0" applyFont="1" applyFill="1" applyBorder="1" applyAlignment="1">
      <alignment wrapText="1"/>
    </xf>
    <xf numFmtId="6" fontId="10" fillId="0" borderId="14" xfId="0" applyNumberFormat="1" applyFont="1" applyBorder="1" applyAlignment="1">
      <alignment wrapText="1"/>
    </xf>
    <xf numFmtId="0" fontId="10" fillId="0" borderId="0" xfId="0" applyFont="1"/>
    <xf numFmtId="0" fontId="10" fillId="3" borderId="15" xfId="0" applyFont="1" applyFill="1" applyBorder="1" applyAlignment="1">
      <alignment wrapText="1"/>
    </xf>
    <xf numFmtId="6" fontId="7" fillId="4" borderId="1" xfId="0" applyNumberFormat="1" applyFont="1" applyFill="1" applyBorder="1" applyAlignment="1">
      <alignment wrapText="1"/>
    </xf>
    <xf numFmtId="6" fontId="15" fillId="0" borderId="1" xfId="0" applyNumberFormat="1" applyFont="1" applyBorder="1" applyAlignment="1">
      <alignment wrapText="1"/>
    </xf>
    <xf numFmtId="0" fontId="16" fillId="0" borderId="0" xfId="0" applyFont="1"/>
    <xf numFmtId="0" fontId="10" fillId="0" borderId="16" xfId="0" applyFont="1" applyBorder="1" applyAlignment="1">
      <alignment wrapText="1"/>
    </xf>
    <xf numFmtId="0" fontId="0" fillId="0" borderId="1" xfId="0" applyBorder="1" applyAlignment="1">
      <alignment vertical="top"/>
    </xf>
    <xf numFmtId="0" fontId="1" fillId="2" borderId="1" xfId="0" applyFont="1" applyFill="1" applyBorder="1" applyAlignment="1">
      <alignment wrapText="1"/>
    </xf>
    <xf numFmtId="0" fontId="10" fillId="3" borderId="1" xfId="0" applyFont="1" applyFill="1" applyBorder="1"/>
    <xf numFmtId="6" fontId="10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vertical="top" wrapText="1"/>
    </xf>
    <xf numFmtId="0" fontId="8" fillId="0" borderId="17" xfId="0" applyFont="1" applyBorder="1" applyAlignment="1">
      <alignment wrapText="1"/>
    </xf>
    <xf numFmtId="0" fontId="8" fillId="0" borderId="0" xfId="0" applyFont="1"/>
    <xf numFmtId="0" fontId="8" fillId="0" borderId="3" xfId="0" applyFont="1" applyBorder="1"/>
    <xf numFmtId="0" fontId="8" fillId="0" borderId="5" xfId="0" applyFont="1" applyBorder="1"/>
    <xf numFmtId="6" fontId="8" fillId="0" borderId="17" xfId="0" applyNumberFormat="1" applyFont="1" applyBorder="1" applyAlignment="1">
      <alignment wrapText="1"/>
    </xf>
    <xf numFmtId="6" fontId="8" fillId="0" borderId="3" xfId="0" applyNumberFormat="1" applyFont="1" applyBorder="1" applyAlignment="1">
      <alignment wrapText="1"/>
    </xf>
    <xf numFmtId="0" fontId="17" fillId="0" borderId="17" xfId="0" applyFont="1" applyBorder="1" applyAlignment="1">
      <alignment wrapText="1"/>
    </xf>
    <xf numFmtId="0" fontId="8" fillId="4" borderId="17" xfId="0" applyFont="1" applyFill="1" applyBorder="1" applyAlignment="1">
      <alignment wrapText="1"/>
    </xf>
    <xf numFmtId="6" fontId="18" fillId="4" borderId="17" xfId="0" applyNumberFormat="1" applyFont="1" applyFill="1" applyBorder="1" applyAlignment="1">
      <alignment wrapText="1"/>
    </xf>
    <xf numFmtId="6" fontId="18" fillId="4" borderId="3" xfId="0" applyNumberFormat="1" applyFont="1" applyFill="1" applyBorder="1" applyAlignment="1">
      <alignment wrapText="1"/>
    </xf>
    <xf numFmtId="0" fontId="6" fillId="0" borderId="17" xfId="0" applyFont="1" applyBorder="1" applyAlignment="1">
      <alignment wrapText="1"/>
    </xf>
    <xf numFmtId="0" fontId="18" fillId="0" borderId="17" xfId="0" applyFont="1" applyBorder="1" applyAlignment="1">
      <alignment wrapText="1"/>
    </xf>
    <xf numFmtId="0" fontId="18" fillId="0" borderId="3" xfId="0" applyFont="1" applyBorder="1" applyAlignment="1">
      <alignment wrapText="1"/>
    </xf>
    <xf numFmtId="6" fontId="18" fillId="0" borderId="3" xfId="0" applyNumberFormat="1" applyFont="1" applyBorder="1" applyAlignment="1">
      <alignment wrapText="1"/>
    </xf>
    <xf numFmtId="6" fontId="18" fillId="0" borderId="17" xfId="0" applyNumberFormat="1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6" fillId="0" borderId="6" xfId="0" applyFont="1" applyBorder="1"/>
    <xf numFmtId="0" fontId="8" fillId="0" borderId="6" xfId="0" applyFont="1" applyBorder="1"/>
    <xf numFmtId="0" fontId="8" fillId="0" borderId="1" xfId="0" applyFont="1" applyBorder="1"/>
    <xf numFmtId="0" fontId="6" fillId="0" borderId="9" xfId="0" applyFont="1" applyBorder="1" applyAlignment="1">
      <alignment wrapText="1"/>
    </xf>
    <xf numFmtId="6" fontId="19" fillId="0" borderId="18" xfId="0" applyNumberFormat="1" applyFont="1" applyBorder="1" applyAlignment="1">
      <alignment wrapText="1"/>
    </xf>
    <xf numFmtId="6" fontId="19" fillId="0" borderId="10" xfId="0" applyNumberFormat="1" applyFont="1" applyBorder="1" applyAlignment="1">
      <alignment wrapText="1"/>
    </xf>
    <xf numFmtId="0" fontId="8" fillId="0" borderId="6" xfId="0" applyFont="1" applyBorder="1" applyAlignment="1">
      <alignment wrapText="1"/>
    </xf>
    <xf numFmtId="164" fontId="0" fillId="0" borderId="0" xfId="1" applyNumberFormat="1" applyFont="1"/>
    <xf numFmtId="6" fontId="5" fillId="0" borderId="1" xfId="0" applyNumberFormat="1" applyFont="1" applyBorder="1" applyAlignment="1">
      <alignment wrapText="1"/>
    </xf>
    <xf numFmtId="0" fontId="20" fillId="0" borderId="1" xfId="0" applyFont="1" applyBorder="1" applyAlignment="1">
      <alignment horizontal="left" wrapText="1" indent="2"/>
    </xf>
    <xf numFmtId="6" fontId="20" fillId="0" borderId="1" xfId="0" applyNumberFormat="1" applyFont="1" applyBorder="1" applyAlignment="1">
      <alignment wrapText="1"/>
    </xf>
    <xf numFmtId="6" fontId="21" fillId="0" borderId="0" xfId="0" applyNumberFormat="1" applyFont="1"/>
    <xf numFmtId="0" fontId="21" fillId="0" borderId="0" xfId="0" applyFont="1"/>
    <xf numFmtId="6" fontId="21" fillId="0" borderId="1" xfId="0" applyNumberFormat="1" applyFont="1" applyBorder="1" applyAlignment="1">
      <alignment wrapText="1"/>
    </xf>
    <xf numFmtId="0" fontId="21" fillId="4" borderId="1" xfId="0" applyFont="1" applyFill="1" applyBorder="1" applyAlignment="1">
      <alignment wrapText="1"/>
    </xf>
    <xf numFmtId="6" fontId="20" fillId="4" borderId="1" xfId="0" applyNumberFormat="1" applyFont="1" applyFill="1" applyBorder="1" applyAlignment="1">
      <alignment wrapText="1"/>
    </xf>
    <xf numFmtId="0" fontId="21" fillId="0" borderId="1" xfId="0" applyFont="1" applyBorder="1" applyAlignment="1">
      <alignment wrapText="1"/>
    </xf>
    <xf numFmtId="0" fontId="20" fillId="0" borderId="1" xfId="0" applyFont="1" applyBorder="1" applyAlignment="1">
      <alignment wrapText="1"/>
    </xf>
    <xf numFmtId="0" fontId="21" fillId="0" borderId="1" xfId="0" applyFont="1" applyBorder="1"/>
    <xf numFmtId="0" fontId="20" fillId="0" borderId="1" xfId="0" applyFont="1" applyBorder="1" applyAlignment="1">
      <alignment horizontal="left" wrapText="1" indent="4"/>
    </xf>
    <xf numFmtId="3" fontId="22" fillId="0" borderId="0" xfId="0" applyNumberFormat="1" applyFont="1"/>
    <xf numFmtId="6" fontId="20" fillId="4" borderId="4" xfId="0" applyNumberFormat="1" applyFont="1" applyFill="1" applyBorder="1" applyAlignment="1">
      <alignment wrapText="1"/>
    </xf>
    <xf numFmtId="0" fontId="21" fillId="0" borderId="9" xfId="0" applyFont="1" applyBorder="1" applyAlignment="1">
      <alignment wrapText="1"/>
    </xf>
    <xf numFmtId="6" fontId="20" fillId="0" borderId="10" xfId="0" applyNumberFormat="1" applyFont="1" applyBorder="1" applyAlignment="1">
      <alignment wrapText="1"/>
    </xf>
    <xf numFmtId="0" fontId="16" fillId="0" borderId="1" xfId="0" applyFont="1" applyBorder="1" applyAlignment="1">
      <alignment horizontal="left" wrapText="1" indent="2"/>
    </xf>
    <xf numFmtId="6" fontId="16" fillId="0" borderId="1" xfId="0" applyNumberFormat="1" applyFont="1" applyBorder="1" applyAlignment="1">
      <alignment wrapText="1"/>
    </xf>
    <xf numFmtId="6" fontId="23" fillId="0" borderId="0" xfId="0" applyNumberFormat="1" applyFont="1"/>
    <xf numFmtId="0" fontId="23" fillId="0" borderId="0" xfId="0" applyFont="1"/>
    <xf numFmtId="6" fontId="23" fillId="0" borderId="1" xfId="0" applyNumberFormat="1" applyFont="1" applyBorder="1" applyAlignment="1">
      <alignment wrapText="1"/>
    </xf>
    <xf numFmtId="6" fontId="24" fillId="0" borderId="0" xfId="0" applyNumberFormat="1" applyFont="1"/>
    <xf numFmtId="6" fontId="16" fillId="4" borderId="1" xfId="0" applyNumberFormat="1" applyFont="1" applyFill="1" applyBorder="1" applyAlignment="1">
      <alignment wrapText="1"/>
    </xf>
    <xf numFmtId="0" fontId="16" fillId="0" borderId="1" xfId="0" applyFont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0" borderId="1" xfId="0" applyFont="1" applyBorder="1"/>
    <xf numFmtId="6" fontId="16" fillId="4" borderId="4" xfId="0" applyNumberFormat="1" applyFont="1" applyFill="1" applyBorder="1" applyAlignment="1">
      <alignment wrapText="1"/>
    </xf>
    <xf numFmtId="0" fontId="10" fillId="0" borderId="0" xfId="0" applyFont="1" applyAlignment="1">
      <alignment wrapText="1"/>
    </xf>
    <xf numFmtId="6" fontId="20" fillId="0" borderId="0" xfId="0" applyNumberFormat="1" applyFont="1" applyAlignment="1">
      <alignment wrapText="1"/>
    </xf>
    <xf numFmtId="44" fontId="0" fillId="0" borderId="0" xfId="1" applyFont="1" applyBorder="1"/>
    <xf numFmtId="0" fontId="25" fillId="0" borderId="1" xfId="0" applyFont="1" applyBorder="1" applyAlignment="1">
      <alignment horizontal="left" wrapText="1" indent="2"/>
    </xf>
    <xf numFmtId="6" fontId="25" fillId="0" borderId="1" xfId="0" applyNumberFormat="1" applyFont="1" applyBorder="1" applyAlignment="1">
      <alignment wrapText="1"/>
    </xf>
    <xf numFmtId="164" fontId="16" fillId="0" borderId="1" xfId="1" applyNumberFormat="1" applyFont="1" applyBorder="1" applyAlignment="1">
      <alignment wrapText="1"/>
    </xf>
    <xf numFmtId="164" fontId="16" fillId="0" borderId="0" xfId="1" applyNumberFormat="1" applyFont="1" applyBorder="1" applyAlignment="1">
      <alignment wrapText="1"/>
    </xf>
    <xf numFmtId="0" fontId="23" fillId="0" borderId="0" xfId="0" applyFont="1" applyAlignment="1">
      <alignment wrapText="1"/>
    </xf>
    <xf numFmtId="0" fontId="23" fillId="4" borderId="1" xfId="0" applyFont="1" applyFill="1" applyBorder="1" applyAlignment="1">
      <alignment wrapText="1"/>
    </xf>
    <xf numFmtId="0" fontId="16" fillId="0" borderId="0" xfId="0" applyFont="1" applyAlignment="1">
      <alignment wrapText="1"/>
    </xf>
    <xf numFmtId="0" fontId="23" fillId="0" borderId="1" xfId="0" applyFont="1" applyBorder="1" applyAlignment="1">
      <alignment horizontal="left" wrapText="1" indent="2"/>
    </xf>
    <xf numFmtId="0" fontId="21" fillId="0" borderId="1" xfId="0" applyFont="1" applyBorder="1" applyAlignment="1">
      <alignment vertical="top"/>
    </xf>
    <xf numFmtId="0" fontId="16" fillId="0" borderId="8" xfId="0" applyFont="1" applyBorder="1" applyAlignment="1">
      <alignment horizontal="left" wrapText="1" indent="2"/>
    </xf>
    <xf numFmtId="6" fontId="16" fillId="0" borderId="3" xfId="0" applyNumberFormat="1" applyFont="1" applyBorder="1" applyAlignment="1">
      <alignment wrapText="1"/>
    </xf>
    <xf numFmtId="0" fontId="10" fillId="7" borderId="1" xfId="0" applyFont="1" applyFill="1" applyBorder="1" applyAlignment="1">
      <alignment wrapText="1"/>
    </xf>
    <xf numFmtId="6" fontId="11" fillId="7" borderId="1" xfId="0" applyNumberFormat="1" applyFont="1" applyFill="1" applyBorder="1" applyAlignment="1">
      <alignment wrapText="1"/>
    </xf>
    <xf numFmtId="6" fontId="16" fillId="7" borderId="1" xfId="0" applyNumberFormat="1" applyFont="1" applyFill="1" applyBorder="1" applyAlignment="1">
      <alignment horizontal="left" vertical="top" wrapText="1"/>
    </xf>
    <xf numFmtId="6" fontId="16" fillId="7" borderId="1" xfId="0" applyNumberFormat="1" applyFont="1" applyFill="1" applyBorder="1" applyAlignment="1">
      <alignment wrapText="1"/>
    </xf>
    <xf numFmtId="6" fontId="0" fillId="0" borderId="0" xfId="0" applyNumberFormat="1" applyAlignment="1">
      <alignment vertical="top"/>
    </xf>
    <xf numFmtId="6" fontId="16" fillId="7" borderId="8" xfId="0" applyNumberFormat="1" applyFont="1" applyFill="1" applyBorder="1" applyAlignment="1">
      <alignment wrapText="1"/>
    </xf>
    <xf numFmtId="6" fontId="23" fillId="0" borderId="0" xfId="0" applyNumberFormat="1" applyFont="1" applyAlignment="1">
      <alignment vertical="top"/>
    </xf>
    <xf numFmtId="6" fontId="20" fillId="7" borderId="8" xfId="0" applyNumberFormat="1" applyFont="1" applyFill="1" applyBorder="1" applyAlignment="1">
      <alignment wrapText="1"/>
    </xf>
    <xf numFmtId="164" fontId="23" fillId="0" borderId="1" xfId="1" applyNumberFormat="1" applyFont="1" applyBorder="1" applyAlignment="1">
      <alignment wrapText="1"/>
    </xf>
    <xf numFmtId="0" fontId="23" fillId="0" borderId="2" xfId="0" applyFont="1" applyBorder="1" applyAlignment="1">
      <alignment wrapText="1"/>
    </xf>
    <xf numFmtId="8" fontId="0" fillId="0" borderId="0" xfId="0" applyNumberFormat="1"/>
    <xf numFmtId="0" fontId="23" fillId="8" borderId="0" xfId="0" applyFont="1" applyFill="1"/>
    <xf numFmtId="9" fontId="20" fillId="7" borderId="1" xfId="2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0" fillId="3" borderId="1" xfId="0" applyFont="1" applyFill="1" applyBorder="1" applyAlignment="1">
      <alignment horizontal="center" wrapText="1"/>
    </xf>
    <xf numFmtId="9" fontId="16" fillId="7" borderId="1" xfId="2" applyFont="1" applyFill="1" applyBorder="1" applyAlignment="1">
      <alignment horizontal="center" wrapText="1"/>
    </xf>
    <xf numFmtId="0" fontId="3" fillId="0" borderId="0" xfId="0" applyFont="1" applyAlignment="1">
      <alignment horizontal="left" wrapText="1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EDF1F9"/>
      <color rgb="FFEDD1D1"/>
      <color rgb="FFE0E6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8" dT="2024-03-13T02:52:17.58" personId="{00000000-0000-0000-0000-000000000000}" id="{1BD251A6-3108-489D-B93C-178AC6A27553}">
    <text>Krute - can you confirm that this is the appropriate way to budget to staff time? I used the amounts based on the most recent internal budget;
Not sure if benefits/overhead are also supposed to increase by the COLA or if we're even supposed to include overhead in the grant</text>
  </threadedComment>
</ThreadedComments>
</file>

<file path=xl/threadedComments/threadedComment2.xml><?xml version="1.0" encoding="utf-8"?>
<ThreadedComments xmlns="http://schemas.microsoft.com/office/spreadsheetml/2018/threadedcomments" xmlns:x="http://schemas.openxmlformats.org/spreadsheetml/2006/main">
  <threadedComment ref="C46" dT="2024-03-12T04:54:48.48" personId="{00000000-0000-0000-0000-000000000000}" id="{853C4F7C-2B89-4564-BDBF-66B2D998B351}">
    <text>Can we include indirect costs of say, food at outreach events? I padded the event cost by an add'l 2k incase we couldn't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2.xml"/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96326-4914-48E0-ADF2-3E1029E57328}">
  <sheetPr>
    <tabColor theme="9" tint="-0.249977111117893"/>
  </sheetPr>
  <dimension ref="B2:AM42"/>
  <sheetViews>
    <sheetView showGridLines="0" tabSelected="1" zoomScale="85" zoomScaleNormal="85" workbookViewId="0"/>
  </sheetViews>
  <sheetFormatPr defaultColWidth="9.26953125" defaultRowHeight="15" customHeight="1" x14ac:dyDescent="0.35"/>
  <cols>
    <col min="1" max="1" width="3.26953125" customWidth="1"/>
    <col min="2" max="2" width="12.26953125" customWidth="1"/>
    <col min="3" max="3" width="29.26953125" customWidth="1"/>
    <col min="4" max="4" width="15.54296875" style="4" customWidth="1"/>
    <col min="5" max="5" width="15.81640625" style="2" customWidth="1"/>
    <col min="6" max="6" width="12.26953125" customWidth="1"/>
    <col min="7" max="7" width="13.6328125" customWidth="1"/>
    <col min="8" max="8" width="13.36328125" style="2" customWidth="1"/>
    <col min="9" max="9" width="0.54296875" style="5" customWidth="1"/>
    <col min="10" max="10" width="14.6328125" customWidth="1"/>
    <col min="11" max="11" width="10.26953125" customWidth="1"/>
  </cols>
  <sheetData>
    <row r="2" spans="2:39" ht="23.5" x14ac:dyDescent="0.55000000000000004">
      <c r="B2" s="26" t="s">
        <v>0</v>
      </c>
    </row>
    <row r="3" spans="2:39" ht="26.65" customHeight="1" x14ac:dyDescent="0.35">
      <c r="B3" s="138" t="s">
        <v>1</v>
      </c>
      <c r="C3" s="138"/>
      <c r="D3" s="138"/>
      <c r="E3" s="138"/>
      <c r="F3" s="138"/>
      <c r="G3" s="138"/>
      <c r="H3" s="138"/>
      <c r="I3" s="138"/>
      <c r="J3" s="138"/>
    </row>
    <row r="4" spans="2:39" ht="15" customHeight="1" x14ac:dyDescent="0.35">
      <c r="B4" s="3"/>
    </row>
    <row r="5" spans="2:39" ht="18.5" x14ac:dyDescent="0.45">
      <c r="B5" s="38" t="s">
        <v>2</v>
      </c>
      <c r="C5" s="39"/>
      <c r="D5" s="39"/>
      <c r="E5" s="39"/>
      <c r="F5" s="39"/>
      <c r="G5" s="39"/>
      <c r="H5" s="39"/>
      <c r="I5" s="39"/>
      <c r="J5" s="53"/>
    </row>
    <row r="6" spans="2:39" ht="17.149999999999999" customHeight="1" x14ac:dyDescent="0.35">
      <c r="B6" s="40" t="s">
        <v>3</v>
      </c>
      <c r="C6" s="40" t="s">
        <v>4</v>
      </c>
      <c r="D6" s="40" t="s">
        <v>5</v>
      </c>
      <c r="E6" s="41" t="s">
        <v>6</v>
      </c>
      <c r="F6" s="41" t="s">
        <v>7</v>
      </c>
      <c r="G6" s="41" t="s">
        <v>8</v>
      </c>
      <c r="H6" s="42" t="s">
        <v>9</v>
      </c>
      <c r="I6" s="43"/>
      <c r="J6" s="54" t="s">
        <v>10</v>
      </c>
    </row>
    <row r="7" spans="2:39" s="3" customFormat="1" ht="14.5" x14ac:dyDescent="0.35">
      <c r="B7" s="18" t="s">
        <v>11</v>
      </c>
      <c r="C7" s="44" t="s">
        <v>12</v>
      </c>
      <c r="D7" s="125">
        <f>'BART-Bike Access '!D11+'BART-EV Charging'!D11+'BART-ADA'!D12+'BART- TODPlazas'!D15+'BART-RTDs'!D11+'BART-Lighting'!D11+'BART-Wayfinding'!D12+'BART-Bus'!D11+'SFMTA-EV'!D11+AVA!D11+CCTA!D11+'MTC-EbikeshareStation'!D11+'MTC-BikeshareOutreach'!D11+'MTC-EBikeshare'!D11+'MTC-Pb+E'!D11+'MTC-Admin+Eval'!D11+'BART-Outreach'!D11</f>
        <v>4536062.7236799998</v>
      </c>
      <c r="E7" s="125">
        <f>'BART-Bike Access '!E11+'BART-EV Charging'!E11+'BART-ADA'!E12+'BART- TODPlazas'!E15+'BART-RTDs'!E11+'BART-Lighting'!E11+'BART-Wayfinding'!E12+'BART-Bus'!E11+'SFMTA-EV'!E11+AVA!E11+CCTA!E11+'MTC-EbikeshareStation'!E11+'MTC-BikeshareOutreach'!E11+'MTC-EBikeshare'!E11+'MTC-Pb+E'!E11+'MTC-Admin+Eval'!E11+'BART-Outreach'!E11</f>
        <v>5196864.3503462402</v>
      </c>
      <c r="F7" s="125">
        <f>'BART-Bike Access '!F11+'BART-EV Charging'!F11+'BART-ADA'!F12+'BART- TODPlazas'!F15+'BART-RTDs'!F11+'BART-Lighting'!F11+'BART-Wayfinding'!F12+'BART-Bus'!F11+'SFMTA-EV'!F11+AVA!F11+CCTA!F11+'MTC-EbikeshareStation'!F11+'MTC-BikeshareOutreach'!F11+'MTC-EBikeshare'!F11+'MTC-Pb+E'!F11+'MTC-Admin+Eval'!F11+'BART-Outreach'!F11</f>
        <v>6211485.1784496438</v>
      </c>
      <c r="G7" s="125">
        <f>'BART-Bike Access '!G11+'BART-EV Charging'!G11+'BART-ADA'!G12+'BART- TODPlazas'!G15+'BART-RTDs'!G11+'BART-Lighting'!G11+'BART-Wayfinding'!G12+'BART-Bus'!G11+'SFMTA-EV'!G11+AVA!G11+CCTA!G11+'MTC-EbikeshareStation'!G11+'MTC-BikeshareOutreach'!G11+'MTC-EBikeshare'!G11+'MTC-Pb+E'!G11+'MTC-Admin+Eval'!G11+'BART-Outreach'!G11</f>
        <v>5485649.177633482</v>
      </c>
      <c r="H7" s="125">
        <f>'BART-Bike Access '!H11+'BART-EV Charging'!H11+'BART-ADA'!H12+'BART- TODPlazas'!H15+'BART-RTDs'!H11+'BART-Lighting'!H11+'BART-Wayfinding'!H12+'BART-Bus'!H11+'SFMTA-EV'!H11+AVA!H11+CCTA!H11+'MTC-EbikeshareStation'!H11+'MTC-BikeshareOutreach'!H11+'MTC-EBikeshare'!H11+'MTC-Pb+E'!H11+'MTC-Admin+Eval'!H11+'BART-Outreach'!H11</f>
        <v>3365530.8637628746</v>
      </c>
      <c r="I7" s="133"/>
      <c r="J7" s="125">
        <f>SUM(D7:I7)</f>
        <v>24795592.293872241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x14ac:dyDescent="0.35">
      <c r="B8" s="19"/>
      <c r="C8" s="44" t="s">
        <v>91</v>
      </c>
      <c r="D8" s="125">
        <f>'BART-Bike Access '!D16+'BART-EV Charging'!D16+'BART-ADA'!D17+'BART- TODPlazas'!D20+'BART-RTDs'!D16+'BART-Lighting'!D16+'BART-Wayfinding'!D17+'BART-Bus'!D16+'SFMTA-EV'!D16+AVA!D16+CCTA!D16+'MTC-EbikeshareStation'!D16+'MTC-BikeshareOutreach'!D16+'MTC-EBikeshare'!D16+'MTC-Pb+E'!D16+'MTC-Admin+Eval'!D16</f>
        <v>505179.02635199996</v>
      </c>
      <c r="E8" s="125">
        <f>'BART-Bike Access '!E16+'BART-EV Charging'!E16+'BART-ADA'!E17+'BART- TODPlazas'!E20+'BART-RTDs'!E16+'BART-Lighting'!E16+'BART-Wayfinding'!E17+'BART-Bus'!E16+'SFMTA-EV'!E16+AVA!E16+CCTA!E16+'MTC-EbikeshareStation'!E16+'MTC-BikeshareOutreach'!E16+'MTC-EBikeshare'!E16+'MTC-Pb+E'!E16+'MTC-Admin+Eval'!E16</f>
        <v>505179.02635199996</v>
      </c>
      <c r="F8" s="125">
        <f>'BART-Bike Access '!F16+'BART-EV Charging'!F16+'BART-ADA'!F17+'BART- TODPlazas'!F20+'BART-RTDs'!F16+'BART-Lighting'!F16+'BART-Wayfinding'!F17+'BART-Bus'!F16+'SFMTA-EV'!F16+AVA!F16+CCTA!F16+'MTC-EbikeshareStation'!F16+'MTC-BikeshareOutreach'!F16+'MTC-EBikeshare'!F16+'MTC-Pb+E'!F16+'MTC-Admin+Eval'!F16</f>
        <v>505179.02635199996</v>
      </c>
      <c r="G8" s="125">
        <f>'BART-Bike Access '!G16+'BART-EV Charging'!G16+'BART-ADA'!G17+'BART- TODPlazas'!G20+'BART-RTDs'!G16+'BART-Lighting'!G16+'BART-Wayfinding'!G17+'BART-Bus'!G16+'SFMTA-EV'!G16+AVA!G16+CCTA!G16+'MTC-EbikeshareStation'!G16+'MTC-BikeshareOutreach'!G16+'MTC-EBikeshare'!G16+'MTC-Pb+E'!G16+'MTC-Admin+Eval'!G16</f>
        <v>505179.02635199996</v>
      </c>
      <c r="H8" s="125">
        <f>'BART-Bike Access '!H16+'BART-EV Charging'!H16+'BART-ADA'!H17+'BART- TODPlazas'!H20+'BART-RTDs'!H16+'BART-Lighting'!H16+'BART-Wayfinding'!H17+'BART-Bus'!H16+'SFMTA-EV'!H16+AVA!H16+CCTA!H16+'MTC-EbikeshareStation'!H16+'MTC-BikeshareOutreach'!H16+'MTC-EBikeshare'!H16+'MTC-Pb+E'!H16+'MTC-Admin+Eval'!H16</f>
        <v>505179.02635199996</v>
      </c>
      <c r="I8" s="133"/>
      <c r="J8" s="125">
        <f t="shared" ref="J8:J14" si="0">SUM(D8:I8)</f>
        <v>2525895.1317599998</v>
      </c>
    </row>
    <row r="9" spans="2:39" ht="14.5" x14ac:dyDescent="0.35">
      <c r="B9" s="19"/>
      <c r="C9" s="44" t="s">
        <v>90</v>
      </c>
      <c r="D9" s="125">
        <f>'BART-Bike Access '!D26+'BART-EV Charging'!D27+'BART-ADA'!D28+'BART- TODPlazas'!D31+'BART-RTDs'!D27+'BART-Lighting'!D27+'BART-Wayfinding'!D28+'BART-Bus'!D27+'SFMTA-EV'!D26+AVA!D27+CCTA!D26+'MTC-EbikeshareStation'!D26+'MTC-BikeshareOutreach'!D19+'MTC-EBikeshare'!D19+'MTC-Pb+E'!D26+'MTC-Admin+Eval'!D27</f>
        <v>80.400000000000006</v>
      </c>
      <c r="E9" s="125">
        <f>'BART-Bike Access '!E26+'BART-EV Charging'!E27+'BART-ADA'!E28+'BART- TODPlazas'!E31+'BART-RTDs'!E27+'BART-Lighting'!E27+'BART-Wayfinding'!E28+'BART-Bus'!E27+'SFMTA-EV'!E26+AVA!E27+CCTA!E26+'MTC-EbikeshareStation'!E26+'MTC-BikeshareOutreach'!E19+'MTC-EBikeshare'!E19+'MTC-Pb+E'!E26+'MTC-Admin+Eval'!E27</f>
        <v>81.600000000000009</v>
      </c>
      <c r="F9" s="125">
        <f>'BART-Bike Access '!F26+'BART-EV Charging'!F27+'BART-ADA'!F28+'BART- TODPlazas'!F31+'BART-RTDs'!F27+'BART-Lighting'!F27+'BART-Wayfinding'!F28+'BART-Bus'!F27+'SFMTA-EV'!F26+AVA!F27+CCTA!F26+'MTC-EbikeshareStation'!F26+'MTC-BikeshareOutreach'!F19+'MTC-EBikeshare'!F19+'MTC-Pb+E'!F26+'MTC-Admin+Eval'!F27</f>
        <v>84</v>
      </c>
      <c r="G9" s="125">
        <f>'BART-Bike Access '!G26+'BART-EV Charging'!G27+'BART-ADA'!G28+'BART- TODPlazas'!G31+'BART-RTDs'!G27+'BART-Lighting'!G27+'BART-Wayfinding'!G28+'BART-Bus'!G27+'SFMTA-EV'!G26+AVA!G27+CCTA!G26+'MTC-EbikeshareStation'!G26+'MTC-BikeshareOutreach'!G19+'MTC-EBikeshare'!G19+'MTC-Pb+E'!G26+'MTC-Admin+Eval'!G27</f>
        <v>85.199999999999989</v>
      </c>
      <c r="H9" s="125">
        <f>'BART-Bike Access '!H26+'BART-EV Charging'!H27+'BART-ADA'!H28+'BART- TODPlazas'!H31+'BART-RTDs'!H27+'BART-Lighting'!H27+'BART-Wayfinding'!H28+'BART-Bus'!H27+'SFMTA-EV'!H26+AVA!H27+CCTA!H26+'MTC-EbikeshareStation'!H26+'MTC-BikeshareOutreach'!H19+'MTC-EBikeshare'!H19+'MTC-Pb+E'!H26+'MTC-Admin+Eval'!H27</f>
        <v>87.6</v>
      </c>
      <c r="I9" s="133"/>
      <c r="J9" s="125">
        <f t="shared" si="0"/>
        <v>418.79999999999995</v>
      </c>
    </row>
    <row r="10" spans="2:39" ht="14.5" x14ac:dyDescent="0.35">
      <c r="B10" s="19"/>
      <c r="C10" s="44" t="s">
        <v>89</v>
      </c>
      <c r="D10" s="125">
        <f>'BART-Bike Access '!D30+'BART-EV Charging'!D31+'BART-ADA'!D32+'BART- TODPlazas'!D35+'BART-RTDs'!D31+'BART-Lighting'!D31+'BART-Wayfinding'!D32+'BART-Bus'!D31+'SFMTA-EV'!D30+AVA!D31+CCTA!D30+'MTC-EbikeshareStation'!D31+'MTC-BikeshareOutreach'!D23+'MTC-EBikeshare'!D23+'MTC-Pb+E'!D30+'MTC-Admin+Eval'!D31</f>
        <v>8364600</v>
      </c>
      <c r="E10" s="125">
        <f>'BART-Bike Access '!E30+'BART-EV Charging'!E31+'BART-ADA'!E32+'BART- TODPlazas'!E35+'BART-RTDs'!E31+'BART-Lighting'!E31+'BART-Wayfinding'!E32+'BART-Bus'!E31+'SFMTA-EV'!E30+AVA!E31+CCTA!E30+'MTC-EbikeshareStation'!E31+'MTC-BikeshareOutreach'!E23+'MTC-EBikeshare'!E23+'MTC-Pb+E'!E30+'MTC-Admin+Eval'!E31</f>
        <v>600000</v>
      </c>
      <c r="F10" s="125">
        <f>'BART-Bike Access '!F30+'BART-EV Charging'!F31+'BART-ADA'!F32+'BART- TODPlazas'!F35+'BART-RTDs'!F31+'BART-Lighting'!F31+'BART-Wayfinding'!F32+'BART-Bus'!F31+'SFMTA-EV'!F30+AVA!F31+CCTA!F30+'MTC-EbikeshareStation'!F31+'MTC-BikeshareOutreach'!F23+'MTC-EBikeshare'!F23+'MTC-Pb+E'!F30+'MTC-Admin+Eval'!F31</f>
        <v>430000</v>
      </c>
      <c r="G10" s="125">
        <f>'BART-Bike Access '!G30+'BART-EV Charging'!G31+'BART-ADA'!G32+'BART- TODPlazas'!G35+'BART-RTDs'!G31+'BART-Lighting'!G31+'BART-Wayfinding'!G32+'BART-Bus'!G31+'SFMTA-EV'!G30+AVA!G31+CCTA!G30+'MTC-EbikeshareStation'!G31+'MTC-BikeshareOutreach'!G23+'MTC-EBikeshare'!G23+'MTC-Pb+E'!G30+'MTC-Admin+Eval'!G31</f>
        <v>180000</v>
      </c>
      <c r="H10" s="125">
        <f>'BART-Bike Access '!H30+'BART-EV Charging'!H31+'BART-ADA'!H32+'BART- TODPlazas'!H35+'BART-RTDs'!H31+'BART-Lighting'!H31+'BART-Wayfinding'!H32+'BART-Bus'!H31+'SFMTA-EV'!H30+AVA!H31+CCTA!H30+'MTC-EbikeshareStation'!H31+'MTC-BikeshareOutreach'!H23+'MTC-EBikeshare'!H23+'MTC-Pb+E'!H30+'MTC-Admin+Eval'!H31</f>
        <v>0</v>
      </c>
      <c r="I10" s="133"/>
      <c r="J10" s="125">
        <f t="shared" si="0"/>
        <v>9574600</v>
      </c>
    </row>
    <row r="11" spans="2:39" ht="14.5" x14ac:dyDescent="0.35">
      <c r="B11" s="19"/>
      <c r="C11" s="44" t="s">
        <v>88</v>
      </c>
      <c r="D11" s="125">
        <f>'BART-Bike Access '!D34+'BART-EV Charging'!D35+'BART-ADA'!D36+'BART- TODPlazas'!D39+'BART-RTDs'!D35+'BART-Lighting'!D35+'BART-Wayfinding'!D36+'BART-Bus'!D35+'SFMTA-EV'!D34+AVA!D35+CCTA!D34+'MTC-EbikeshareStation'!D35+'MTC-BikeshareOutreach'!D27+'MTC-EBikeshare'!D27+'MTC-Pb+E'!D34+'MTC-Admin+Eval'!D35</f>
        <v>0</v>
      </c>
      <c r="E11" s="125">
        <f>'BART-Bike Access '!E34+'BART-EV Charging'!E35+'BART-ADA'!E36+'BART- TODPlazas'!E39+'BART-RTDs'!E35+'BART-Lighting'!E35+'BART-Wayfinding'!E36+'BART-Bus'!E35+'SFMTA-EV'!E34+AVA!E35+CCTA!E34+'MTC-EbikeshareStation'!E35+'MTC-BikeshareOutreach'!E27+'MTC-EBikeshare'!E27+'MTC-Pb+E'!E34+'MTC-Admin+Eval'!E35</f>
        <v>0</v>
      </c>
      <c r="F11" s="125">
        <f>'BART-Bike Access '!F34+'BART-EV Charging'!F35+'BART-ADA'!F36+'BART- TODPlazas'!F39+'BART-RTDs'!F35+'BART-Lighting'!F35+'BART-Wayfinding'!F36+'BART-Bus'!F35+'SFMTA-EV'!F34+AVA!F35+CCTA!F34+'MTC-EbikeshareStation'!F35+'MTC-BikeshareOutreach'!F27+'MTC-EBikeshare'!F27+'MTC-Pb+E'!F34+'MTC-Admin+Eval'!F35</f>
        <v>0</v>
      </c>
      <c r="G11" s="125">
        <f>'BART-Bike Access '!G34+'BART-EV Charging'!G35+'BART-ADA'!G36+'BART- TODPlazas'!G39+'BART-RTDs'!G35+'BART-Lighting'!G35+'BART-Wayfinding'!G36+'BART-Bus'!G35+'SFMTA-EV'!G34+AVA!G35+CCTA!G34+'MTC-EbikeshareStation'!G35+'MTC-BikeshareOutreach'!G27+'MTC-EBikeshare'!G27+'MTC-Pb+E'!G34+'MTC-Admin+Eval'!G35</f>
        <v>0</v>
      </c>
      <c r="H11" s="125">
        <f>'BART-Bike Access '!H34+'BART-EV Charging'!H35+'BART-ADA'!H36+'BART- TODPlazas'!H39+'BART-RTDs'!H35+'BART-Lighting'!H35+'BART-Wayfinding'!H36+'BART-Bus'!H35+'SFMTA-EV'!H34+AVA!H35+CCTA!H34+'MTC-EbikeshareStation'!H35+'MTC-BikeshareOutreach'!H27+'MTC-EBikeshare'!H27+'MTC-Pb+E'!H34+'MTC-Admin+Eval'!H35</f>
        <v>0</v>
      </c>
      <c r="I11" s="133"/>
      <c r="J11" s="125">
        <f t="shared" si="0"/>
        <v>0</v>
      </c>
    </row>
    <row r="12" spans="2:39" ht="14.5" x14ac:dyDescent="0.35">
      <c r="B12" s="19"/>
      <c r="C12" s="44" t="s">
        <v>87</v>
      </c>
      <c r="D12" s="125">
        <f>'BART-Bike Access '!D40+'BART-EV Charging'!D42+'BART-ADA'!D42+'BART- TODPlazas'!D48+'BART-RTDs'!D41+'BART-Lighting'!D41+'BART-Wayfinding'!D42+'BART-Bus'!D41+'SFMTA-EV'!D40+AVA!D41+CCTA!D40+'MTC-EbikeshareStation'!D41+'MTC-BikeshareOutreach'!D34+'MTC-EBikeshare'!D34+'MTC-Pb+E'!D40+'MTC-Admin+Eval'!D42+'BART-Outreach'!D41</f>
        <v>11248146.75</v>
      </c>
      <c r="E12" s="125">
        <f>'BART-Bike Access '!E40+'BART-EV Charging'!E42+'BART-ADA'!E42+'BART- TODPlazas'!E48+'BART-RTDs'!E41+'BART-Lighting'!E41+'BART-Wayfinding'!E42+'BART-Bus'!E41+'SFMTA-EV'!E40+AVA!E41+CCTA!E40+'MTC-EbikeshareStation'!E41+'MTC-BikeshareOutreach'!E34+'MTC-EBikeshare'!E34+'MTC-Pb+E'!E40+'MTC-Admin+Eval'!E42+'BART-Outreach'!E41</f>
        <v>14441086.75</v>
      </c>
      <c r="F12" s="125">
        <f>'BART-Bike Access '!F40+'BART-EV Charging'!F42+'BART-ADA'!F42+'BART- TODPlazas'!F48+'BART-RTDs'!F41+'BART-Lighting'!F41+'BART-Wayfinding'!F42+'BART-Bus'!F41+'SFMTA-EV'!F40+AVA!F41+CCTA!F40+'MTC-EbikeshareStation'!F41+'MTC-BikeshareOutreach'!F34+'MTC-EBikeshare'!F34+'MTC-Pb+E'!F40+'MTC-Admin+Eval'!F42+'BART-Outreach'!F41</f>
        <v>22674377.899999999</v>
      </c>
      <c r="G12" s="125">
        <f>'BART-Bike Access '!G40+'BART-EV Charging'!G42+'BART-ADA'!G42+'BART- TODPlazas'!G48+'BART-RTDs'!G41+'BART-Lighting'!G41+'BART-Wayfinding'!G42+'BART-Bus'!G41+'SFMTA-EV'!G40+AVA!G41+CCTA!G40+'MTC-EbikeshareStation'!G41+'MTC-BikeshareOutreach'!G34+'MTC-EBikeshare'!G34+'MTC-Pb+E'!G40+'MTC-Admin+Eval'!G42+'BART-Outreach'!G41</f>
        <v>19164129.164000001</v>
      </c>
      <c r="H12" s="125">
        <f>'BART-Bike Access '!H40+'BART-EV Charging'!H42+'BART-ADA'!H42+'BART- TODPlazas'!H48+'BART-RTDs'!H41+'BART-Lighting'!H41+'BART-Wayfinding'!H42+'BART-Bus'!H41+'SFMTA-EV'!H40+AVA!H41+CCTA!H40+'MTC-EbikeshareStation'!H41+'MTC-BikeshareOutreach'!H34+'MTC-EBikeshare'!H34+'MTC-Pb+E'!H40+'MTC-Admin+Eval'!H42+'BART-Outreach'!H41</f>
        <v>11889767.63184</v>
      </c>
      <c r="I12" s="133"/>
      <c r="J12" s="125">
        <f t="shared" si="0"/>
        <v>79417508.195840001</v>
      </c>
    </row>
    <row r="13" spans="2:39" ht="14.5" x14ac:dyDescent="0.35">
      <c r="B13" s="19"/>
      <c r="C13" s="44" t="s">
        <v>18</v>
      </c>
      <c r="D13" s="125">
        <f>'BART-Bike Access '!D45+'BART-EV Charging'!D50+'BART-ADA'!D50+'BART- TODPlazas'!D56+'BART-RTDs'!D49+'BART-Lighting'!D49+'BART-Wayfinding'!D50+'BART-Bus'!D49+'SFMTA-EV'!D45+AVA!D49+CCTA!D45+'MTC-EbikeshareStation'!D46+'MTC-BikeshareOutreach'!D42+'MTC-EBikeshare'!D42+'MTC-Pb+E'!D45+'MTC-Admin+Eval'!D50</f>
        <v>15000</v>
      </c>
      <c r="E13" s="125">
        <f>'BART-Bike Access '!E45+'BART-EV Charging'!E50+'BART-ADA'!E50+'BART- TODPlazas'!E56+'BART-RTDs'!E49+'BART-Lighting'!E49+'BART-Wayfinding'!E50+'BART-Bus'!E49+'SFMTA-EV'!E45+AVA!E49+CCTA!E45+'MTC-EbikeshareStation'!E46+'MTC-BikeshareOutreach'!E42+'MTC-EBikeshare'!E42+'MTC-Pb+E'!E45+'MTC-Admin+Eval'!E50</f>
        <v>765000</v>
      </c>
      <c r="F13" s="125">
        <f>'BART-Bike Access '!F45+'BART-EV Charging'!F50+'BART-ADA'!F50+'BART- TODPlazas'!F56+'BART-RTDs'!F49+'BART-Lighting'!F49+'BART-Wayfinding'!F50+'BART-Bus'!F49+'SFMTA-EV'!F45+AVA!F49+CCTA!F45+'MTC-EbikeshareStation'!F46+'MTC-BikeshareOutreach'!F42+'MTC-EBikeshare'!F42+'MTC-Pb+E'!F45+'MTC-Admin+Eval'!F50</f>
        <v>15000</v>
      </c>
      <c r="G13" s="125">
        <f>'BART-Bike Access '!G45+'BART-EV Charging'!G50+'BART-ADA'!G50+'BART- TODPlazas'!G56+'BART-RTDs'!G49+'BART-Lighting'!G49+'BART-Wayfinding'!G50+'BART-Bus'!G49+'SFMTA-EV'!G45+AVA!G49+CCTA!G45+'MTC-EbikeshareStation'!G46+'MTC-BikeshareOutreach'!G42+'MTC-EBikeshare'!G42+'MTC-Pb+E'!G45+'MTC-Admin+Eval'!G50</f>
        <v>15000</v>
      </c>
      <c r="H13" s="125">
        <f>'BART-Bike Access '!H45+'BART-EV Charging'!H50+'BART-ADA'!H50+'BART- TODPlazas'!H56+'BART-RTDs'!H49+'BART-Lighting'!H49+'BART-Wayfinding'!H50+'BART-Bus'!H49+'SFMTA-EV'!H45+AVA!H49+CCTA!H45+'MTC-EbikeshareStation'!H46+'MTC-BikeshareOutreach'!H42+'MTC-EBikeshare'!H42+'MTC-Pb+E'!H45+'MTC-Admin+Eval'!H50</f>
        <v>15000</v>
      </c>
      <c r="I13" s="133"/>
      <c r="J13" s="125">
        <f t="shared" si="0"/>
        <v>825000</v>
      </c>
    </row>
    <row r="14" spans="2:39" ht="14.5" x14ac:dyDescent="0.35">
      <c r="B14" s="20"/>
      <c r="C14" s="7" t="s">
        <v>19</v>
      </c>
      <c r="D14" s="103">
        <f>D13+D12+D11+D10+D9+D8+D7</f>
        <v>24669068.900031999</v>
      </c>
      <c r="E14" s="103">
        <f>E13+E12+E11+E10+E9+E8+E7</f>
        <v>21508211.726698238</v>
      </c>
      <c r="F14" s="103">
        <f>F13+F12+F11+F10+F9+F8+F7</f>
        <v>29836126.10480164</v>
      </c>
      <c r="G14" s="103">
        <f>G13+G12+G11+G10+G9+G8+G7</f>
        <v>25350042.567985483</v>
      </c>
      <c r="H14" s="103">
        <f>H13+H12+H11+H10+H9+H8+H7</f>
        <v>15775565.121954873</v>
      </c>
      <c r="I14" s="100"/>
      <c r="J14" s="103">
        <f t="shared" si="0"/>
        <v>117139014.42147224</v>
      </c>
    </row>
    <row r="15" spans="2:39" ht="14.5" x14ac:dyDescent="0.35">
      <c r="B15" s="52"/>
      <c r="D15"/>
      <c r="E15"/>
      <c r="H15"/>
      <c r="I15"/>
      <c r="J15" s="16" t="s">
        <v>20</v>
      </c>
    </row>
    <row r="16" spans="2:39" ht="20.149999999999999" customHeight="1" x14ac:dyDescent="0.35">
      <c r="B16" s="52"/>
      <c r="C16" s="7" t="s">
        <v>21</v>
      </c>
      <c r="D16" s="48">
        <f>'BART-Bike Access '!D51+'BART-EV Charging'!D56+'BART- TODPlazas'!D62+'BART-ADA'!D56+'BART-RTDs'!D55</f>
        <v>0</v>
      </c>
      <c r="E16" s="48">
        <f>'BART-Bike Access '!E51+'BART-EV Charging'!E56+'BART- TODPlazas'!E62+'BART-ADA'!E56</f>
        <v>0</v>
      </c>
      <c r="F16" s="48">
        <f>'BART-Bike Access '!F51+'BART-EV Charging'!F56+'BART- TODPlazas'!F62+'BART-ADA'!F56</f>
        <v>0</v>
      </c>
      <c r="G16" s="48">
        <f>'BART-Bike Access '!G51+'BART-EV Charging'!G56+'BART- TODPlazas'!G62+'BART-ADA'!G56</f>
        <v>0</v>
      </c>
      <c r="H16" s="48">
        <f>'BART-Bike Access '!H51+'BART-EV Charging'!H56+'BART- TODPlazas'!H62+'BART-ADA'!H56</f>
        <v>0</v>
      </c>
      <c r="J16" s="7">
        <f>SUM(D16:H16)</f>
        <v>0</v>
      </c>
    </row>
    <row r="17" spans="2:10" thickBot="1" x14ac:dyDescent="0.4">
      <c r="B17" s="52"/>
      <c r="D17"/>
      <c r="E17"/>
      <c r="H17"/>
      <c r="I17"/>
      <c r="J17" s="16" t="s">
        <v>20</v>
      </c>
    </row>
    <row r="18" spans="2:10" ht="31.15" customHeight="1" thickBot="1" x14ac:dyDescent="0.4">
      <c r="B18" s="51" t="s">
        <v>22</v>
      </c>
      <c r="C18" s="17"/>
      <c r="D18" s="45">
        <f>D14+D16</f>
        <v>24669068.900031999</v>
      </c>
      <c r="E18" s="45">
        <f>E14+E16</f>
        <v>21508211.726698238</v>
      </c>
      <c r="F18" s="45">
        <f>F14+F16</f>
        <v>29836126.10480164</v>
      </c>
      <c r="G18" s="45">
        <f>G14+G16</f>
        <v>25350042.567985483</v>
      </c>
      <c r="H18" s="45">
        <f>H14+H16</f>
        <v>15775565.121954873</v>
      </c>
      <c r="I18" s="46"/>
      <c r="J18" s="55">
        <f>J14+J16</f>
        <v>117139014.42147224</v>
      </c>
    </row>
    <row r="19" spans="2:10" s="1" customFormat="1" ht="14.5" x14ac:dyDescent="0.35">
      <c r="B19" s="4"/>
      <c r="C19"/>
      <c r="D19" s="4"/>
      <c r="E19" s="2"/>
      <c r="F19"/>
      <c r="G19"/>
      <c r="H19" s="2"/>
      <c r="I19" s="5"/>
      <c r="J19" s="27"/>
    </row>
    <row r="20" spans="2:10" ht="15" customHeight="1" x14ac:dyDescent="0.35">
      <c r="B20" s="4"/>
    </row>
    <row r="21" spans="2:10" ht="15" customHeight="1" x14ac:dyDescent="0.45">
      <c r="B21" s="38" t="s">
        <v>23</v>
      </c>
      <c r="C21" s="39"/>
      <c r="D21" s="39"/>
      <c r="E21" s="135"/>
      <c r="F21" s="135"/>
      <c r="H21"/>
      <c r="I21"/>
    </row>
    <row r="22" spans="2:10" ht="29.15" customHeight="1" x14ac:dyDescent="0.35">
      <c r="B22" s="40" t="s">
        <v>24</v>
      </c>
      <c r="C22" s="40" t="s">
        <v>25</v>
      </c>
      <c r="D22" s="47" t="s">
        <v>26</v>
      </c>
      <c r="E22" s="136" t="s">
        <v>27</v>
      </c>
      <c r="F22" s="136"/>
      <c r="H22"/>
      <c r="I22"/>
      <c r="J22" s="27"/>
    </row>
    <row r="23" spans="2:10" ht="15" customHeight="1" x14ac:dyDescent="0.35">
      <c r="B23" s="44">
        <v>1</v>
      </c>
      <c r="C23" s="124" t="s">
        <v>92</v>
      </c>
      <c r="D23" s="127">
        <f>'BART-Bike Access '!J53</f>
        <v>3450000</v>
      </c>
      <c r="E23" s="137">
        <f t="shared" ref="E23:E40" si="1">D23/D$40</f>
        <v>2.945218565342134E-2</v>
      </c>
      <c r="F23" s="137"/>
      <c r="H23"/>
      <c r="I23"/>
    </row>
    <row r="24" spans="2:10" ht="15" customHeight="1" x14ac:dyDescent="0.35">
      <c r="B24" s="44">
        <v>2</v>
      </c>
      <c r="C24" s="125" t="s">
        <v>93</v>
      </c>
      <c r="D24" s="127">
        <f>'BART-EV Charging'!J58</f>
        <v>9598588</v>
      </c>
      <c r="E24" s="137">
        <f t="shared" si="1"/>
        <v>8.1941853851218036E-2</v>
      </c>
      <c r="F24" s="137"/>
      <c r="H24"/>
      <c r="I24"/>
    </row>
    <row r="25" spans="2:10" ht="15" customHeight="1" x14ac:dyDescent="0.35">
      <c r="B25" s="44">
        <v>3</v>
      </c>
      <c r="C25" s="125" t="s">
        <v>94</v>
      </c>
      <c r="D25" s="127">
        <f>'BART-ADA'!J58</f>
        <v>9815000</v>
      </c>
      <c r="E25" s="137">
        <f t="shared" si="1"/>
        <v>8.378933396763201E-2</v>
      </c>
      <c r="F25" s="137"/>
      <c r="H25"/>
      <c r="I25"/>
    </row>
    <row r="26" spans="2:10" ht="15" customHeight="1" x14ac:dyDescent="0.35">
      <c r="B26" s="44">
        <v>4</v>
      </c>
      <c r="C26" s="124" t="s">
        <v>95</v>
      </c>
      <c r="D26" s="127">
        <f>'BART- TODPlazas'!J64</f>
        <v>55190424.5</v>
      </c>
      <c r="E26" s="137">
        <f t="shared" si="1"/>
        <v>0.4711532257000387</v>
      </c>
      <c r="F26" s="137"/>
      <c r="H26"/>
      <c r="I26"/>
    </row>
    <row r="27" spans="2:10" ht="15" customHeight="1" x14ac:dyDescent="0.35">
      <c r="B27" s="44">
        <v>5</v>
      </c>
      <c r="C27" s="125" t="s">
        <v>96</v>
      </c>
      <c r="D27" s="128">
        <f>'BART-RTDs'!J57</f>
        <v>1360000</v>
      </c>
      <c r="E27" s="137">
        <f t="shared" si="1"/>
        <v>1.161013695323276E-2</v>
      </c>
      <c r="F27" s="137"/>
    </row>
    <row r="28" spans="2:10" ht="15" customHeight="1" x14ac:dyDescent="0.35">
      <c r="B28" s="44">
        <v>6</v>
      </c>
      <c r="C28" s="125" t="s">
        <v>97</v>
      </c>
      <c r="D28" s="127">
        <f>'BART-Lighting'!J57</f>
        <v>1850000</v>
      </c>
      <c r="E28" s="137">
        <f t="shared" si="1"/>
        <v>1.5793201002559269E-2</v>
      </c>
      <c r="F28" s="137"/>
      <c r="H28"/>
      <c r="I28"/>
    </row>
    <row r="29" spans="2:10" ht="15" customHeight="1" x14ac:dyDescent="0.35">
      <c r="B29" s="44">
        <v>7</v>
      </c>
      <c r="C29" s="124" t="s">
        <v>98</v>
      </c>
      <c r="D29" s="127">
        <f>'BART-Wayfinding'!J58</f>
        <v>9235000</v>
      </c>
      <c r="E29" s="137">
        <f t="shared" si="1"/>
        <v>7.8837952031694511E-2</v>
      </c>
      <c r="F29" s="137"/>
      <c r="H29"/>
      <c r="I29"/>
    </row>
    <row r="30" spans="2:10" ht="15" customHeight="1" x14ac:dyDescent="0.35">
      <c r="B30" s="44">
        <v>8</v>
      </c>
      <c r="C30" s="125" t="s">
        <v>99</v>
      </c>
      <c r="D30" s="127">
        <f>'BART-Bus'!J57</f>
        <v>535000</v>
      </c>
      <c r="E30" s="137">
        <f t="shared" si="1"/>
        <v>4.5672229926320045E-3</v>
      </c>
      <c r="F30" s="137"/>
      <c r="H30"/>
      <c r="I30"/>
    </row>
    <row r="31" spans="2:10" ht="15" customHeight="1" x14ac:dyDescent="0.35">
      <c r="B31" s="44">
        <v>9</v>
      </c>
      <c r="C31" s="125" t="s">
        <v>137</v>
      </c>
      <c r="D31" s="127">
        <f>'BART-Outreach'!J57</f>
        <v>1000000</v>
      </c>
      <c r="E31" s="137">
        <f t="shared" ref="E31" si="2">D31/D$40</f>
        <v>8.5368654067887947E-3</v>
      </c>
      <c r="F31" s="137"/>
      <c r="H31"/>
      <c r="I31"/>
    </row>
    <row r="32" spans="2:10" ht="15" customHeight="1" x14ac:dyDescent="0.35">
      <c r="B32" s="44">
        <v>10</v>
      </c>
      <c r="C32" s="125" t="s">
        <v>100</v>
      </c>
      <c r="D32" s="127">
        <f>'SFMTA-EV'!J53</f>
        <v>42500</v>
      </c>
      <c r="E32" s="137">
        <f t="shared" si="1"/>
        <v>3.6281677978852375E-4</v>
      </c>
      <c r="F32" s="137"/>
      <c r="H32"/>
      <c r="I32"/>
    </row>
    <row r="33" spans="2:9" ht="15" customHeight="1" x14ac:dyDescent="0.35">
      <c r="B33" s="44">
        <v>11</v>
      </c>
      <c r="C33" s="124" t="s">
        <v>101</v>
      </c>
      <c r="D33" s="127">
        <f>AVA!J57</f>
        <v>4016320</v>
      </c>
      <c r="E33" s="137">
        <f t="shared" si="1"/>
        <v>3.4286783270593972E-2</v>
      </c>
      <c r="F33" s="137"/>
      <c r="H33"/>
      <c r="I33"/>
    </row>
    <row r="34" spans="2:9" ht="15" customHeight="1" x14ac:dyDescent="0.35">
      <c r="B34" s="44">
        <v>12</v>
      </c>
      <c r="C34" s="125" t="s">
        <v>102</v>
      </c>
      <c r="D34" s="127">
        <f>CCTA!J53</f>
        <v>1249074.9619087586</v>
      </c>
      <c r="E34" s="137">
        <f t="shared" si="1"/>
        <v>1.0663184832804913E-2</v>
      </c>
      <c r="F34" s="137"/>
      <c r="H34"/>
      <c r="I34"/>
    </row>
    <row r="35" spans="2:9" ht="15" customHeight="1" x14ac:dyDescent="0.35">
      <c r="B35" s="44">
        <v>13</v>
      </c>
      <c r="C35" s="125" t="s">
        <v>103</v>
      </c>
      <c r="D35" s="127">
        <f>'MTC-EbikeshareStation'!J54</f>
        <v>4504600</v>
      </c>
      <c r="E35" s="137">
        <f t="shared" si="1"/>
        <v>3.84551639114208E-2</v>
      </c>
      <c r="F35" s="137"/>
      <c r="H35"/>
      <c r="I35"/>
    </row>
    <row r="36" spans="2:9" ht="15" customHeight="1" x14ac:dyDescent="0.35">
      <c r="B36" s="44">
        <v>14</v>
      </c>
      <c r="C36" s="125" t="s">
        <v>104</v>
      </c>
      <c r="D36" s="127">
        <f>'MTC-BikeshareOutreach'!J50</f>
        <v>7784664.1958400011</v>
      </c>
      <c r="E36" s="137">
        <f t="shared" si="1"/>
        <v>6.6456630476933815E-2</v>
      </c>
      <c r="F36" s="137"/>
      <c r="H36"/>
      <c r="I36"/>
    </row>
    <row r="37" spans="2:9" ht="15" customHeight="1" x14ac:dyDescent="0.35">
      <c r="B37" s="44">
        <v>15</v>
      </c>
      <c r="C37" s="125" t="s">
        <v>105</v>
      </c>
      <c r="D37" s="127">
        <f>'MTC-EBikeshare'!J50</f>
        <v>3360058.5173837133</v>
      </c>
      <c r="E37" s="137">
        <f t="shared" si="1"/>
        <v>2.8684367321839065E-2</v>
      </c>
      <c r="F37" s="137"/>
      <c r="H37"/>
      <c r="I37"/>
    </row>
    <row r="38" spans="2:9" ht="15" customHeight="1" x14ac:dyDescent="0.35">
      <c r="B38" s="44">
        <v>16</v>
      </c>
      <c r="C38" s="125" t="s">
        <v>106</v>
      </c>
      <c r="D38" s="127">
        <f>'MTC-Pb+E'!J53</f>
        <v>2356706.7243797681</v>
      </c>
      <c r="E38" s="137">
        <f t="shared" si="1"/>
        <v>2.0118888109304175E-2</v>
      </c>
      <c r="F38" s="137"/>
      <c r="H38"/>
      <c r="I38"/>
    </row>
    <row r="39" spans="2:9" ht="15" customHeight="1" x14ac:dyDescent="0.35">
      <c r="B39" s="44">
        <v>17</v>
      </c>
      <c r="C39" s="125" t="s">
        <v>107</v>
      </c>
      <c r="D39" s="127">
        <f>'MTC-Admin+Eval'!J58</f>
        <v>1791077.52196</v>
      </c>
      <c r="E39" s="137">
        <f t="shared" si="1"/>
        <v>1.5290187738097321E-2</v>
      </c>
      <c r="F39" s="137"/>
      <c r="H39"/>
      <c r="I39"/>
    </row>
    <row r="40" spans="2:9" ht="15" customHeight="1" x14ac:dyDescent="0.35">
      <c r="B40" s="122" t="s">
        <v>28</v>
      </c>
      <c r="C40" s="123"/>
      <c r="D40" s="129">
        <f>SUM(D23:D39)</f>
        <v>117139014.42147224</v>
      </c>
      <c r="E40" s="134">
        <f t="shared" si="1"/>
        <v>1</v>
      </c>
      <c r="F40" s="134"/>
      <c r="H40"/>
      <c r="I40"/>
    </row>
    <row r="41" spans="2:9" ht="15" customHeight="1" x14ac:dyDescent="0.35">
      <c r="D41" s="126"/>
      <c r="H41"/>
      <c r="I41"/>
    </row>
    <row r="42" spans="2:9" ht="15" customHeight="1" x14ac:dyDescent="0.35">
      <c r="D42" s="126"/>
    </row>
  </sheetData>
  <mergeCells count="21">
    <mergeCell ref="E37:F37"/>
    <mergeCell ref="E38:F38"/>
    <mergeCell ref="E39:F39"/>
    <mergeCell ref="B3:J3"/>
    <mergeCell ref="E30:F30"/>
    <mergeCell ref="E40:F4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2:F32"/>
    <mergeCell ref="E33:F33"/>
    <mergeCell ref="E34:F34"/>
    <mergeCell ref="E35:F35"/>
    <mergeCell ref="E31:F31"/>
    <mergeCell ref="E36:F36"/>
  </mergeCells>
  <phoneticPr fontId="27" type="noConversion"/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A82516-DCF1-4D2B-AD20-E2C1BEFE8A77}">
  <sheetPr>
    <tabColor theme="9" tint="0.39997558519241921"/>
  </sheetPr>
  <dimension ref="B2:AM72"/>
  <sheetViews>
    <sheetView workbookViewId="0"/>
  </sheetViews>
  <sheetFormatPr defaultColWidth="9.26953125" defaultRowHeight="14.5" x14ac:dyDescent="0.35"/>
  <cols>
    <col min="1" max="1" width="3.26953125" customWidth="1"/>
    <col min="2" max="2" width="11.26953125" customWidth="1"/>
    <col min="3" max="3" width="46.453125" customWidth="1"/>
    <col min="4" max="4" width="13.26953125" style="4" customWidth="1"/>
    <col min="5" max="5" width="13.26953125" style="80" customWidth="1"/>
    <col min="6" max="7" width="13.26953125" customWidth="1"/>
    <col min="8" max="8" width="12.7265625" style="80" customWidth="1"/>
    <col min="9" max="9" width="0.7265625" style="5" customWidth="1"/>
    <col min="10" max="10" width="14.54296875" customWidth="1"/>
    <col min="11" max="11" width="10.26953125" customWidth="1"/>
  </cols>
  <sheetData>
    <row r="2" spans="2:39" ht="23.5" x14ac:dyDescent="0.55000000000000004">
      <c r="B2" s="26" t="s">
        <v>158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119" t="s">
        <v>30</v>
      </c>
      <c r="D7" s="131" t="s">
        <v>31</v>
      </c>
      <c r="E7" s="131" t="s">
        <v>31</v>
      </c>
      <c r="F7" s="131" t="s">
        <v>31</v>
      </c>
      <c r="G7" s="131"/>
      <c r="H7" s="131" t="s">
        <v>31</v>
      </c>
      <c r="I7" s="100"/>
      <c r="J7" s="10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19"/>
      <c r="C8" s="97" t="s">
        <v>136</v>
      </c>
      <c r="D8" s="98">
        <v>20000</v>
      </c>
      <c r="E8" s="98">
        <v>20000</v>
      </c>
      <c r="F8" s="98">
        <v>20000</v>
      </c>
      <c r="G8" s="98">
        <v>20000</v>
      </c>
      <c r="H8" s="98">
        <v>20000</v>
      </c>
      <c r="I8" s="99">
        <v>450000</v>
      </c>
      <c r="J8" s="98">
        <f>SUM(D8:H8)</f>
        <v>100000</v>
      </c>
    </row>
    <row r="9" spans="2:39" x14ac:dyDescent="0.35">
      <c r="B9" s="19"/>
      <c r="C9" s="97"/>
      <c r="D9" s="121"/>
      <c r="E9" s="121"/>
      <c r="F9" s="121"/>
      <c r="G9" s="121"/>
      <c r="H9" s="121"/>
      <c r="I9" s="100"/>
      <c r="J9" s="98">
        <f>SUM(D9:H9)</f>
        <v>0</v>
      </c>
    </row>
    <row r="10" spans="2:39" x14ac:dyDescent="0.35">
      <c r="B10" s="19"/>
      <c r="C10" s="118"/>
      <c r="D10" s="98"/>
      <c r="E10" s="101"/>
      <c r="F10" s="101"/>
      <c r="G10" s="101"/>
      <c r="H10" s="101"/>
      <c r="I10" s="100"/>
      <c r="J10" s="98">
        <f>SUM(D10:H10)</f>
        <v>0</v>
      </c>
    </row>
    <row r="11" spans="2:39" x14ac:dyDescent="0.35">
      <c r="B11" s="19"/>
      <c r="C11" s="116" t="s">
        <v>12</v>
      </c>
      <c r="D11" s="103">
        <f t="shared" ref="D11:J11" si="0">SUM(D8:D10)</f>
        <v>20000</v>
      </c>
      <c r="E11" s="103">
        <f t="shared" si="0"/>
        <v>20000</v>
      </c>
      <c r="F11" s="103">
        <f t="shared" si="0"/>
        <v>20000</v>
      </c>
      <c r="G11" s="103">
        <f t="shared" si="0"/>
        <v>20000</v>
      </c>
      <c r="H11" s="103">
        <f t="shared" si="0"/>
        <v>20000</v>
      </c>
      <c r="I11" s="100">
        <f t="shared" si="0"/>
        <v>450000</v>
      </c>
      <c r="J11" s="103">
        <f t="shared" si="0"/>
        <v>100000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35">
      <c r="B14" s="19"/>
      <c r="C14" s="21"/>
      <c r="D14" s="13"/>
      <c r="E14" s="13"/>
      <c r="F14" s="13"/>
      <c r="G14" s="13"/>
      <c r="H14" s="13"/>
      <c r="J14" s="13">
        <f>SUM(D14:H14)</f>
        <v>0</v>
      </c>
    </row>
    <row r="15" spans="2:39" x14ac:dyDescent="0.35">
      <c r="B15" s="19"/>
      <c r="C15" s="8"/>
      <c r="D15" s="13"/>
      <c r="E15" s="9"/>
      <c r="F15" s="9"/>
      <c r="G15" s="9"/>
      <c r="H15" s="9"/>
      <c r="J15" s="13">
        <f>SUM(D15:H15)</f>
        <v>0</v>
      </c>
    </row>
    <row r="16" spans="2:39" x14ac:dyDescent="0.35">
      <c r="B16" s="19"/>
      <c r="C16" s="7" t="s">
        <v>13</v>
      </c>
      <c r="D16" s="14">
        <f t="shared" ref="D16:J16" si="1">SUM(D13:D15)</f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5">
        <f t="shared" si="1"/>
        <v>0</v>
      </c>
      <c r="J16" s="14">
        <f t="shared" si="1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1"/>
      <c r="E18" s="8"/>
      <c r="F18" s="8"/>
      <c r="G18" s="8"/>
      <c r="H18" s="8"/>
      <c r="J18" s="13">
        <f t="shared" ref="J18:J27" si="2">SUM(D18:H18)</f>
        <v>0</v>
      </c>
    </row>
    <row r="19" spans="2:10" x14ac:dyDescent="0.35">
      <c r="B19" s="19"/>
      <c r="C19" s="25"/>
      <c r="D19" s="13"/>
      <c r="E19" s="9"/>
      <c r="F19" s="9"/>
      <c r="G19" s="9"/>
      <c r="H19" s="9"/>
      <c r="J19" s="13">
        <f t="shared" si="2"/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>
        <v>2000</v>
      </c>
      <c r="J20" s="13">
        <f t="shared" si="2"/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250</v>
      </c>
      <c r="J21" s="13">
        <f t="shared" si="2"/>
        <v>0</v>
      </c>
    </row>
    <row r="22" spans="2:10" x14ac:dyDescent="0.35">
      <c r="B22" s="19"/>
      <c r="C22" s="21"/>
      <c r="D22" s="13"/>
      <c r="E22" s="13"/>
      <c r="F22" s="13"/>
      <c r="G22" s="13"/>
      <c r="H22" s="13"/>
      <c r="I22" s="28">
        <v>2250</v>
      </c>
      <c r="J22" s="13">
        <f t="shared" si="2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>
        <v>1243</v>
      </c>
      <c r="J23" s="13">
        <f t="shared" si="2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225</v>
      </c>
      <c r="J24" s="13">
        <f t="shared" si="2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400</v>
      </c>
      <c r="J25" s="13">
        <f t="shared" si="2"/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1638</v>
      </c>
      <c r="J26" s="13">
        <f t="shared" si="2"/>
        <v>0</v>
      </c>
    </row>
    <row r="27" spans="2:10" x14ac:dyDescent="0.35">
      <c r="B27" s="19"/>
      <c r="C27" s="7" t="s">
        <v>14</v>
      </c>
      <c r="D27" s="14">
        <f>SUM(D20:D26)</f>
        <v>0</v>
      </c>
      <c r="E27" s="14">
        <f>SUM(E20:E26)</f>
        <v>0</v>
      </c>
      <c r="F27" s="14">
        <f>SUM(F20:F26)</f>
        <v>0</v>
      </c>
      <c r="G27" s="14">
        <f>SUM(G20:G26)</f>
        <v>0</v>
      </c>
      <c r="H27" s="14">
        <f>SUM(H20:H26)</f>
        <v>0</v>
      </c>
      <c r="J27" s="14">
        <f t="shared" si="2"/>
        <v>0</v>
      </c>
    </row>
    <row r="28" spans="2:10" x14ac:dyDescent="0.35">
      <c r="B28" s="19"/>
      <c r="C28" s="12" t="s">
        <v>34</v>
      </c>
      <c r="D28" s="13"/>
      <c r="E28" s="8"/>
      <c r="F28" s="8"/>
      <c r="G28" s="8"/>
      <c r="H28" s="8"/>
      <c r="J28" s="13" t="s">
        <v>20</v>
      </c>
    </row>
    <row r="29" spans="2:10" x14ac:dyDescent="0.35">
      <c r="B29" s="19"/>
      <c r="C29" s="21"/>
      <c r="D29" s="13"/>
      <c r="E29" s="8"/>
      <c r="F29" s="8"/>
      <c r="G29" s="8"/>
      <c r="H29" s="8"/>
      <c r="J29" s="13">
        <f>SUM(D29:H29)</f>
        <v>0</v>
      </c>
    </row>
    <row r="30" spans="2:10" x14ac:dyDescent="0.35">
      <c r="B30" s="19" t="s">
        <v>35</v>
      </c>
      <c r="C30" s="24" t="s">
        <v>35</v>
      </c>
      <c r="D30" s="11" t="s">
        <v>31</v>
      </c>
      <c r="E30" s="8"/>
      <c r="F30" s="8"/>
      <c r="G30" s="8"/>
      <c r="H30" s="8"/>
      <c r="J30" s="13">
        <f>SUM(D30:H30)</f>
        <v>0</v>
      </c>
    </row>
    <row r="31" spans="2:10" x14ac:dyDescent="0.35">
      <c r="B31" s="19"/>
      <c r="C31" s="7" t="s">
        <v>15</v>
      </c>
      <c r="D31" s="10">
        <f>SUM(D29:D30)</f>
        <v>0</v>
      </c>
      <c r="E31" s="10">
        <f>SUM(E29:E30)</f>
        <v>0</v>
      </c>
      <c r="F31" s="10">
        <f>SUM(F29:F30)</f>
        <v>0</v>
      </c>
      <c r="G31" s="10">
        <f>SUM(G29:G30)</f>
        <v>0</v>
      </c>
      <c r="H31" s="10">
        <f>SUM(H29:H30)</f>
        <v>0</v>
      </c>
      <c r="J31" s="14">
        <f>SUM(D31:H31)</f>
        <v>0</v>
      </c>
    </row>
    <row r="32" spans="2:10" x14ac:dyDescent="0.35">
      <c r="B32" s="19"/>
      <c r="C32" s="12" t="s">
        <v>36</v>
      </c>
      <c r="D32" s="11" t="s">
        <v>31</v>
      </c>
      <c r="E32" s="8"/>
      <c r="F32" s="8"/>
      <c r="G32" s="8"/>
      <c r="H32" s="8"/>
      <c r="J32" s="13"/>
    </row>
    <row r="33" spans="2:10" x14ac:dyDescent="0.35">
      <c r="B33" s="19"/>
      <c r="C33" s="21"/>
      <c r="D33" s="13"/>
      <c r="E33" s="13"/>
      <c r="F33" s="13"/>
      <c r="G33" s="13"/>
      <c r="H33" s="13"/>
      <c r="I33" s="28">
        <v>5000</v>
      </c>
      <c r="J33" s="13">
        <f>SUM(D33:H33)</f>
        <v>0</v>
      </c>
    </row>
    <row r="34" spans="2:10" x14ac:dyDescent="0.35">
      <c r="B34" s="19"/>
      <c r="C34" s="21"/>
      <c r="D34" s="13"/>
      <c r="E34" s="9"/>
      <c r="F34" s="9"/>
      <c r="G34" s="9"/>
      <c r="H34" s="9"/>
      <c r="J34" s="13">
        <f>SUM(D34:H34)</f>
        <v>0</v>
      </c>
    </row>
    <row r="35" spans="2:10" x14ac:dyDescent="0.35">
      <c r="B35" s="19"/>
      <c r="C35" s="7" t="s">
        <v>16</v>
      </c>
      <c r="D35" s="14">
        <f>SUM(D33:D34)</f>
        <v>0</v>
      </c>
      <c r="E35" s="14">
        <f>SUM(E33:E34)</f>
        <v>0</v>
      </c>
      <c r="F35" s="14">
        <f>SUM(F33:F34)</f>
        <v>0</v>
      </c>
      <c r="G35" s="14">
        <f>SUM(G33:G34)</f>
        <v>0</v>
      </c>
      <c r="H35" s="14">
        <f>SUM(H33:H34)</f>
        <v>0</v>
      </c>
      <c r="J35" s="14">
        <f>SUM(D35:H35)</f>
        <v>0</v>
      </c>
    </row>
    <row r="36" spans="2:10" x14ac:dyDescent="0.35">
      <c r="B36" s="19"/>
      <c r="C36" s="12" t="s">
        <v>38</v>
      </c>
      <c r="D36" s="11" t="s">
        <v>31</v>
      </c>
      <c r="E36" s="8"/>
      <c r="F36" s="8"/>
      <c r="G36" s="8"/>
      <c r="H36" s="8"/>
      <c r="J36" s="13"/>
    </row>
    <row r="37" spans="2:10" ht="29" x14ac:dyDescent="0.35">
      <c r="B37" s="19"/>
      <c r="C37" s="97" t="s">
        <v>136</v>
      </c>
      <c r="D37" s="98">
        <v>180000</v>
      </c>
      <c r="E37" s="98">
        <v>180000</v>
      </c>
      <c r="F37" s="98">
        <v>180000</v>
      </c>
      <c r="G37" s="98">
        <v>180000</v>
      </c>
      <c r="H37" s="98">
        <v>180000</v>
      </c>
      <c r="I37" s="99">
        <v>5106000</v>
      </c>
      <c r="J37" s="98">
        <f>SUM(D37:H37)</f>
        <v>900000</v>
      </c>
    </row>
    <row r="38" spans="2:10" x14ac:dyDescent="0.35">
      <c r="B38" s="19"/>
      <c r="C38" s="97"/>
      <c r="D38" s="98"/>
      <c r="E38" s="98"/>
      <c r="F38" s="98"/>
      <c r="G38" s="98"/>
      <c r="H38" s="98"/>
      <c r="I38" s="99">
        <v>22500000</v>
      </c>
      <c r="J38" s="98">
        <f>SUM(D38:H38)</f>
        <v>0</v>
      </c>
    </row>
    <row r="39" spans="2:10" x14ac:dyDescent="0.35">
      <c r="B39" s="19"/>
      <c r="C39" s="97"/>
      <c r="D39" s="98"/>
      <c r="E39" s="98"/>
      <c r="F39" s="98"/>
      <c r="G39" s="98"/>
      <c r="H39" s="98"/>
      <c r="I39" s="99">
        <v>75000000</v>
      </c>
      <c r="J39" s="98">
        <f>SUM(D39:H39)</f>
        <v>0</v>
      </c>
    </row>
    <row r="40" spans="2:10" x14ac:dyDescent="0.35">
      <c r="B40" s="19"/>
      <c r="C40" s="97"/>
      <c r="D40" s="98"/>
      <c r="E40" s="101"/>
      <c r="F40" s="101"/>
      <c r="G40" s="101"/>
      <c r="H40" s="101"/>
      <c r="I40" s="100"/>
      <c r="J40" s="98">
        <f>SUM(D40:H40)</f>
        <v>0</v>
      </c>
    </row>
    <row r="41" spans="2:10" x14ac:dyDescent="0.35">
      <c r="B41" s="19"/>
      <c r="C41" s="116" t="s">
        <v>17</v>
      </c>
      <c r="D41" s="103">
        <f>SUM(D37:D40)</f>
        <v>180000</v>
      </c>
      <c r="E41" s="103">
        <f>SUM(E37:E40)</f>
        <v>180000</v>
      </c>
      <c r="F41" s="103">
        <f>SUM(F37:F40)</f>
        <v>180000</v>
      </c>
      <c r="G41" s="103">
        <f>SUM(G37:G40)</f>
        <v>180000</v>
      </c>
      <c r="H41" s="103">
        <f>SUM(H37:H40)</f>
        <v>180000</v>
      </c>
      <c r="I41" s="100"/>
      <c r="J41" s="103">
        <f>SUM(D41:H41)</f>
        <v>900000</v>
      </c>
    </row>
    <row r="42" spans="2:10" x14ac:dyDescent="0.35">
      <c r="B42" s="19"/>
      <c r="C42" s="12" t="s">
        <v>39</v>
      </c>
      <c r="D42" s="11" t="s">
        <v>31</v>
      </c>
      <c r="E42" s="8"/>
      <c r="F42" s="8"/>
      <c r="G42" s="8"/>
      <c r="H42" s="8"/>
      <c r="J42" s="13"/>
    </row>
    <row r="43" spans="2:10" x14ac:dyDescent="0.35">
      <c r="B43" s="19"/>
      <c r="C43" s="21"/>
      <c r="D43" s="13"/>
      <c r="E43" s="13"/>
      <c r="F43" s="13"/>
      <c r="G43" s="13"/>
      <c r="H43" s="13"/>
      <c r="I43" s="28">
        <v>375000</v>
      </c>
      <c r="J43" s="13">
        <f t="shared" ref="J43:J50" si="3">SUM(D43:H43)</f>
        <v>0</v>
      </c>
    </row>
    <row r="44" spans="2:10" x14ac:dyDescent="0.35">
      <c r="B44" s="19"/>
      <c r="C44" s="21"/>
      <c r="D44" s="13"/>
      <c r="E44" s="13"/>
      <c r="F44" s="13"/>
      <c r="G44" s="13"/>
      <c r="H44" s="13"/>
      <c r="I44" s="28">
        <v>781250</v>
      </c>
      <c r="J44" s="13">
        <f t="shared" si="3"/>
        <v>0</v>
      </c>
    </row>
    <row r="45" spans="2:10" x14ac:dyDescent="0.35">
      <c r="B45" s="19"/>
      <c r="C45" s="21"/>
      <c r="D45" s="13"/>
      <c r="E45" s="13"/>
      <c r="F45" s="13"/>
      <c r="G45" s="13"/>
      <c r="H45" s="13"/>
      <c r="I45" s="28">
        <v>2083335</v>
      </c>
      <c r="J45" s="13">
        <f t="shared" si="3"/>
        <v>0</v>
      </c>
    </row>
    <row r="46" spans="2:10" x14ac:dyDescent="0.35">
      <c r="B46" s="19"/>
      <c r="C46" s="21"/>
      <c r="D46" s="13"/>
      <c r="E46" s="9"/>
      <c r="F46" s="9"/>
      <c r="G46" s="9"/>
      <c r="H46" s="9"/>
      <c r="J46" s="13">
        <f t="shared" si="3"/>
        <v>0</v>
      </c>
    </row>
    <row r="47" spans="2:10" x14ac:dyDescent="0.35">
      <c r="B47" s="19"/>
      <c r="C47" s="21"/>
      <c r="D47" s="13"/>
      <c r="E47" s="9"/>
      <c r="F47" s="9"/>
      <c r="G47" s="9"/>
      <c r="H47" s="9"/>
      <c r="J47" s="13">
        <f t="shared" si="3"/>
        <v>0</v>
      </c>
    </row>
    <row r="48" spans="2:10" x14ac:dyDescent="0.35">
      <c r="B48" s="19"/>
      <c r="C48" s="8"/>
      <c r="D48" s="13"/>
      <c r="E48" s="9"/>
      <c r="F48" s="9"/>
      <c r="G48" s="9"/>
      <c r="H48" s="9"/>
      <c r="J48" s="13">
        <f t="shared" si="3"/>
        <v>0</v>
      </c>
    </row>
    <row r="49" spans="2:10" x14ac:dyDescent="0.35">
      <c r="B49" s="20"/>
      <c r="C49" s="7" t="s">
        <v>18</v>
      </c>
      <c r="D49" s="14">
        <f>SUM(D43:D48)</f>
        <v>0</v>
      </c>
      <c r="E49" s="14">
        <f>SUM(E43:E48)</f>
        <v>0</v>
      </c>
      <c r="F49" s="14">
        <f>SUM(F43:F48)</f>
        <v>0</v>
      </c>
      <c r="G49" s="14">
        <f>SUM(G43:G48)</f>
        <v>0</v>
      </c>
      <c r="H49" s="14">
        <f>SUM(H43:H48)</f>
        <v>0</v>
      </c>
      <c r="J49" s="14">
        <f t="shared" si="3"/>
        <v>0</v>
      </c>
    </row>
    <row r="50" spans="2:10" x14ac:dyDescent="0.35">
      <c r="B50" s="20"/>
      <c r="C50" s="7" t="s">
        <v>19</v>
      </c>
      <c r="D50" s="14">
        <f>SUM(D49,D41,D35,D31,D27,D16,D11)</f>
        <v>200000</v>
      </c>
      <c r="E50" s="14">
        <f>SUM(E49,E41,E35,E31,E27,E16,E11)</f>
        <v>200000</v>
      </c>
      <c r="F50" s="14">
        <f>SUM(F49,F41,F35,F31,F27,F16,F11)</f>
        <v>200000</v>
      </c>
      <c r="G50" s="14">
        <f>SUM(G49,G41,G35,G31,G27,G16,G11)</f>
        <v>200000</v>
      </c>
      <c r="H50" s="14">
        <f>SUM(H49,H41,H35,H31,H27,H16,H11)</f>
        <v>200000</v>
      </c>
      <c r="J50" s="14">
        <f t="shared" si="3"/>
        <v>1000000</v>
      </c>
    </row>
    <row r="51" spans="2:10" x14ac:dyDescent="0.35">
      <c r="B51" s="4"/>
      <c r="D51"/>
      <c r="E51"/>
      <c r="H51"/>
      <c r="I51"/>
      <c r="J51" t="s">
        <v>20</v>
      </c>
    </row>
    <row r="52" spans="2:10" ht="29" x14ac:dyDescent="0.35">
      <c r="B52" s="56" t="s">
        <v>40</v>
      </c>
      <c r="C52" s="15" t="s">
        <v>40</v>
      </c>
      <c r="D52" s="16"/>
      <c r="E52" s="16"/>
      <c r="F52" s="16"/>
      <c r="G52" s="16"/>
      <c r="H52" s="16"/>
      <c r="I52"/>
      <c r="J52" s="16" t="s">
        <v>20</v>
      </c>
    </row>
    <row r="53" spans="2:10" x14ac:dyDescent="0.35">
      <c r="B53" s="19"/>
      <c r="C53" s="21"/>
      <c r="D53" s="11"/>
      <c r="E53" s="8"/>
      <c r="F53" s="8"/>
      <c r="G53" s="8"/>
      <c r="H53" s="8"/>
      <c r="J53" s="13">
        <f>SUM(D53:H53)</f>
        <v>0</v>
      </c>
    </row>
    <row r="54" spans="2:10" x14ac:dyDescent="0.35">
      <c r="B54" s="19"/>
      <c r="C54" s="21"/>
      <c r="D54" s="11"/>
      <c r="E54" s="8"/>
      <c r="F54" s="8"/>
      <c r="G54" s="8"/>
      <c r="H54" s="8"/>
      <c r="J54" s="13">
        <f>SUM(D54:H54)</f>
        <v>0</v>
      </c>
    </row>
    <row r="55" spans="2:10" x14ac:dyDescent="0.35">
      <c r="B55" s="20"/>
      <c r="C55" s="7" t="s">
        <v>21</v>
      </c>
      <c r="D55" s="14">
        <f>SUM(D53:D54)</f>
        <v>0</v>
      </c>
      <c r="E55" s="14">
        <f>SUM(E53:E54)</f>
        <v>0</v>
      </c>
      <c r="F55" s="14">
        <f>SUM(F53:F54)</f>
        <v>0</v>
      </c>
      <c r="G55" s="14">
        <f>SUM(G53:G54)</f>
        <v>0</v>
      </c>
      <c r="H55" s="14">
        <f>SUM(H53:H54)</f>
        <v>0</v>
      </c>
      <c r="J55" s="14">
        <f>SUM(D55:H55)</f>
        <v>0</v>
      </c>
    </row>
    <row r="56" spans="2:10" ht="15" thickBot="1" x14ac:dyDescent="0.4">
      <c r="B56" s="4"/>
      <c r="D56"/>
      <c r="E56"/>
      <c r="H56"/>
      <c r="I56"/>
      <c r="J56" t="s">
        <v>20</v>
      </c>
    </row>
    <row r="57" spans="2:10" s="1" customFormat="1" ht="29.5" thickBot="1" x14ac:dyDescent="0.4">
      <c r="B57" s="17" t="s">
        <v>22</v>
      </c>
      <c r="C57" s="95"/>
      <c r="D57" s="96">
        <f t="shared" ref="D57:J57" si="4">SUM(D55,D50)</f>
        <v>200000</v>
      </c>
      <c r="E57" s="96">
        <f t="shared" si="4"/>
        <v>200000</v>
      </c>
      <c r="F57" s="96">
        <f t="shared" si="4"/>
        <v>200000</v>
      </c>
      <c r="G57" s="96">
        <f t="shared" si="4"/>
        <v>200000</v>
      </c>
      <c r="H57" s="96">
        <f t="shared" si="4"/>
        <v>200000</v>
      </c>
      <c r="I57" s="100">
        <f t="shared" si="4"/>
        <v>0</v>
      </c>
      <c r="J57" s="96">
        <f t="shared" si="4"/>
        <v>1000000</v>
      </c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B801D-824B-45B0-8E3F-CDFDC6615E51}">
  <sheetPr>
    <tabColor theme="9" tint="0.39997558519241921"/>
  </sheetPr>
  <dimension ref="B2:AM68"/>
  <sheetViews>
    <sheetView workbookViewId="0"/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4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5" customWidth="1"/>
    <col min="10" max="10" width="12.81640625" customWidth="1"/>
    <col min="11" max="11" width="10.1796875" customWidth="1"/>
  </cols>
  <sheetData>
    <row r="2" spans="2:39" ht="23.5" x14ac:dyDescent="0.55000000000000004">
      <c r="B2" s="26" t="s">
        <v>159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ht="29" x14ac:dyDescent="0.35">
      <c r="B7" s="56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21"/>
      <c r="D8" s="13"/>
      <c r="E8" s="13"/>
      <c r="F8" s="13"/>
      <c r="G8" s="13"/>
      <c r="H8" s="13"/>
      <c r="I8" s="28"/>
      <c r="J8" s="13">
        <f>SUM(D8:H8)</f>
        <v>0</v>
      </c>
    </row>
    <row r="9" spans="2:39" x14ac:dyDescent="0.3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3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3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J11" s="14">
        <f t="shared" si="0"/>
        <v>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3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3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3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J16" s="14">
        <f t="shared" si="2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5"/>
      <c r="D18" s="13"/>
      <c r="E18" s="9"/>
      <c r="F18" s="9"/>
      <c r="G18" s="9"/>
      <c r="H18" s="9"/>
      <c r="J18" s="13">
        <f>SUM(D18:H18)</f>
        <v>0</v>
      </c>
    </row>
    <row r="19" spans="2:10" x14ac:dyDescent="0.35">
      <c r="B19" s="19"/>
      <c r="C19" s="25"/>
      <c r="D19" s="13"/>
      <c r="E19" s="13"/>
      <c r="F19" s="13"/>
      <c r="G19" s="13"/>
      <c r="H19" s="13"/>
      <c r="I19" s="28"/>
      <c r="J19" s="13">
        <f>SUM(D19:H19)</f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/>
      <c r="J20" s="13">
        <f t="shared" ref="J20:J25" si="3">SUM(D20:H20)</f>
        <v>0</v>
      </c>
    </row>
    <row r="21" spans="2:10" x14ac:dyDescent="0.35">
      <c r="B21" s="19"/>
      <c r="C21" s="21"/>
      <c r="D21" s="13"/>
      <c r="E21" s="13"/>
      <c r="F21" s="13"/>
      <c r="G21" s="13"/>
      <c r="H21" s="13"/>
      <c r="I21" s="28"/>
      <c r="J21" s="13">
        <f t="shared" si="3"/>
        <v>0</v>
      </c>
    </row>
    <row r="22" spans="2:10" x14ac:dyDescent="0.35">
      <c r="B22" s="19"/>
      <c r="C22" s="25"/>
      <c r="D22" s="13"/>
      <c r="E22" s="13"/>
      <c r="F22" s="13"/>
      <c r="G22" s="13"/>
      <c r="H22" s="13"/>
      <c r="I22" s="28"/>
      <c r="J22" s="13">
        <f t="shared" si="3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/>
      <c r="J23" s="13">
        <f t="shared" si="3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/>
      <c r="J24" s="13">
        <f t="shared" si="3"/>
        <v>0</v>
      </c>
    </row>
    <row r="25" spans="2:10" x14ac:dyDescent="0.35">
      <c r="B25" s="19"/>
      <c r="C25" s="21"/>
      <c r="D25" s="13"/>
      <c r="E25" s="13"/>
      <c r="F25" s="13"/>
      <c r="G25" s="13"/>
      <c r="H25" s="13"/>
      <c r="I25" s="28"/>
      <c r="J25" s="13">
        <f t="shared" si="3"/>
        <v>0</v>
      </c>
    </row>
    <row r="26" spans="2:10" x14ac:dyDescent="0.35">
      <c r="B26" s="19"/>
      <c r="C26" s="7" t="s">
        <v>14</v>
      </c>
      <c r="D26" s="14">
        <f>SUM(D19:D25)</f>
        <v>0</v>
      </c>
      <c r="E26" s="14">
        <f t="shared" ref="E26:H26" si="4">SUM(E19:E25)</f>
        <v>0</v>
      </c>
      <c r="F26" s="14">
        <f t="shared" si="4"/>
        <v>0</v>
      </c>
      <c r="G26" s="14">
        <f t="shared" si="4"/>
        <v>0</v>
      </c>
      <c r="H26" s="14">
        <f t="shared" si="4"/>
        <v>0</v>
      </c>
      <c r="J26" s="14">
        <f>SUM(J18:J25)</f>
        <v>0</v>
      </c>
    </row>
    <row r="27" spans="2:10" x14ac:dyDescent="0.35">
      <c r="B27" s="19"/>
      <c r="C27" s="12" t="s">
        <v>34</v>
      </c>
      <c r="D27" s="13"/>
      <c r="E27" s="8"/>
      <c r="F27" s="8"/>
      <c r="G27" s="8"/>
      <c r="H27" s="8"/>
      <c r="J27" s="13" t="s">
        <v>20</v>
      </c>
    </row>
    <row r="28" spans="2:10" x14ac:dyDescent="0.35">
      <c r="B28" s="19"/>
      <c r="C28" s="21"/>
      <c r="D28" s="13"/>
      <c r="E28" s="8"/>
      <c r="F28" s="8"/>
      <c r="G28" s="8"/>
      <c r="H28" s="8"/>
      <c r="J28" s="13">
        <f>SUM(D28:H28)</f>
        <v>0</v>
      </c>
    </row>
    <row r="29" spans="2:10" x14ac:dyDescent="0.35">
      <c r="B29" s="19" t="s">
        <v>35</v>
      </c>
      <c r="C29" s="24" t="s">
        <v>35</v>
      </c>
      <c r="D29" s="11" t="s">
        <v>31</v>
      </c>
      <c r="E29" s="8"/>
      <c r="F29" s="8"/>
      <c r="G29" s="8"/>
      <c r="H29" s="8"/>
      <c r="J29" s="13">
        <f t="shared" ref="J29:J46" si="5">SUM(D29:H29)</f>
        <v>0</v>
      </c>
    </row>
    <row r="30" spans="2:10" x14ac:dyDescent="0.35">
      <c r="B30" s="19"/>
      <c r="C30" s="7" t="s">
        <v>15</v>
      </c>
      <c r="D30" s="10">
        <f>SUM(D28:D29)</f>
        <v>0</v>
      </c>
      <c r="E30" s="10">
        <f t="shared" ref="E30:H30" si="6">SUM(E28:E29)</f>
        <v>0</v>
      </c>
      <c r="F30" s="10">
        <f t="shared" si="6"/>
        <v>0</v>
      </c>
      <c r="G30" s="10">
        <f t="shared" si="6"/>
        <v>0</v>
      </c>
      <c r="H30" s="10">
        <f t="shared" si="6"/>
        <v>0</v>
      </c>
      <c r="J30" s="14">
        <f>SUM(J28:J29)</f>
        <v>0</v>
      </c>
    </row>
    <row r="31" spans="2:10" x14ac:dyDescent="0.35">
      <c r="B31" s="19"/>
      <c r="C31" s="12" t="s">
        <v>36</v>
      </c>
      <c r="D31" s="11" t="s">
        <v>31</v>
      </c>
      <c r="E31" s="8"/>
      <c r="F31" s="8"/>
      <c r="G31" s="8"/>
      <c r="H31" s="8"/>
      <c r="J31" s="13"/>
    </row>
    <row r="32" spans="2:10" x14ac:dyDescent="0.35">
      <c r="B32" s="19"/>
      <c r="C32" s="21"/>
      <c r="D32" s="13"/>
      <c r="E32" s="13"/>
      <c r="F32" s="13"/>
      <c r="G32" s="13"/>
      <c r="H32" s="13"/>
      <c r="I32" s="28"/>
      <c r="J32" s="13">
        <f t="shared" si="5"/>
        <v>0</v>
      </c>
    </row>
    <row r="33" spans="2:10" x14ac:dyDescent="0.35">
      <c r="B33" s="19"/>
      <c r="C33" s="21"/>
      <c r="D33" s="13"/>
      <c r="E33" s="9"/>
      <c r="F33" s="9"/>
      <c r="G33" s="9"/>
      <c r="H33" s="9"/>
      <c r="J33" s="13">
        <f t="shared" si="5"/>
        <v>0</v>
      </c>
    </row>
    <row r="34" spans="2:10" x14ac:dyDescent="0.35">
      <c r="B34" s="19"/>
      <c r="C34" s="7" t="s">
        <v>16</v>
      </c>
      <c r="D34" s="14">
        <f>SUM(D32:D33)</f>
        <v>0</v>
      </c>
      <c r="E34" s="14">
        <f t="shared" ref="E34:H34" si="7">SUM(E32:E33)</f>
        <v>0</v>
      </c>
      <c r="F34" s="14">
        <f t="shared" si="7"/>
        <v>0</v>
      </c>
      <c r="G34" s="14">
        <f t="shared" si="7"/>
        <v>0</v>
      </c>
      <c r="H34" s="14">
        <f t="shared" si="7"/>
        <v>0</v>
      </c>
      <c r="J34" s="14">
        <f>SUM(J32:J33)</f>
        <v>0</v>
      </c>
    </row>
    <row r="35" spans="2:10" x14ac:dyDescent="0.35">
      <c r="B35" s="19"/>
      <c r="C35" s="12" t="s">
        <v>38</v>
      </c>
      <c r="D35" s="11" t="s">
        <v>31</v>
      </c>
      <c r="E35" s="8"/>
      <c r="F35" s="8"/>
      <c r="G35" s="8"/>
      <c r="H35" s="8"/>
      <c r="J35" s="13"/>
    </row>
    <row r="36" spans="2:10" ht="29" x14ac:dyDescent="0.35">
      <c r="B36" s="19"/>
      <c r="C36" s="97" t="s">
        <v>64</v>
      </c>
      <c r="D36" s="98">
        <v>12500</v>
      </c>
      <c r="E36" s="98"/>
      <c r="F36" s="98"/>
      <c r="G36" s="98"/>
      <c r="H36" s="98"/>
      <c r="I36" s="99"/>
      <c r="J36" s="98">
        <f t="shared" si="5"/>
        <v>12500</v>
      </c>
    </row>
    <row r="37" spans="2:10" ht="29" x14ac:dyDescent="0.35">
      <c r="B37" s="19"/>
      <c r="C37" s="97" t="s">
        <v>65</v>
      </c>
      <c r="D37" s="98">
        <v>30000</v>
      </c>
      <c r="E37" s="98"/>
      <c r="F37" s="98"/>
      <c r="G37" s="98"/>
      <c r="H37" s="98"/>
      <c r="I37" s="99"/>
      <c r="J37" s="98">
        <f t="shared" si="5"/>
        <v>30000</v>
      </c>
    </row>
    <row r="38" spans="2:10" x14ac:dyDescent="0.35">
      <c r="B38" s="19"/>
      <c r="C38" s="97"/>
      <c r="D38" s="98"/>
      <c r="E38" s="98"/>
      <c r="F38" s="98"/>
      <c r="G38" s="98"/>
      <c r="H38" s="98"/>
      <c r="I38" s="99"/>
      <c r="J38" s="98">
        <f t="shared" si="5"/>
        <v>0</v>
      </c>
    </row>
    <row r="39" spans="2:10" x14ac:dyDescent="0.35">
      <c r="B39" s="19"/>
      <c r="C39" s="97"/>
      <c r="D39" s="98"/>
      <c r="E39" s="101"/>
      <c r="F39" s="101"/>
      <c r="G39" s="101"/>
      <c r="H39" s="101"/>
      <c r="I39" s="100"/>
      <c r="J39" s="98">
        <f t="shared" si="5"/>
        <v>0</v>
      </c>
    </row>
    <row r="40" spans="2:10" x14ac:dyDescent="0.35">
      <c r="B40" s="19"/>
      <c r="C40" s="116" t="s">
        <v>17</v>
      </c>
      <c r="D40" s="103">
        <f>SUM(D36:D39)</f>
        <v>42500</v>
      </c>
      <c r="E40" s="103">
        <f t="shared" ref="E40:H40" si="8">SUM(E36:E39)</f>
        <v>0</v>
      </c>
      <c r="F40" s="103">
        <f t="shared" si="8"/>
        <v>0</v>
      </c>
      <c r="G40" s="103">
        <f t="shared" si="8"/>
        <v>0</v>
      </c>
      <c r="H40" s="103">
        <f t="shared" si="8"/>
        <v>0</v>
      </c>
      <c r="I40" s="100"/>
      <c r="J40" s="103">
        <f>SUM(J36:J39)</f>
        <v>42500</v>
      </c>
    </row>
    <row r="41" spans="2:10" x14ac:dyDescent="0.35">
      <c r="B41" s="19"/>
      <c r="C41" s="12" t="s">
        <v>39</v>
      </c>
      <c r="D41" s="11" t="s">
        <v>31</v>
      </c>
      <c r="E41" s="8"/>
      <c r="F41" s="8"/>
      <c r="G41" s="8"/>
      <c r="H41" s="8"/>
      <c r="J41" s="13"/>
    </row>
    <row r="42" spans="2:10" x14ac:dyDescent="0.35">
      <c r="B42" s="19"/>
      <c r="C42" s="21"/>
      <c r="D42" s="13"/>
      <c r="E42" s="37"/>
      <c r="F42" s="37"/>
      <c r="G42" s="37"/>
      <c r="H42" s="37"/>
      <c r="J42" s="13">
        <f t="shared" si="5"/>
        <v>0</v>
      </c>
    </row>
    <row r="43" spans="2:10" x14ac:dyDescent="0.35">
      <c r="B43" s="19"/>
      <c r="C43" s="21"/>
      <c r="D43" s="13"/>
      <c r="E43" s="49"/>
      <c r="F43" s="49"/>
      <c r="G43" s="49"/>
      <c r="H43" s="49"/>
      <c r="J43" s="13">
        <f t="shared" si="5"/>
        <v>0</v>
      </c>
    </row>
    <row r="44" spans="2:10" x14ac:dyDescent="0.35">
      <c r="B44" s="19"/>
      <c r="C44" s="8"/>
      <c r="D44" s="13"/>
      <c r="E44" s="9"/>
      <c r="F44" s="9"/>
      <c r="G44" s="9"/>
      <c r="H44" s="9"/>
      <c r="J44" s="13">
        <f t="shared" si="5"/>
        <v>0</v>
      </c>
    </row>
    <row r="45" spans="2:10" x14ac:dyDescent="0.35">
      <c r="B45" s="20"/>
      <c r="C45" s="7" t="s">
        <v>18</v>
      </c>
      <c r="D45" s="14">
        <f>SUM(D42:D44)</f>
        <v>0</v>
      </c>
      <c r="E45" s="14">
        <f>SUM(E42:E44)</f>
        <v>0</v>
      </c>
      <c r="F45" s="14">
        <f>SUM(F42:F44)</f>
        <v>0</v>
      </c>
      <c r="G45" s="14">
        <f>SUM(G42:G44)</f>
        <v>0</v>
      </c>
      <c r="H45" s="14">
        <f>SUM(H42:H44)</f>
        <v>0</v>
      </c>
      <c r="J45" s="14">
        <f>SUM(J42:J44)</f>
        <v>0</v>
      </c>
    </row>
    <row r="46" spans="2:10" x14ac:dyDescent="0.35">
      <c r="B46" s="20"/>
      <c r="C46" s="7" t="s">
        <v>19</v>
      </c>
      <c r="D46" s="14">
        <f>SUM(D45,D40,D34,D30,D26,D16,D11)</f>
        <v>42500</v>
      </c>
      <c r="E46" s="14">
        <f>SUM(E45,E40,E34,E30,E26,E16,E11)</f>
        <v>0</v>
      </c>
      <c r="F46" s="14">
        <f>SUM(F45,F40,F34,F30,F26,F16,F11)</f>
        <v>0</v>
      </c>
      <c r="G46" s="14">
        <f>SUM(G45,G40,G34,G30,G26,G16,G11)</f>
        <v>0</v>
      </c>
      <c r="H46" s="14">
        <f>SUM(H45,H40,H34,H30,H26,H16,H11)</f>
        <v>0</v>
      </c>
      <c r="J46" s="14">
        <f t="shared" si="5"/>
        <v>42500</v>
      </c>
    </row>
    <row r="47" spans="2:10" x14ac:dyDescent="0.35">
      <c r="B47" s="4"/>
      <c r="D47"/>
      <c r="E47"/>
      <c r="H47"/>
      <c r="I47"/>
      <c r="J47" t="s">
        <v>20</v>
      </c>
    </row>
    <row r="48" spans="2:10" ht="29" x14ac:dyDescent="0.35">
      <c r="B48" s="56" t="s">
        <v>40</v>
      </c>
      <c r="C48" s="15" t="s">
        <v>40</v>
      </c>
      <c r="D48" s="16"/>
      <c r="E48" s="16"/>
      <c r="F48" s="16"/>
      <c r="G48" s="16"/>
      <c r="H48" s="16"/>
      <c r="I48"/>
      <c r="J48" s="16" t="s">
        <v>20</v>
      </c>
    </row>
    <row r="49" spans="2:10" x14ac:dyDescent="0.35">
      <c r="B49" s="19"/>
      <c r="C49" s="21"/>
      <c r="D49" s="11"/>
      <c r="E49" s="8"/>
      <c r="F49" s="8"/>
      <c r="G49" s="8"/>
      <c r="H49" s="8"/>
      <c r="J49" s="13">
        <f>SUM(D49:H49)</f>
        <v>0</v>
      </c>
    </row>
    <row r="50" spans="2:10" x14ac:dyDescent="0.35">
      <c r="B50" s="19"/>
      <c r="C50" s="21"/>
      <c r="D50" s="11"/>
      <c r="E50" s="8"/>
      <c r="F50" s="8"/>
      <c r="G50" s="8"/>
      <c r="H50" s="8"/>
      <c r="J50" s="13">
        <f t="shared" ref="J50" si="9">SUM(D50:H50)</f>
        <v>0</v>
      </c>
    </row>
    <row r="51" spans="2:10" x14ac:dyDescent="0.35">
      <c r="B51" s="20"/>
      <c r="C51" s="7" t="s">
        <v>21</v>
      </c>
      <c r="D51" s="14">
        <f>SUM(D49:D50)</f>
        <v>0</v>
      </c>
      <c r="E51" s="14">
        <f t="shared" ref="E51:H51" si="10">SUM(E49:E50)</f>
        <v>0</v>
      </c>
      <c r="F51" s="14">
        <f t="shared" si="10"/>
        <v>0</v>
      </c>
      <c r="G51" s="14">
        <f t="shared" si="10"/>
        <v>0</v>
      </c>
      <c r="H51" s="14">
        <f t="shared" si="10"/>
        <v>0</v>
      </c>
      <c r="J51" s="14">
        <f>SUM(J49:J50)</f>
        <v>0</v>
      </c>
    </row>
    <row r="52" spans="2:10" ht="15" thickBot="1" x14ac:dyDescent="0.4">
      <c r="B52" s="4"/>
      <c r="D52"/>
      <c r="E52"/>
      <c r="H52"/>
      <c r="I52"/>
      <c r="J52" t="s">
        <v>20</v>
      </c>
    </row>
    <row r="53" spans="2:10" s="1" customFormat="1" ht="29.5" thickBot="1" x14ac:dyDescent="0.4">
      <c r="B53" s="17" t="s">
        <v>22</v>
      </c>
      <c r="C53" s="95"/>
      <c r="D53" s="96">
        <f>SUM(D51,D46)</f>
        <v>42500</v>
      </c>
      <c r="E53" s="96">
        <f t="shared" ref="E53:J53" si="11">SUM(E51,E46)</f>
        <v>0</v>
      </c>
      <c r="F53" s="96">
        <f t="shared" si="11"/>
        <v>0</v>
      </c>
      <c r="G53" s="96">
        <f t="shared" si="11"/>
        <v>0</v>
      </c>
      <c r="H53" s="96">
        <f t="shared" si="11"/>
        <v>0</v>
      </c>
      <c r="I53" s="100"/>
      <c r="J53" s="96">
        <f t="shared" si="11"/>
        <v>42500</v>
      </c>
    </row>
    <row r="54" spans="2:10" x14ac:dyDescent="0.35">
      <c r="B54" s="4"/>
    </row>
    <row r="55" spans="2:10" x14ac:dyDescent="0.35">
      <c r="B55" s="4"/>
    </row>
    <row r="56" spans="2:10" x14ac:dyDescent="0.35">
      <c r="B56" s="4"/>
    </row>
    <row r="57" spans="2:10" x14ac:dyDescent="0.35">
      <c r="B57" s="4"/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C0AC9B-4610-435D-A70C-5EDBE29B13AC}">
  <sheetPr>
    <tabColor theme="9" tint="0.39997558519241921"/>
  </sheetPr>
  <dimension ref="B2:AM72"/>
  <sheetViews>
    <sheetView workbookViewId="0"/>
  </sheetViews>
  <sheetFormatPr defaultColWidth="9.1796875" defaultRowHeight="14.5" x14ac:dyDescent="0.35"/>
  <cols>
    <col min="1" max="1" width="3.1796875" customWidth="1"/>
    <col min="2" max="2" width="10" customWidth="1"/>
    <col min="3" max="3" width="46.81640625" customWidth="1"/>
    <col min="4" max="4" width="12.81640625" style="4" customWidth="1"/>
    <col min="5" max="5" width="12.453125" style="2" customWidth="1"/>
    <col min="6" max="6" width="12.81640625" customWidth="1"/>
    <col min="7" max="7" width="12.453125" customWidth="1"/>
    <col min="8" max="8" width="12.81640625" style="2" customWidth="1"/>
    <col min="9" max="9" width="0.81640625" style="5" customWidth="1"/>
    <col min="10" max="10" width="12.81640625" bestFit="1" customWidth="1"/>
    <col min="11" max="11" width="10.1796875" customWidth="1"/>
  </cols>
  <sheetData>
    <row r="2" spans="2:39" ht="23.5" x14ac:dyDescent="0.55000000000000004">
      <c r="B2" s="26" t="s">
        <v>160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21"/>
      <c r="D8" s="13"/>
      <c r="E8" s="13"/>
      <c r="F8" s="13"/>
      <c r="G8" s="13"/>
      <c r="H8" s="13"/>
      <c r="I8" s="28">
        <v>450000</v>
      </c>
      <c r="J8" s="13">
        <f>SUM(D8:H8)</f>
        <v>0</v>
      </c>
    </row>
    <row r="9" spans="2:39" x14ac:dyDescent="0.3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3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3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I11" s="5">
        <f t="shared" si="0"/>
        <v>450000</v>
      </c>
      <c r="J11" s="14">
        <f t="shared" si="0"/>
        <v>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3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3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3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I16" s="5">
        <f t="shared" si="2"/>
        <v>0</v>
      </c>
      <c r="J16" s="14">
        <f t="shared" si="2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1"/>
      <c r="E18" s="8"/>
      <c r="F18" s="8"/>
      <c r="G18" s="8"/>
      <c r="H18" s="8"/>
      <c r="J18" s="13">
        <f t="shared" ref="J18:J19" si="3">SUM(D18:H18)</f>
        <v>0</v>
      </c>
    </row>
    <row r="19" spans="2:10" x14ac:dyDescent="0.35">
      <c r="B19" s="19"/>
      <c r="C19" s="25"/>
      <c r="D19" s="13" t="s">
        <v>35</v>
      </c>
      <c r="E19" s="9" t="s">
        <v>35</v>
      </c>
      <c r="F19" s="9" t="s">
        <v>35</v>
      </c>
      <c r="G19" s="9"/>
      <c r="H19" s="9"/>
      <c r="J19" s="13">
        <f t="shared" si="3"/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>
        <v>2000</v>
      </c>
      <c r="J20" s="13">
        <f>SUM(D20:H20)</f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250</v>
      </c>
      <c r="J21" s="13">
        <f t="shared" ref="J21:J26" si="4">SUM(D21:H21)</f>
        <v>0</v>
      </c>
    </row>
    <row r="22" spans="2:10" x14ac:dyDescent="0.35">
      <c r="B22" s="19"/>
      <c r="C22" s="21"/>
      <c r="D22" s="13"/>
      <c r="E22" s="13"/>
      <c r="F22" s="13"/>
      <c r="G22" s="13"/>
      <c r="H22" s="13"/>
      <c r="I22" s="28">
        <v>2250</v>
      </c>
      <c r="J22" s="13">
        <f t="shared" si="4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>
        <v>1243</v>
      </c>
      <c r="J23" s="13">
        <f t="shared" si="4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225</v>
      </c>
      <c r="J24" s="13">
        <f t="shared" si="4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400</v>
      </c>
      <c r="J25" s="13">
        <f t="shared" si="4"/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1638</v>
      </c>
      <c r="J26" s="13">
        <f t="shared" si="4"/>
        <v>0</v>
      </c>
    </row>
    <row r="27" spans="2:10" x14ac:dyDescent="0.35">
      <c r="B27" s="19"/>
      <c r="C27" s="7" t="s">
        <v>14</v>
      </c>
      <c r="D27" s="14">
        <f>SUM(D20:D26)</f>
        <v>0</v>
      </c>
      <c r="E27" s="14">
        <f t="shared" ref="E27:H27" si="5">SUM(E20:E26)</f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J27" s="14">
        <f>SUM(D27:H27)</f>
        <v>0</v>
      </c>
    </row>
    <row r="28" spans="2:10" x14ac:dyDescent="0.35">
      <c r="B28" s="19"/>
      <c r="C28" s="12" t="s">
        <v>34</v>
      </c>
      <c r="D28" s="13"/>
      <c r="E28" s="8"/>
      <c r="F28" s="8"/>
      <c r="G28" s="8"/>
      <c r="H28" s="8"/>
      <c r="J28" s="13" t="s">
        <v>20</v>
      </c>
    </row>
    <row r="29" spans="2:10" x14ac:dyDescent="0.35">
      <c r="B29" s="19"/>
      <c r="C29" s="21"/>
      <c r="D29" s="13"/>
      <c r="E29" s="8"/>
      <c r="F29" s="8"/>
      <c r="G29" s="8"/>
      <c r="H29" s="8"/>
      <c r="J29" s="13">
        <f>SUM(D29:H29)</f>
        <v>0</v>
      </c>
    </row>
    <row r="30" spans="2:10" x14ac:dyDescent="0.35">
      <c r="B30" s="19" t="s">
        <v>35</v>
      </c>
      <c r="C30" s="24" t="s">
        <v>35</v>
      </c>
      <c r="D30" s="11" t="s">
        <v>31</v>
      </c>
      <c r="E30" s="8"/>
      <c r="F30" s="8"/>
      <c r="G30" s="8"/>
      <c r="H30" s="8"/>
      <c r="J30" s="13">
        <f t="shared" ref="J30:J50" si="6">SUM(D30:H30)</f>
        <v>0</v>
      </c>
    </row>
    <row r="31" spans="2:10" x14ac:dyDescent="0.35">
      <c r="B31" s="19"/>
      <c r="C31" s="7" t="s">
        <v>15</v>
      </c>
      <c r="D31" s="10">
        <f>SUM(D29:D30)</f>
        <v>0</v>
      </c>
      <c r="E31" s="10">
        <f t="shared" ref="E31:H31" si="7">SUM(E29:E30)</f>
        <v>0</v>
      </c>
      <c r="F31" s="10">
        <f t="shared" si="7"/>
        <v>0</v>
      </c>
      <c r="G31" s="10">
        <f t="shared" si="7"/>
        <v>0</v>
      </c>
      <c r="H31" s="10">
        <f t="shared" si="7"/>
        <v>0</v>
      </c>
      <c r="J31" s="14">
        <f t="shared" si="6"/>
        <v>0</v>
      </c>
    </row>
    <row r="32" spans="2:10" x14ac:dyDescent="0.35">
      <c r="B32" s="19"/>
      <c r="C32" s="12" t="s">
        <v>36</v>
      </c>
      <c r="D32" s="11" t="s">
        <v>31</v>
      </c>
      <c r="E32" s="8"/>
      <c r="F32" s="8"/>
      <c r="G32" s="8"/>
      <c r="H32" s="8"/>
      <c r="J32" s="13"/>
    </row>
    <row r="33" spans="2:10" x14ac:dyDescent="0.35">
      <c r="B33" s="19"/>
      <c r="C33" s="21"/>
      <c r="D33" s="13"/>
      <c r="E33" s="13"/>
      <c r="F33" s="13"/>
      <c r="G33" s="13"/>
      <c r="H33" s="13"/>
      <c r="I33" s="28">
        <v>5000</v>
      </c>
      <c r="J33" s="13">
        <f t="shared" si="6"/>
        <v>0</v>
      </c>
    </row>
    <row r="34" spans="2:10" x14ac:dyDescent="0.35">
      <c r="B34" s="19"/>
      <c r="C34" s="21"/>
      <c r="D34" s="13"/>
      <c r="E34" s="9"/>
      <c r="F34" s="9"/>
      <c r="G34" s="9"/>
      <c r="H34" s="9"/>
      <c r="J34" s="13">
        <f t="shared" si="6"/>
        <v>0</v>
      </c>
    </row>
    <row r="35" spans="2:10" x14ac:dyDescent="0.35">
      <c r="B35" s="19"/>
      <c r="C35" s="7" t="s">
        <v>16</v>
      </c>
      <c r="D35" s="14">
        <f>SUM(D33:D34)</f>
        <v>0</v>
      </c>
      <c r="E35" s="14">
        <f t="shared" ref="E35:H35" si="8">SUM(E33:E34)</f>
        <v>0</v>
      </c>
      <c r="F35" s="14">
        <f t="shared" si="8"/>
        <v>0</v>
      </c>
      <c r="G35" s="14">
        <f t="shared" si="8"/>
        <v>0</v>
      </c>
      <c r="H35" s="14">
        <f t="shared" si="8"/>
        <v>0</v>
      </c>
      <c r="J35" s="14">
        <f t="shared" si="6"/>
        <v>0</v>
      </c>
    </row>
    <row r="36" spans="2:10" x14ac:dyDescent="0.35">
      <c r="B36" s="19"/>
      <c r="C36" s="12" t="s">
        <v>38</v>
      </c>
      <c r="D36" s="11" t="s">
        <v>31</v>
      </c>
      <c r="E36" s="8"/>
      <c r="F36" s="8"/>
      <c r="G36" s="8"/>
      <c r="H36" s="8"/>
      <c r="J36" s="13"/>
    </row>
    <row r="37" spans="2:10" ht="116" x14ac:dyDescent="0.35">
      <c r="B37" s="19"/>
      <c r="C37" s="97" t="s">
        <v>133</v>
      </c>
      <c r="D37" s="98">
        <f>(522*0.5*1000*1.1)+(522*0.5*1500*1.1)</f>
        <v>717750</v>
      </c>
      <c r="E37" s="98">
        <f>(652*0.5*1000*1.1)+(652*0.5*1500*1.1)</f>
        <v>896500</v>
      </c>
      <c r="F37" s="98">
        <f>(652*0.5*1000*1.1)+(652*0.5*1500*1.1)</f>
        <v>896500</v>
      </c>
      <c r="G37" s="98">
        <f>(391*0.5*1000*1.1)+(391*0.5*1500*1.1)</f>
        <v>537625</v>
      </c>
      <c r="H37" s="98">
        <f>(391*0.5*1000*1.1)+(391*0.5*1500*1.1)</f>
        <v>537625</v>
      </c>
      <c r="I37" s="99">
        <v>5106000</v>
      </c>
      <c r="J37" s="98">
        <f t="shared" si="6"/>
        <v>3586000</v>
      </c>
    </row>
    <row r="38" spans="2:10" ht="87" x14ac:dyDescent="0.35">
      <c r="B38" s="19"/>
      <c r="C38" s="97" t="s">
        <v>66</v>
      </c>
      <c r="D38" s="98">
        <f>(522*150*1.1)</f>
        <v>86130</v>
      </c>
      <c r="E38" s="98">
        <f>(652*150*1.1)</f>
        <v>107580.00000000001</v>
      </c>
      <c r="F38" s="98">
        <f>(652*150*1.1)</f>
        <v>107580.00000000001</v>
      </c>
      <c r="G38" s="98">
        <f>(391*150*1.1)</f>
        <v>64515.000000000007</v>
      </c>
      <c r="H38" s="98">
        <f>(391*150*1.1)</f>
        <v>64515.000000000007</v>
      </c>
      <c r="I38" s="99">
        <v>22500000</v>
      </c>
      <c r="J38" s="98">
        <f t="shared" si="6"/>
        <v>430320</v>
      </c>
    </row>
    <row r="39" spans="2:10" x14ac:dyDescent="0.35">
      <c r="B39" s="19"/>
      <c r="C39" s="97"/>
      <c r="D39" s="98"/>
      <c r="E39" s="98"/>
      <c r="F39" s="98"/>
      <c r="G39" s="98"/>
      <c r="H39" s="98"/>
      <c r="I39" s="99">
        <v>75000000</v>
      </c>
      <c r="J39" s="98">
        <f t="shared" si="6"/>
        <v>0</v>
      </c>
    </row>
    <row r="40" spans="2:10" x14ac:dyDescent="0.35">
      <c r="B40" s="19"/>
      <c r="C40" s="97"/>
      <c r="D40" s="98"/>
      <c r="E40" s="101"/>
      <c r="F40" s="101"/>
      <c r="G40" s="101"/>
      <c r="H40" s="101"/>
      <c r="I40" s="100"/>
      <c r="J40" s="98">
        <f t="shared" si="6"/>
        <v>0</v>
      </c>
    </row>
    <row r="41" spans="2:10" x14ac:dyDescent="0.35">
      <c r="B41" s="19"/>
      <c r="C41" s="116" t="s">
        <v>46</v>
      </c>
      <c r="D41" s="103">
        <f>SUM(D37:D40)</f>
        <v>803880</v>
      </c>
      <c r="E41" s="103">
        <f t="shared" ref="E41:H41" si="9">SUM(E37:E40)</f>
        <v>1004080</v>
      </c>
      <c r="F41" s="103">
        <f t="shared" si="9"/>
        <v>1004080</v>
      </c>
      <c r="G41" s="103">
        <f t="shared" si="9"/>
        <v>602140</v>
      </c>
      <c r="H41" s="103">
        <f t="shared" si="9"/>
        <v>602140</v>
      </c>
      <c r="I41" s="100"/>
      <c r="J41" s="103">
        <f t="shared" si="6"/>
        <v>4016320</v>
      </c>
    </row>
    <row r="42" spans="2:10" x14ac:dyDescent="0.35">
      <c r="B42" s="19"/>
      <c r="C42" s="12" t="s">
        <v>47</v>
      </c>
      <c r="D42" s="11" t="s">
        <v>31</v>
      </c>
      <c r="E42" s="8"/>
      <c r="F42" s="8"/>
      <c r="G42" s="8"/>
      <c r="H42" s="8"/>
      <c r="J42" s="13"/>
    </row>
    <row r="43" spans="2:10" x14ac:dyDescent="0.35">
      <c r="B43" s="19"/>
      <c r="C43" s="21"/>
      <c r="D43" s="13"/>
      <c r="E43" s="13"/>
      <c r="F43" s="13"/>
      <c r="G43" s="13"/>
      <c r="H43" s="13"/>
      <c r="I43" s="28">
        <v>375000</v>
      </c>
      <c r="J43" s="13">
        <f t="shared" si="6"/>
        <v>0</v>
      </c>
    </row>
    <row r="44" spans="2:10" x14ac:dyDescent="0.35">
      <c r="B44" s="19"/>
      <c r="C44" s="21"/>
      <c r="D44" s="13"/>
      <c r="E44" s="13"/>
      <c r="F44" s="13"/>
      <c r="G44" s="13"/>
      <c r="H44" s="13"/>
      <c r="I44" s="28">
        <v>781250</v>
      </c>
      <c r="J44" s="13">
        <f t="shared" si="6"/>
        <v>0</v>
      </c>
    </row>
    <row r="45" spans="2:10" x14ac:dyDescent="0.35">
      <c r="B45" s="19"/>
      <c r="C45" s="21"/>
      <c r="D45" s="13"/>
      <c r="E45" s="13"/>
      <c r="F45" s="13"/>
      <c r="G45" s="13"/>
      <c r="H45" s="13"/>
      <c r="I45" s="28">
        <v>2083335</v>
      </c>
      <c r="J45" s="13">
        <f t="shared" si="6"/>
        <v>0</v>
      </c>
    </row>
    <row r="46" spans="2:10" x14ac:dyDescent="0.35">
      <c r="B46" s="19"/>
      <c r="C46" s="21"/>
      <c r="D46" s="13"/>
      <c r="E46" s="9"/>
      <c r="F46" s="9"/>
      <c r="G46" s="9"/>
      <c r="H46" s="9"/>
      <c r="J46" s="13">
        <f t="shared" si="6"/>
        <v>0</v>
      </c>
    </row>
    <row r="47" spans="2:10" x14ac:dyDescent="0.35">
      <c r="B47" s="19"/>
      <c r="C47" s="21"/>
      <c r="D47" s="13"/>
      <c r="E47" s="9"/>
      <c r="F47" s="9"/>
      <c r="G47" s="9"/>
      <c r="H47" s="9"/>
      <c r="J47" s="13">
        <f t="shared" si="6"/>
        <v>0</v>
      </c>
    </row>
    <row r="48" spans="2:10" x14ac:dyDescent="0.35">
      <c r="B48" s="19"/>
      <c r="C48" s="8"/>
      <c r="D48" s="13"/>
      <c r="E48" s="9"/>
      <c r="F48" s="9"/>
      <c r="G48" s="9"/>
      <c r="H48" s="9"/>
      <c r="J48" s="13">
        <f t="shared" si="6"/>
        <v>0</v>
      </c>
    </row>
    <row r="49" spans="2:10" x14ac:dyDescent="0.35">
      <c r="B49" s="20"/>
      <c r="C49" s="7" t="s">
        <v>18</v>
      </c>
      <c r="D49" s="14">
        <f>SUM(D43:D48)</f>
        <v>0</v>
      </c>
      <c r="E49" s="14">
        <f t="shared" ref="E49:H49" si="10">SUM(E43:E48)</f>
        <v>0</v>
      </c>
      <c r="F49" s="14">
        <f t="shared" si="10"/>
        <v>0</v>
      </c>
      <c r="G49" s="14">
        <f t="shared" si="10"/>
        <v>0</v>
      </c>
      <c r="H49" s="14">
        <f t="shared" si="10"/>
        <v>0</v>
      </c>
      <c r="J49" s="14">
        <f t="shared" si="6"/>
        <v>0</v>
      </c>
    </row>
    <row r="50" spans="2:10" x14ac:dyDescent="0.35">
      <c r="B50" s="20"/>
      <c r="C50" s="7" t="s">
        <v>19</v>
      </c>
      <c r="D50" s="14">
        <f>SUM(D49,D41,D35,D31,D27,D16,D11)</f>
        <v>803880</v>
      </c>
      <c r="E50" s="14">
        <f t="shared" ref="E50:H50" si="11">SUM(E49,E41,E35,E31,E27,E16,E11)</f>
        <v>1004080</v>
      </c>
      <c r="F50" s="14">
        <f t="shared" si="11"/>
        <v>1004080</v>
      </c>
      <c r="G50" s="14">
        <f t="shared" si="11"/>
        <v>602140</v>
      </c>
      <c r="H50" s="14">
        <f t="shared" si="11"/>
        <v>602140</v>
      </c>
      <c r="J50" s="14">
        <f t="shared" si="6"/>
        <v>4016320</v>
      </c>
    </row>
    <row r="51" spans="2:10" x14ac:dyDescent="0.35">
      <c r="B51" s="4"/>
      <c r="D51"/>
      <c r="E51"/>
      <c r="H51"/>
      <c r="I51"/>
      <c r="J51" t="s">
        <v>20</v>
      </c>
    </row>
    <row r="52" spans="2:10" ht="29" x14ac:dyDescent="0.35">
      <c r="B52" s="56" t="s">
        <v>40</v>
      </c>
      <c r="C52" s="15" t="s">
        <v>40</v>
      </c>
      <c r="D52" s="16"/>
      <c r="E52" s="16"/>
      <c r="F52" s="16"/>
      <c r="G52" s="16"/>
      <c r="H52" s="16"/>
      <c r="I52"/>
      <c r="J52" s="16" t="s">
        <v>20</v>
      </c>
    </row>
    <row r="53" spans="2:10" x14ac:dyDescent="0.35">
      <c r="B53" s="19"/>
      <c r="C53" s="21"/>
      <c r="D53" s="11"/>
      <c r="E53" s="8"/>
      <c r="F53" s="8"/>
      <c r="G53" s="8"/>
      <c r="H53" s="8"/>
      <c r="J53" s="13">
        <f>SUM(D53:H53)</f>
        <v>0</v>
      </c>
    </row>
    <row r="54" spans="2:10" x14ac:dyDescent="0.35">
      <c r="B54" s="19"/>
      <c r="C54" s="21"/>
      <c r="D54" s="11"/>
      <c r="E54" s="8"/>
      <c r="F54" s="8"/>
      <c r="G54" s="8"/>
      <c r="H54" s="8"/>
      <c r="J54" s="13">
        <f t="shared" ref="J54:J55" si="12">SUM(D54:H54)</f>
        <v>0</v>
      </c>
    </row>
    <row r="55" spans="2:10" x14ac:dyDescent="0.35">
      <c r="B55" s="20"/>
      <c r="C55" s="7" t="s">
        <v>21</v>
      </c>
      <c r="D55" s="14">
        <f>SUM(D53:D54)</f>
        <v>0</v>
      </c>
      <c r="E55" s="14">
        <f t="shared" ref="E55:H55" si="13">SUM(E53:E54)</f>
        <v>0</v>
      </c>
      <c r="F55" s="14">
        <f t="shared" si="13"/>
        <v>0</v>
      </c>
      <c r="G55" s="14">
        <f t="shared" si="13"/>
        <v>0</v>
      </c>
      <c r="H55" s="14">
        <f t="shared" si="13"/>
        <v>0</v>
      </c>
      <c r="J55" s="14">
        <f t="shared" si="12"/>
        <v>0</v>
      </c>
    </row>
    <row r="56" spans="2:10" ht="15" thickBot="1" x14ac:dyDescent="0.4">
      <c r="B56" s="4"/>
      <c r="D56"/>
      <c r="E56"/>
      <c r="H56"/>
      <c r="I56"/>
      <c r="J56" t="s">
        <v>20</v>
      </c>
    </row>
    <row r="57" spans="2:10" s="1" customFormat="1" ht="29.5" thickBot="1" x14ac:dyDescent="0.4">
      <c r="B57" s="17" t="s">
        <v>22</v>
      </c>
      <c r="C57" s="95"/>
      <c r="D57" s="96">
        <f>SUM(D55,D50)</f>
        <v>803880</v>
      </c>
      <c r="E57" s="96">
        <f t="shared" ref="E57:J57" si="14">SUM(E55,E50)</f>
        <v>1004080</v>
      </c>
      <c r="F57" s="96">
        <f t="shared" si="14"/>
        <v>1004080</v>
      </c>
      <c r="G57" s="96">
        <f t="shared" si="14"/>
        <v>602140</v>
      </c>
      <c r="H57" s="96">
        <f t="shared" si="14"/>
        <v>602140</v>
      </c>
      <c r="I57" s="100">
        <f>SUM(I55,I50)</f>
        <v>0</v>
      </c>
      <c r="J57" s="96">
        <f t="shared" si="14"/>
        <v>4016320</v>
      </c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1EABE-68B5-4624-9945-538612ABE8A0}">
  <sheetPr>
    <tabColor theme="9" tint="0.39997558519241921"/>
  </sheetPr>
  <dimension ref="B2:AM70"/>
  <sheetViews>
    <sheetView workbookViewId="0">
      <selection activeCell="G25" sqref="G25"/>
    </sheetView>
  </sheetViews>
  <sheetFormatPr defaultColWidth="9.08984375" defaultRowHeight="14.5" x14ac:dyDescent="0.35"/>
  <cols>
    <col min="1" max="1" width="3.08984375" customWidth="1"/>
    <col min="2" max="2" width="10.08984375" customWidth="1"/>
    <col min="3" max="3" width="35.36328125" customWidth="1"/>
    <col min="4" max="4" width="12.36328125" style="4" customWidth="1"/>
    <col min="5" max="5" width="12.54296875" style="2" customWidth="1"/>
    <col min="6" max="6" width="12.36328125" customWidth="1"/>
    <col min="7" max="7" width="13" customWidth="1"/>
    <col min="8" max="8" width="12.36328125" style="2" customWidth="1"/>
    <col min="9" max="9" width="1.6328125" style="5" customWidth="1"/>
    <col min="10" max="10" width="12.90625" customWidth="1"/>
    <col min="11" max="11" width="13.08984375" customWidth="1"/>
  </cols>
  <sheetData>
    <row r="2" spans="2:39" ht="23.5" x14ac:dyDescent="0.55000000000000004">
      <c r="B2" s="26" t="s">
        <v>161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ht="29" x14ac:dyDescent="0.35">
      <c r="B7" s="56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x14ac:dyDescent="0.35">
      <c r="B8" s="19"/>
      <c r="C8" s="97" t="s">
        <v>67</v>
      </c>
      <c r="D8" s="98">
        <f>D57*2.5*52</f>
        <v>24984.7</v>
      </c>
      <c r="E8" s="98">
        <f t="shared" ref="E8:H8" si="0">E57*2.5*52</f>
        <v>25984.088</v>
      </c>
      <c r="F8" s="98">
        <f t="shared" si="0"/>
        <v>27023.451519999995</v>
      </c>
      <c r="G8" s="98">
        <f t="shared" si="0"/>
        <v>28104.389580800002</v>
      </c>
      <c r="H8" s="98">
        <f t="shared" si="0"/>
        <v>29228.565164031999</v>
      </c>
      <c r="I8" s="99"/>
      <c r="J8" s="98">
        <f>SUM(D8:H8)</f>
        <v>135325.19426483201</v>
      </c>
    </row>
    <row r="9" spans="2:39" ht="29" x14ac:dyDescent="0.35">
      <c r="B9" s="19"/>
      <c r="C9" s="97" t="s">
        <v>68</v>
      </c>
      <c r="D9" s="98">
        <f>D58*40</f>
        <v>5019.3728000000001</v>
      </c>
      <c r="E9" s="98">
        <f t="shared" ref="E9:H9" si="1">E58*40</f>
        <v>5220.147712</v>
      </c>
      <c r="F9" s="98">
        <f t="shared" si="1"/>
        <v>5428.9536204800006</v>
      </c>
      <c r="G9" s="98">
        <f t="shared" si="1"/>
        <v>5646.1117652992007</v>
      </c>
      <c r="H9" s="98">
        <f t="shared" si="1"/>
        <v>5871.9562359111678</v>
      </c>
      <c r="I9" s="100"/>
      <c r="J9" s="98">
        <f>SUM(D9:H9)</f>
        <v>27186.542133690367</v>
      </c>
    </row>
    <row r="10" spans="2:39" ht="29" x14ac:dyDescent="0.35">
      <c r="B10" s="19"/>
      <c r="C10" s="97" t="s">
        <v>69</v>
      </c>
      <c r="D10" s="98">
        <f>D59*10</f>
        <v>1872.9359999999999</v>
      </c>
      <c r="E10" s="98">
        <f t="shared" ref="E10:H10" si="2">E59*10</f>
        <v>1947.8534400000001</v>
      </c>
      <c r="F10" s="98">
        <f t="shared" si="2"/>
        <v>2025.7675776000001</v>
      </c>
      <c r="G10" s="98">
        <f t="shared" si="2"/>
        <v>2106.7982807040003</v>
      </c>
      <c r="H10" s="98">
        <f t="shared" si="2"/>
        <v>2191.0702119321604</v>
      </c>
      <c r="I10" s="100"/>
      <c r="J10" s="98">
        <f>SUM(D10:H10)</f>
        <v>10144.42551023616</v>
      </c>
    </row>
    <row r="11" spans="2:39" x14ac:dyDescent="0.35">
      <c r="B11" s="19"/>
      <c r="C11" s="7" t="s">
        <v>12</v>
      </c>
      <c r="D11" s="103">
        <f>SUM(D8:D10)</f>
        <v>31877.008800000003</v>
      </c>
      <c r="E11" s="103">
        <f t="shared" ref="E11:J11" si="3">SUM(E8:E10)</f>
        <v>33152.089152</v>
      </c>
      <c r="F11" s="103">
        <f t="shared" si="3"/>
        <v>34478.172718080001</v>
      </c>
      <c r="G11" s="103">
        <f t="shared" si="3"/>
        <v>35857.299626803208</v>
      </c>
      <c r="H11" s="103">
        <f t="shared" si="3"/>
        <v>37291.591611875323</v>
      </c>
      <c r="I11" s="100"/>
      <c r="J11" s="103">
        <f t="shared" si="3"/>
        <v>172656.16190875854</v>
      </c>
    </row>
    <row r="12" spans="2:39" x14ac:dyDescent="0.35">
      <c r="B12" s="19"/>
      <c r="C12" s="12" t="s">
        <v>32</v>
      </c>
      <c r="D12" s="104" t="s">
        <v>31</v>
      </c>
      <c r="E12" s="105"/>
      <c r="F12" s="105"/>
      <c r="G12" s="105"/>
      <c r="H12" s="105"/>
      <c r="I12" s="100"/>
      <c r="J12" s="106" t="s">
        <v>31</v>
      </c>
    </row>
    <row r="13" spans="2:39" x14ac:dyDescent="0.35">
      <c r="B13" s="19"/>
      <c r="C13" s="21"/>
      <c r="D13" s="98"/>
      <c r="E13" s="98"/>
      <c r="F13" s="98"/>
      <c r="G13" s="98"/>
      <c r="H13" s="98"/>
      <c r="I13" s="100"/>
      <c r="J13" s="98">
        <f>SUM(D13:H13)</f>
        <v>0</v>
      </c>
    </row>
    <row r="14" spans="2:39" x14ac:dyDescent="0.35">
      <c r="B14" s="19"/>
      <c r="C14" s="21"/>
      <c r="D14" s="98"/>
      <c r="E14" s="98"/>
      <c r="F14" s="98"/>
      <c r="G14" s="98"/>
      <c r="H14" s="98"/>
      <c r="I14" s="100"/>
      <c r="J14" s="98">
        <f t="shared" ref="J14:J15" si="4">SUM(D14:H14)</f>
        <v>0</v>
      </c>
    </row>
    <row r="15" spans="2:39" x14ac:dyDescent="0.35">
      <c r="B15" s="19"/>
      <c r="C15" s="8"/>
      <c r="D15" s="98"/>
      <c r="E15" s="101"/>
      <c r="F15" s="101"/>
      <c r="G15" s="101"/>
      <c r="H15" s="101"/>
      <c r="I15" s="100"/>
      <c r="J15" s="98">
        <f t="shared" si="4"/>
        <v>0</v>
      </c>
    </row>
    <row r="16" spans="2:39" x14ac:dyDescent="0.35">
      <c r="B16" s="19"/>
      <c r="C16" s="7" t="s">
        <v>13</v>
      </c>
      <c r="D16" s="103">
        <f>SUM(D13:D15)</f>
        <v>0</v>
      </c>
      <c r="E16" s="103">
        <f t="shared" ref="E16:J16" si="5">SUM(E13:E15)</f>
        <v>0</v>
      </c>
      <c r="F16" s="103">
        <f t="shared" si="5"/>
        <v>0</v>
      </c>
      <c r="G16" s="103">
        <f t="shared" si="5"/>
        <v>0</v>
      </c>
      <c r="H16" s="103">
        <f t="shared" si="5"/>
        <v>0</v>
      </c>
      <c r="I16" s="100"/>
      <c r="J16" s="103">
        <f t="shared" si="5"/>
        <v>0</v>
      </c>
    </row>
    <row r="17" spans="2:10" x14ac:dyDescent="0.35">
      <c r="B17" s="19"/>
      <c r="C17" s="12" t="s">
        <v>33</v>
      </c>
      <c r="D17" s="104" t="s">
        <v>31</v>
      </c>
      <c r="E17" s="105"/>
      <c r="F17" s="105"/>
      <c r="G17" s="105"/>
      <c r="H17" s="105"/>
      <c r="I17" s="100"/>
      <c r="J17" s="106" t="s">
        <v>31</v>
      </c>
    </row>
    <row r="18" spans="2:10" x14ac:dyDescent="0.35">
      <c r="B18" s="19"/>
      <c r="C18" s="97"/>
      <c r="D18" s="98"/>
      <c r="E18" s="101"/>
      <c r="F18" s="101"/>
      <c r="G18" s="101"/>
      <c r="H18" s="101"/>
      <c r="I18" s="100"/>
      <c r="J18" s="98">
        <f>SUM(D18:H18)</f>
        <v>0</v>
      </c>
    </row>
    <row r="19" spans="2:10" ht="71.5" customHeight="1" x14ac:dyDescent="0.35">
      <c r="B19" s="19"/>
      <c r="C19" s="97" t="s">
        <v>134</v>
      </c>
      <c r="D19" s="98">
        <f>0.67*60*2</f>
        <v>80.400000000000006</v>
      </c>
      <c r="E19" s="98">
        <f>0.68*60*2</f>
        <v>81.600000000000009</v>
      </c>
      <c r="F19" s="98">
        <f>0.7*60*2</f>
        <v>84</v>
      </c>
      <c r="G19" s="98">
        <f>0.71*60*2</f>
        <v>85.199999999999989</v>
      </c>
      <c r="H19" s="98">
        <f>0.73*60*2</f>
        <v>87.6</v>
      </c>
      <c r="I19" s="99"/>
      <c r="J19" s="98">
        <f>SUM(D19:H19)</f>
        <v>418.79999999999995</v>
      </c>
    </row>
    <row r="20" spans="2:10" x14ac:dyDescent="0.35">
      <c r="B20" s="19"/>
      <c r="D20" s="98"/>
      <c r="E20" s="98"/>
      <c r="F20" s="98"/>
      <c r="G20" s="98"/>
      <c r="H20" s="98"/>
      <c r="I20" s="99"/>
      <c r="J20" s="98">
        <f t="shared" ref="J20:J25" si="6">SUM(D20:H20)</f>
        <v>0</v>
      </c>
    </row>
    <row r="21" spans="2:10" x14ac:dyDescent="0.35">
      <c r="B21" s="19"/>
      <c r="C21" s="25"/>
      <c r="D21" s="98"/>
      <c r="E21" s="98"/>
      <c r="F21" s="98"/>
      <c r="G21" s="98"/>
      <c r="H21" s="98"/>
      <c r="I21" s="99"/>
      <c r="J21" s="98">
        <f t="shared" si="6"/>
        <v>0</v>
      </c>
    </row>
    <row r="22" spans="2:10" x14ac:dyDescent="0.35">
      <c r="B22" s="19"/>
      <c r="C22" s="21"/>
      <c r="D22" s="98"/>
      <c r="E22" s="98"/>
      <c r="F22" s="98"/>
      <c r="G22" s="98"/>
      <c r="H22" s="98"/>
      <c r="I22" s="99"/>
      <c r="J22" s="98">
        <f t="shared" si="6"/>
        <v>0</v>
      </c>
    </row>
    <row r="23" spans="2:10" x14ac:dyDescent="0.35">
      <c r="B23" s="19"/>
      <c r="C23" s="25"/>
      <c r="D23" s="98"/>
      <c r="E23" s="98"/>
      <c r="F23" s="98"/>
      <c r="G23" s="98"/>
      <c r="H23" s="98"/>
      <c r="I23" s="99"/>
      <c r="J23" s="98">
        <f t="shared" si="6"/>
        <v>0</v>
      </c>
    </row>
    <row r="24" spans="2:10" x14ac:dyDescent="0.35">
      <c r="B24" s="19"/>
      <c r="C24" s="25"/>
      <c r="D24" s="98"/>
      <c r="E24" s="98"/>
      <c r="F24" s="98"/>
      <c r="G24" s="98"/>
      <c r="H24" s="98"/>
      <c r="I24" s="99"/>
      <c r="J24" s="98">
        <f t="shared" si="6"/>
        <v>0</v>
      </c>
    </row>
    <row r="25" spans="2:10" x14ac:dyDescent="0.35">
      <c r="B25" s="19"/>
      <c r="C25" s="25"/>
      <c r="D25" s="98"/>
      <c r="E25" s="98"/>
      <c r="F25" s="98"/>
      <c r="G25" s="98"/>
      <c r="H25" s="98"/>
      <c r="I25" s="99"/>
      <c r="J25" s="98">
        <f t="shared" si="6"/>
        <v>0</v>
      </c>
    </row>
    <row r="26" spans="2:10" x14ac:dyDescent="0.35">
      <c r="B26" s="19"/>
      <c r="C26" s="7" t="s">
        <v>14</v>
      </c>
      <c r="D26" s="103">
        <f>SUM(D19:D25)</f>
        <v>80.400000000000006</v>
      </c>
      <c r="E26" s="103">
        <f t="shared" ref="E26:H26" si="7">SUM(E19:E25)</f>
        <v>81.600000000000009</v>
      </c>
      <c r="F26" s="103">
        <f t="shared" si="7"/>
        <v>84</v>
      </c>
      <c r="G26" s="103">
        <f t="shared" si="7"/>
        <v>85.199999999999989</v>
      </c>
      <c r="H26" s="103">
        <f t="shared" si="7"/>
        <v>87.6</v>
      </c>
      <c r="I26" s="100"/>
      <c r="J26" s="103">
        <f>SUM(J18:J25)</f>
        <v>418.79999999999995</v>
      </c>
    </row>
    <row r="27" spans="2:10" x14ac:dyDescent="0.35">
      <c r="B27" s="19"/>
      <c r="C27" s="12" t="s">
        <v>34</v>
      </c>
      <c r="D27" s="98"/>
      <c r="E27" s="105"/>
      <c r="F27" s="105"/>
      <c r="G27" s="105"/>
      <c r="H27" s="105"/>
      <c r="I27" s="100"/>
      <c r="J27" s="98" t="s">
        <v>20</v>
      </c>
    </row>
    <row r="28" spans="2:10" x14ac:dyDescent="0.35">
      <c r="B28" s="19"/>
      <c r="C28" s="21"/>
      <c r="D28" s="98"/>
      <c r="E28" s="105"/>
      <c r="F28" s="105"/>
      <c r="G28" s="105"/>
      <c r="H28" s="105"/>
      <c r="I28" s="100"/>
      <c r="J28" s="98">
        <f>SUM(D28:H28)</f>
        <v>0</v>
      </c>
    </row>
    <row r="29" spans="2:10" x14ac:dyDescent="0.35">
      <c r="B29" s="19" t="s">
        <v>35</v>
      </c>
      <c r="C29" s="24" t="s">
        <v>35</v>
      </c>
      <c r="D29" s="104" t="s">
        <v>31</v>
      </c>
      <c r="E29" s="105"/>
      <c r="F29" s="105"/>
      <c r="G29" s="105"/>
      <c r="H29" s="105"/>
      <c r="I29" s="100"/>
      <c r="J29" s="98">
        <f t="shared" ref="J29:J46" si="8">SUM(D29:H29)</f>
        <v>0</v>
      </c>
    </row>
    <row r="30" spans="2:10" x14ac:dyDescent="0.35">
      <c r="B30" s="19"/>
      <c r="C30" s="7" t="s">
        <v>15</v>
      </c>
      <c r="D30" s="107">
        <f>SUM(D28:D29)</f>
        <v>0</v>
      </c>
      <c r="E30" s="107">
        <f t="shared" ref="E30:H30" si="9">SUM(E28:E29)</f>
        <v>0</v>
      </c>
      <c r="F30" s="107">
        <f t="shared" si="9"/>
        <v>0</v>
      </c>
      <c r="G30" s="107">
        <f t="shared" si="9"/>
        <v>0</v>
      </c>
      <c r="H30" s="107">
        <f t="shared" si="9"/>
        <v>0</v>
      </c>
      <c r="I30" s="100"/>
      <c r="J30" s="103">
        <f>SUM(J28:J29)</f>
        <v>0</v>
      </c>
    </row>
    <row r="31" spans="2:10" x14ac:dyDescent="0.35">
      <c r="B31" s="19"/>
      <c r="C31" s="12" t="s">
        <v>36</v>
      </c>
      <c r="D31" s="104" t="s">
        <v>31</v>
      </c>
      <c r="E31" s="105"/>
      <c r="F31" s="105"/>
      <c r="G31" s="105"/>
      <c r="H31" s="105"/>
      <c r="I31" s="100"/>
      <c r="J31" s="98"/>
    </row>
    <row r="32" spans="2:10" x14ac:dyDescent="0.35">
      <c r="B32" s="19"/>
      <c r="C32" s="21"/>
      <c r="D32" s="98"/>
      <c r="E32" s="98"/>
      <c r="F32" s="98"/>
      <c r="G32" s="98"/>
      <c r="H32" s="98"/>
      <c r="I32" s="99"/>
      <c r="J32" s="98">
        <f t="shared" si="8"/>
        <v>0</v>
      </c>
    </row>
    <row r="33" spans="2:11" x14ac:dyDescent="0.35">
      <c r="B33" s="19"/>
      <c r="C33" s="21"/>
      <c r="D33" s="98"/>
      <c r="E33" s="101"/>
      <c r="F33" s="101"/>
      <c r="G33" s="101"/>
      <c r="H33" s="101"/>
      <c r="I33" s="100"/>
      <c r="J33" s="98">
        <f t="shared" si="8"/>
        <v>0</v>
      </c>
    </row>
    <row r="34" spans="2:11" x14ac:dyDescent="0.35">
      <c r="B34" s="19"/>
      <c r="C34" s="7" t="s">
        <v>16</v>
      </c>
      <c r="D34" s="103">
        <f>SUM(D32:D33)</f>
        <v>0</v>
      </c>
      <c r="E34" s="103">
        <f t="shared" ref="E34:H34" si="10">SUM(E32:E33)</f>
        <v>0</v>
      </c>
      <c r="F34" s="103">
        <f t="shared" si="10"/>
        <v>0</v>
      </c>
      <c r="G34" s="103">
        <f t="shared" si="10"/>
        <v>0</v>
      </c>
      <c r="H34" s="103">
        <f t="shared" si="10"/>
        <v>0</v>
      </c>
      <c r="I34" s="100"/>
      <c r="J34" s="103">
        <f>SUM(J32:J33)</f>
        <v>0</v>
      </c>
    </row>
    <row r="35" spans="2:11" x14ac:dyDescent="0.35">
      <c r="B35" s="19"/>
      <c r="C35" s="12" t="s">
        <v>38</v>
      </c>
      <c r="D35" s="104" t="s">
        <v>31</v>
      </c>
      <c r="E35" s="105"/>
      <c r="F35" s="105"/>
      <c r="G35" s="105"/>
      <c r="H35" s="105"/>
      <c r="I35" s="100"/>
      <c r="J35" s="98"/>
    </row>
    <row r="36" spans="2:11" ht="60" customHeight="1" x14ac:dyDescent="0.35">
      <c r="B36" s="19"/>
      <c r="C36" s="97" t="s">
        <v>71</v>
      </c>
      <c r="D36" s="98">
        <f>100*2*1001</f>
        <v>200200</v>
      </c>
      <c r="E36" s="98">
        <f t="shared" ref="E36:H36" si="11">100*2*1001</f>
        <v>200200</v>
      </c>
      <c r="F36" s="98">
        <f t="shared" si="11"/>
        <v>200200</v>
      </c>
      <c r="G36" s="98">
        <f t="shared" si="11"/>
        <v>200200</v>
      </c>
      <c r="H36" s="98">
        <f t="shared" si="11"/>
        <v>200200</v>
      </c>
      <c r="I36" s="99"/>
      <c r="J36" s="98">
        <f>SUM(D36:H36)</f>
        <v>1001000</v>
      </c>
    </row>
    <row r="37" spans="2:11" x14ac:dyDescent="0.35">
      <c r="B37" s="19"/>
      <c r="C37" s="21"/>
      <c r="D37" s="98"/>
      <c r="E37" s="98"/>
      <c r="F37" s="98"/>
      <c r="G37" s="98"/>
      <c r="H37" s="98"/>
      <c r="I37" s="99"/>
      <c r="J37" s="98">
        <f t="shared" si="8"/>
        <v>0</v>
      </c>
    </row>
    <row r="38" spans="2:11" x14ac:dyDescent="0.35">
      <c r="B38" s="19"/>
      <c r="C38" s="21"/>
      <c r="D38" s="98"/>
      <c r="E38" s="98"/>
      <c r="F38" s="98"/>
      <c r="G38" s="98"/>
      <c r="H38" s="98"/>
      <c r="I38" s="99"/>
      <c r="J38" s="98">
        <f t="shared" si="8"/>
        <v>0</v>
      </c>
    </row>
    <row r="39" spans="2:11" x14ac:dyDescent="0.35">
      <c r="B39" s="19"/>
      <c r="C39" s="21"/>
      <c r="D39" s="98"/>
      <c r="E39" s="101"/>
      <c r="F39" s="101"/>
      <c r="G39" s="101"/>
      <c r="H39" s="101"/>
      <c r="I39" s="100"/>
      <c r="J39" s="98">
        <f t="shared" si="8"/>
        <v>0</v>
      </c>
    </row>
    <row r="40" spans="2:11" x14ac:dyDescent="0.35">
      <c r="B40" s="19"/>
      <c r="C40" s="7" t="s">
        <v>17</v>
      </c>
      <c r="D40" s="103">
        <f>SUM(D36:D39)</f>
        <v>200200</v>
      </c>
      <c r="E40" s="103">
        <f>SUM(E36:E39)</f>
        <v>200200</v>
      </c>
      <c r="F40" s="103">
        <f>SUM(F36:F39)</f>
        <v>200200</v>
      </c>
      <c r="G40" s="103">
        <f>SUM(G36:G39)</f>
        <v>200200</v>
      </c>
      <c r="H40" s="103">
        <f>SUM(H36:H39)</f>
        <v>200200</v>
      </c>
      <c r="I40" s="100"/>
      <c r="J40" s="103">
        <f>SUM(J36:J39)</f>
        <v>1001000</v>
      </c>
    </row>
    <row r="41" spans="2:11" x14ac:dyDescent="0.35">
      <c r="B41" s="19"/>
      <c r="C41" s="12" t="s">
        <v>39</v>
      </c>
      <c r="D41" s="104" t="s">
        <v>31</v>
      </c>
      <c r="E41" s="105"/>
      <c r="F41" s="105"/>
      <c r="G41" s="105"/>
      <c r="H41" s="105"/>
      <c r="I41" s="100"/>
      <c r="J41" s="98"/>
    </row>
    <row r="42" spans="2:11" ht="58" x14ac:dyDescent="0.35">
      <c r="B42" s="19"/>
      <c r="C42" s="97" t="s">
        <v>70</v>
      </c>
      <c r="D42" s="98">
        <v>15000</v>
      </c>
      <c r="E42" s="98">
        <v>15000</v>
      </c>
      <c r="F42" s="98">
        <v>15000</v>
      </c>
      <c r="G42" s="98">
        <v>15000</v>
      </c>
      <c r="H42" s="98">
        <v>15000</v>
      </c>
      <c r="I42" s="100"/>
      <c r="J42" s="98">
        <f t="shared" si="8"/>
        <v>75000</v>
      </c>
    </row>
    <row r="43" spans="2:11" x14ac:dyDescent="0.35">
      <c r="B43" s="19"/>
      <c r="C43" s="97"/>
      <c r="I43" s="100"/>
    </row>
    <row r="44" spans="2:11" x14ac:dyDescent="0.35">
      <c r="B44" s="19"/>
      <c r="C44" s="8"/>
      <c r="D44" s="98"/>
      <c r="E44" s="101"/>
      <c r="F44" s="101"/>
      <c r="G44" s="101"/>
      <c r="H44" s="101"/>
      <c r="I44" s="100"/>
      <c r="J44" s="98">
        <f t="shared" si="8"/>
        <v>0</v>
      </c>
    </row>
    <row r="45" spans="2:11" x14ac:dyDescent="0.35">
      <c r="B45" s="20"/>
      <c r="C45" s="7" t="s">
        <v>18</v>
      </c>
      <c r="D45" s="103">
        <f>SUM(D42:D44)</f>
        <v>15000</v>
      </c>
      <c r="E45" s="103">
        <f>SUM(E42:E44)</f>
        <v>15000</v>
      </c>
      <c r="F45" s="103">
        <f>SUM(F42:F44)</f>
        <v>15000</v>
      </c>
      <c r="G45" s="103">
        <f>SUM(G42:G44)</f>
        <v>15000</v>
      </c>
      <c r="H45" s="103">
        <f>SUM(H42:H44)</f>
        <v>15000</v>
      </c>
      <c r="I45" s="100"/>
      <c r="J45" s="103">
        <f>SUM(J42:J44)</f>
        <v>75000</v>
      </c>
    </row>
    <row r="46" spans="2:11" x14ac:dyDescent="0.35">
      <c r="B46" s="20"/>
      <c r="C46" s="7" t="s">
        <v>19</v>
      </c>
      <c r="D46" s="103">
        <f>SUM(D45,D40,D34,D30,D26,D16,D11)</f>
        <v>247157.4088</v>
      </c>
      <c r="E46" s="103">
        <f>SUM(E45,E40,E34,E30,E26,E16,E11)</f>
        <v>248433.68915200001</v>
      </c>
      <c r="F46" s="103">
        <f>SUM(F45,F40,F34,F30,F26,F16,F11)</f>
        <v>249762.17271807999</v>
      </c>
      <c r="G46" s="103">
        <f>SUM(G45,G40,G34,G30,G26,G16,G11)</f>
        <v>251142.49962680321</v>
      </c>
      <c r="H46" s="103">
        <f>SUM(H45,H40,H34,H30,H26,H16,H11)</f>
        <v>252579.19161187531</v>
      </c>
      <c r="I46" s="100"/>
      <c r="J46" s="103">
        <f t="shared" si="8"/>
        <v>1249074.9619087586</v>
      </c>
      <c r="K46" s="27"/>
    </row>
    <row r="47" spans="2:11" x14ac:dyDescent="0.35">
      <c r="B47" s="4"/>
      <c r="D47" s="100"/>
      <c r="E47" s="100"/>
      <c r="F47" s="100"/>
      <c r="G47" s="100"/>
      <c r="H47" s="100"/>
      <c r="I47" s="100"/>
      <c r="J47" s="100" t="s">
        <v>20</v>
      </c>
    </row>
    <row r="48" spans="2:11" ht="29" x14ac:dyDescent="0.35">
      <c r="B48" s="56" t="s">
        <v>40</v>
      </c>
      <c r="C48" s="15" t="s">
        <v>40</v>
      </c>
      <c r="D48" s="106"/>
      <c r="E48" s="106"/>
      <c r="F48" s="106"/>
      <c r="G48" s="106"/>
      <c r="H48" s="106"/>
      <c r="I48" s="100"/>
      <c r="J48" s="106" t="s">
        <v>20</v>
      </c>
    </row>
    <row r="49" spans="2:10" x14ac:dyDescent="0.35">
      <c r="B49" s="19"/>
      <c r="C49" s="21"/>
      <c r="D49" s="104"/>
      <c r="E49" s="105"/>
      <c r="F49" s="105"/>
      <c r="G49" s="105"/>
      <c r="H49" s="105"/>
      <c r="I49" s="100"/>
      <c r="J49" s="98">
        <f>SUM(D49:H49)</f>
        <v>0</v>
      </c>
    </row>
    <row r="50" spans="2:10" x14ac:dyDescent="0.35">
      <c r="B50" s="19"/>
      <c r="C50" s="21"/>
      <c r="D50" s="104"/>
      <c r="E50" s="105"/>
      <c r="F50" s="105"/>
      <c r="G50" s="105"/>
      <c r="H50" s="105"/>
      <c r="I50" s="100"/>
      <c r="J50" s="98">
        <f t="shared" ref="J50" si="12">SUM(D50:H50)</f>
        <v>0</v>
      </c>
    </row>
    <row r="51" spans="2:10" x14ac:dyDescent="0.35">
      <c r="B51" s="20"/>
      <c r="C51" s="7" t="s">
        <v>21</v>
      </c>
      <c r="D51" s="103">
        <f>SUM(D49:D50)</f>
        <v>0</v>
      </c>
      <c r="E51" s="103">
        <f t="shared" ref="E51:H51" si="13">SUM(E49:E50)</f>
        <v>0</v>
      </c>
      <c r="F51" s="103">
        <f t="shared" si="13"/>
        <v>0</v>
      </c>
      <c r="G51" s="103">
        <f t="shared" si="13"/>
        <v>0</v>
      </c>
      <c r="H51" s="103">
        <f t="shared" si="13"/>
        <v>0</v>
      </c>
      <c r="I51" s="100"/>
      <c r="J51" s="103">
        <f>SUM(J49:J50)</f>
        <v>0</v>
      </c>
    </row>
    <row r="52" spans="2:10" ht="15" thickBot="1" x14ac:dyDescent="0.4">
      <c r="B52" s="4"/>
      <c r="D52" s="100"/>
      <c r="E52" s="100"/>
      <c r="F52" s="100"/>
      <c r="G52" s="100"/>
      <c r="H52" s="100"/>
      <c r="I52" s="100"/>
      <c r="J52" s="100" t="s">
        <v>20</v>
      </c>
    </row>
    <row r="53" spans="2:10" s="1" customFormat="1" ht="29.5" thickBot="1" x14ac:dyDescent="0.4">
      <c r="B53" s="17" t="s">
        <v>22</v>
      </c>
      <c r="C53" s="17"/>
      <c r="D53" s="96">
        <f>SUM(D51,D46)</f>
        <v>247157.4088</v>
      </c>
      <c r="E53" s="96">
        <f t="shared" ref="E53:J53" si="14">SUM(E51,E46)</f>
        <v>248433.68915200001</v>
      </c>
      <c r="F53" s="96">
        <f t="shared" si="14"/>
        <v>249762.17271807999</v>
      </c>
      <c r="G53" s="96">
        <f t="shared" si="14"/>
        <v>251142.49962680321</v>
      </c>
      <c r="H53" s="96">
        <f t="shared" si="14"/>
        <v>252579.19161187531</v>
      </c>
      <c r="I53" s="100"/>
      <c r="J53" s="96">
        <f t="shared" si="14"/>
        <v>1249074.9619087586</v>
      </c>
    </row>
    <row r="54" spans="2:10" s="1" customFormat="1" x14ac:dyDescent="0.35">
      <c r="B54" s="108"/>
      <c r="C54" s="108"/>
      <c r="D54" s="109"/>
      <c r="E54" s="109"/>
      <c r="F54" s="109"/>
      <c r="G54" s="109"/>
      <c r="H54" s="109"/>
      <c r="I54" s="100"/>
      <c r="J54" s="109"/>
    </row>
    <row r="55" spans="2:10" s="1" customFormat="1" x14ac:dyDescent="0.35">
      <c r="B55" s="108" t="s">
        <v>72</v>
      </c>
      <c r="C55" s="108"/>
      <c r="D55" s="109"/>
      <c r="E55" s="109"/>
      <c r="F55" s="109"/>
      <c r="G55" s="109"/>
      <c r="H55" s="109"/>
      <c r="I55" s="100"/>
      <c r="J55" s="109"/>
    </row>
    <row r="56" spans="2:10" x14ac:dyDescent="0.35">
      <c r="B56" s="4"/>
      <c r="C56" t="s">
        <v>73</v>
      </c>
    </row>
    <row r="57" spans="2:10" x14ac:dyDescent="0.35">
      <c r="B57" s="4"/>
      <c r="C57" t="s">
        <v>74</v>
      </c>
      <c r="D57" s="110">
        <v>192.19</v>
      </c>
      <c r="E57" s="110">
        <f>D57*(1+4%)</f>
        <v>199.8776</v>
      </c>
      <c r="F57" s="110">
        <f t="shared" ref="F57:H59" si="15">E57*(1+4%)</f>
        <v>207.872704</v>
      </c>
      <c r="G57" s="110">
        <f t="shared" si="15"/>
        <v>216.18761216000001</v>
      </c>
      <c r="H57" s="110">
        <f t="shared" si="15"/>
        <v>224.83511664640002</v>
      </c>
    </row>
    <row r="58" spans="2:10" x14ac:dyDescent="0.35">
      <c r="B58" s="4"/>
      <c r="C58" t="s">
        <v>75</v>
      </c>
      <c r="D58" s="110">
        <f>120.658*(1+4%)</f>
        <v>125.48432000000001</v>
      </c>
      <c r="E58" s="110">
        <f>D58*(1+4%)</f>
        <v>130.50369280000001</v>
      </c>
      <c r="F58" s="110">
        <f t="shared" si="15"/>
        <v>135.72384051200001</v>
      </c>
      <c r="G58" s="110">
        <f t="shared" si="15"/>
        <v>141.15279413248001</v>
      </c>
      <c r="H58" s="110">
        <f t="shared" si="15"/>
        <v>146.79890589777921</v>
      </c>
    </row>
    <row r="59" spans="2:10" x14ac:dyDescent="0.35">
      <c r="B59" s="4"/>
      <c r="C59" t="s">
        <v>76</v>
      </c>
      <c r="D59" s="110">
        <f>180.09*(1+4%)</f>
        <v>187.2936</v>
      </c>
      <c r="E59" s="110">
        <f>D59*(1+4%)</f>
        <v>194.78534400000001</v>
      </c>
      <c r="F59" s="110">
        <f t="shared" si="15"/>
        <v>202.57675776000002</v>
      </c>
      <c r="G59" s="110">
        <f t="shared" si="15"/>
        <v>210.67982807040002</v>
      </c>
      <c r="H59" s="110">
        <f t="shared" si="15"/>
        <v>219.10702119321604</v>
      </c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CB9CD-F39B-4FE9-8B9E-975D3EFE67B7}">
  <sheetPr>
    <tabColor theme="9" tint="0.39997558519241921"/>
  </sheetPr>
  <dimension ref="B2:AM69"/>
  <sheetViews>
    <sheetView workbookViewId="0"/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4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5" customWidth="1"/>
    <col min="10" max="10" width="12.81640625" customWidth="1"/>
    <col min="11" max="11" width="20.54296875" customWidth="1"/>
  </cols>
  <sheetData>
    <row r="2" spans="2:39" ht="23.5" x14ac:dyDescent="0.55000000000000004">
      <c r="B2" s="26" t="s">
        <v>162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ht="29" x14ac:dyDescent="0.35">
      <c r="B7" s="56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111"/>
      <c r="D8" s="112"/>
      <c r="E8" s="112"/>
      <c r="F8" s="112"/>
      <c r="G8" s="112"/>
      <c r="H8" s="112"/>
      <c r="I8" s="28"/>
      <c r="J8" s="13">
        <f>SUM(D8:H8)</f>
        <v>0</v>
      </c>
    </row>
    <row r="9" spans="2:39" x14ac:dyDescent="0.3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3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3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J11" s="14">
        <f t="shared" si="0"/>
        <v>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111"/>
      <c r="D13" s="112"/>
      <c r="E13" s="112"/>
      <c r="F13" s="112"/>
      <c r="G13" s="112"/>
      <c r="H13" s="112"/>
      <c r="J13" s="13">
        <f>SUM(D13:H13)</f>
        <v>0</v>
      </c>
    </row>
    <row r="14" spans="2:39" x14ac:dyDescent="0.35">
      <c r="B14" s="19"/>
      <c r="C14" s="111"/>
      <c r="D14" s="112"/>
      <c r="E14" s="112"/>
      <c r="F14" s="112"/>
      <c r="G14" s="112"/>
      <c r="H14" s="112"/>
      <c r="J14" s="13">
        <f t="shared" ref="J14:J15" si="1">SUM(D14:H14)</f>
        <v>0</v>
      </c>
    </row>
    <row r="15" spans="2:39" x14ac:dyDescent="0.3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3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J16" s="14">
        <f t="shared" si="2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5"/>
      <c r="D18" s="13"/>
      <c r="E18" s="9"/>
      <c r="F18" s="9"/>
      <c r="G18" s="9"/>
      <c r="H18" s="9"/>
      <c r="J18" s="13">
        <f>SUM(D18:H18)</f>
        <v>0</v>
      </c>
    </row>
    <row r="19" spans="2:10" x14ac:dyDescent="0.35">
      <c r="B19" s="19"/>
      <c r="C19" s="25"/>
      <c r="D19" s="13"/>
      <c r="E19" s="13"/>
      <c r="F19" s="13"/>
      <c r="G19" s="13"/>
      <c r="H19" s="13"/>
      <c r="I19" s="28"/>
      <c r="J19" s="13">
        <f>SUM(D19:H19)</f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/>
      <c r="J20" s="13">
        <f t="shared" ref="J20:J25" si="3">SUM(D20:H20)</f>
        <v>0</v>
      </c>
    </row>
    <row r="21" spans="2:10" x14ac:dyDescent="0.35">
      <c r="B21" s="19"/>
      <c r="C21" s="21"/>
      <c r="D21" s="13"/>
      <c r="E21" s="13"/>
      <c r="F21" s="13"/>
      <c r="G21" s="13"/>
      <c r="H21" s="13"/>
      <c r="I21" s="28"/>
      <c r="J21" s="13">
        <f t="shared" si="3"/>
        <v>0</v>
      </c>
    </row>
    <row r="22" spans="2:10" x14ac:dyDescent="0.35">
      <c r="B22" s="19"/>
      <c r="C22" s="25"/>
      <c r="D22" s="13"/>
      <c r="E22" s="13"/>
      <c r="F22" s="13"/>
      <c r="G22" s="13"/>
      <c r="H22" s="13"/>
      <c r="I22" s="28"/>
      <c r="J22" s="13">
        <f t="shared" si="3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/>
      <c r="J23" s="13">
        <f t="shared" si="3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/>
      <c r="J24" s="13">
        <f t="shared" si="3"/>
        <v>0</v>
      </c>
    </row>
    <row r="25" spans="2:10" x14ac:dyDescent="0.35">
      <c r="B25" s="19"/>
      <c r="C25" s="21"/>
      <c r="D25" s="13"/>
      <c r="E25" s="13"/>
      <c r="F25" s="13"/>
      <c r="G25" s="13"/>
      <c r="H25" s="13"/>
      <c r="I25" s="28"/>
      <c r="J25" s="13">
        <f t="shared" si="3"/>
        <v>0</v>
      </c>
    </row>
    <row r="26" spans="2:10" x14ac:dyDescent="0.35">
      <c r="B26" s="19"/>
      <c r="C26" s="7" t="s">
        <v>14</v>
      </c>
      <c r="D26" s="14">
        <f>SUM(D19:D25)</f>
        <v>0</v>
      </c>
      <c r="E26" s="14">
        <f t="shared" ref="E26:H26" si="4">SUM(E19:E25)</f>
        <v>0</v>
      </c>
      <c r="F26" s="14">
        <f t="shared" si="4"/>
        <v>0</v>
      </c>
      <c r="G26" s="14">
        <f t="shared" si="4"/>
        <v>0</v>
      </c>
      <c r="H26" s="14">
        <f t="shared" si="4"/>
        <v>0</v>
      </c>
      <c r="J26" s="14">
        <f>SUM(J18:J25)</f>
        <v>0</v>
      </c>
    </row>
    <row r="27" spans="2:10" x14ac:dyDescent="0.35">
      <c r="B27" s="19"/>
      <c r="C27" s="89" t="s">
        <v>34</v>
      </c>
      <c r="D27" s="98"/>
      <c r="E27" s="105"/>
      <c r="F27" s="105"/>
      <c r="G27" s="105"/>
      <c r="H27" s="105"/>
      <c r="I27" s="100"/>
      <c r="J27" s="98" t="s">
        <v>20</v>
      </c>
    </row>
    <row r="28" spans="2:10" x14ac:dyDescent="0.35">
      <c r="B28" s="19"/>
      <c r="C28" s="97" t="s">
        <v>77</v>
      </c>
      <c r="D28" s="98">
        <f>508*3700</f>
        <v>1879600</v>
      </c>
      <c r="E28" s="105"/>
      <c r="F28" s="105"/>
      <c r="G28" s="105"/>
      <c r="H28" s="105"/>
      <c r="I28" s="100"/>
      <c r="J28" s="98">
        <f>SUM(D28:H28)</f>
        <v>1879600</v>
      </c>
    </row>
    <row r="29" spans="2:10" ht="29" x14ac:dyDescent="0.35">
      <c r="B29" s="19" t="s">
        <v>35</v>
      </c>
      <c r="C29" s="97" t="s">
        <v>78</v>
      </c>
      <c r="D29" s="113">
        <f>45000*35</f>
        <v>1575000</v>
      </c>
      <c r="E29" s="105"/>
      <c r="F29" s="105"/>
      <c r="G29" s="105"/>
      <c r="H29" s="105"/>
      <c r="I29" s="100"/>
      <c r="J29" s="98">
        <f t="shared" ref="J29:J47" si="5">SUM(D29:H29)</f>
        <v>1575000</v>
      </c>
    </row>
    <row r="30" spans="2:10" ht="29" x14ac:dyDescent="0.35">
      <c r="B30" s="19"/>
      <c r="C30" s="97" t="s">
        <v>79</v>
      </c>
      <c r="D30" s="114">
        <f>35*10000</f>
        <v>350000</v>
      </c>
      <c r="E30" s="115"/>
      <c r="F30" s="115"/>
      <c r="G30" s="115"/>
      <c r="H30" s="115"/>
      <c r="I30" s="100"/>
      <c r="J30" s="98">
        <f t="shared" si="5"/>
        <v>350000</v>
      </c>
    </row>
    <row r="31" spans="2:10" x14ac:dyDescent="0.35">
      <c r="B31" s="19"/>
      <c r="C31" s="116" t="s">
        <v>15</v>
      </c>
      <c r="D31" s="107">
        <f>SUM(D28:D30)</f>
        <v>3804600</v>
      </c>
      <c r="E31" s="107">
        <f t="shared" ref="E31:H31" si="6">SUM(E28:E29)</f>
        <v>0</v>
      </c>
      <c r="F31" s="107">
        <f t="shared" si="6"/>
        <v>0</v>
      </c>
      <c r="G31" s="107">
        <f t="shared" si="6"/>
        <v>0</v>
      </c>
      <c r="H31" s="107">
        <f t="shared" si="6"/>
        <v>0</v>
      </c>
      <c r="I31" s="100"/>
      <c r="J31" s="103">
        <f>SUM(J28:J30)</f>
        <v>3804600</v>
      </c>
    </row>
    <row r="32" spans="2:10" x14ac:dyDescent="0.35">
      <c r="B32" s="19"/>
      <c r="C32" s="12" t="s">
        <v>36</v>
      </c>
      <c r="D32" s="11" t="s">
        <v>31</v>
      </c>
      <c r="E32" s="8"/>
      <c r="F32" s="8"/>
      <c r="G32" s="8"/>
      <c r="H32" s="8"/>
      <c r="J32" s="13"/>
    </row>
    <row r="33" spans="2:11" x14ac:dyDescent="0.35">
      <c r="B33" s="19"/>
      <c r="C33" s="21"/>
      <c r="D33" s="13"/>
      <c r="E33" s="13"/>
      <c r="F33" s="13"/>
      <c r="G33" s="13"/>
      <c r="H33" s="13"/>
      <c r="I33" s="28"/>
      <c r="J33" s="13">
        <f t="shared" si="5"/>
        <v>0</v>
      </c>
    </row>
    <row r="34" spans="2:11" x14ac:dyDescent="0.35">
      <c r="B34" s="19"/>
      <c r="C34" s="21"/>
      <c r="D34" s="13"/>
      <c r="E34" s="9"/>
      <c r="F34" s="9"/>
      <c r="G34" s="9"/>
      <c r="H34" s="9"/>
      <c r="J34" s="13">
        <f t="shared" si="5"/>
        <v>0</v>
      </c>
    </row>
    <row r="35" spans="2:11" x14ac:dyDescent="0.35">
      <c r="B35" s="19"/>
      <c r="C35" s="7" t="s">
        <v>16</v>
      </c>
      <c r="D35" s="14">
        <f>SUM(D33:D34)</f>
        <v>0</v>
      </c>
      <c r="E35" s="14">
        <f t="shared" ref="E35:H35" si="7">SUM(E33:E34)</f>
        <v>0</v>
      </c>
      <c r="F35" s="14">
        <f t="shared" si="7"/>
        <v>0</v>
      </c>
      <c r="G35" s="14">
        <f t="shared" si="7"/>
        <v>0</v>
      </c>
      <c r="H35" s="14">
        <f t="shared" si="7"/>
        <v>0</v>
      </c>
      <c r="J35" s="14">
        <f>SUM(J33:J34)</f>
        <v>0</v>
      </c>
    </row>
    <row r="36" spans="2:11" x14ac:dyDescent="0.35">
      <c r="B36" s="19"/>
      <c r="C36" s="12" t="s">
        <v>38</v>
      </c>
      <c r="D36" s="11" t="s">
        <v>31</v>
      </c>
      <c r="E36" s="8"/>
      <c r="F36" s="8"/>
      <c r="G36" s="8"/>
      <c r="H36" s="8"/>
      <c r="J36" s="13"/>
    </row>
    <row r="37" spans="2:11" ht="43.5" x14ac:dyDescent="0.35">
      <c r="B37" s="19"/>
      <c r="C37" s="97" t="s">
        <v>80</v>
      </c>
      <c r="D37" s="98">
        <f>20000*35*0.5</f>
        <v>350000</v>
      </c>
      <c r="E37" s="98">
        <f>20000*35*0.5</f>
        <v>350000</v>
      </c>
      <c r="F37" s="101"/>
      <c r="G37" s="101"/>
      <c r="H37" s="101"/>
      <c r="I37" s="100"/>
      <c r="J37" s="98">
        <f>SUM(D37:H37)</f>
        <v>700000</v>
      </c>
    </row>
    <row r="38" spans="2:11" x14ac:dyDescent="0.35">
      <c r="B38" s="19"/>
      <c r="C38" s="21"/>
      <c r="D38" s="13"/>
      <c r="E38" s="13"/>
      <c r="F38" s="13"/>
      <c r="G38" s="13"/>
      <c r="H38" s="13"/>
      <c r="I38" s="28"/>
      <c r="J38" s="13">
        <f t="shared" si="5"/>
        <v>0</v>
      </c>
    </row>
    <row r="39" spans="2:11" x14ac:dyDescent="0.35">
      <c r="B39" s="19"/>
      <c r="C39" s="21"/>
      <c r="D39" s="13"/>
      <c r="E39" s="13"/>
      <c r="F39" s="13"/>
      <c r="G39" s="13"/>
      <c r="H39" s="13"/>
      <c r="I39" s="28"/>
      <c r="J39" s="13">
        <f t="shared" si="5"/>
        <v>0</v>
      </c>
    </row>
    <row r="40" spans="2:11" x14ac:dyDescent="0.35">
      <c r="B40" s="19"/>
      <c r="C40" s="21"/>
      <c r="D40" s="13"/>
      <c r="E40" s="9"/>
      <c r="F40" s="9"/>
      <c r="G40" s="9"/>
      <c r="H40" s="9"/>
      <c r="J40" s="13">
        <f t="shared" si="5"/>
        <v>0</v>
      </c>
    </row>
    <row r="41" spans="2:11" x14ac:dyDescent="0.35">
      <c r="B41" s="19"/>
      <c r="C41" s="7" t="s">
        <v>17</v>
      </c>
      <c r="D41" s="103">
        <f>SUM(D37:D40)</f>
        <v>350000</v>
      </c>
      <c r="E41" s="103">
        <f>SUM(E37:E40)</f>
        <v>350000</v>
      </c>
      <c r="F41" s="103">
        <f>SUM(F37:F40)</f>
        <v>0</v>
      </c>
      <c r="G41" s="103">
        <f>SUM(G37:G40)</f>
        <v>0</v>
      </c>
      <c r="H41" s="103">
        <f>SUM(H37:H40)</f>
        <v>0</v>
      </c>
      <c r="I41" s="100"/>
      <c r="J41" s="103">
        <f>SUM(J37:J40)</f>
        <v>700000</v>
      </c>
    </row>
    <row r="42" spans="2:11" x14ac:dyDescent="0.35">
      <c r="B42" s="19"/>
      <c r="C42" s="12" t="s">
        <v>39</v>
      </c>
      <c r="D42" s="11" t="s">
        <v>31</v>
      </c>
      <c r="E42" s="8"/>
      <c r="F42" s="8"/>
      <c r="G42" s="8"/>
      <c r="H42" s="8"/>
      <c r="J42" s="13"/>
    </row>
    <row r="43" spans="2:11" x14ac:dyDescent="0.35">
      <c r="B43" s="19"/>
    </row>
    <row r="44" spans="2:11" x14ac:dyDescent="0.35">
      <c r="B44" s="19"/>
      <c r="C44" s="97"/>
      <c r="D44" s="98"/>
      <c r="E44" s="101"/>
      <c r="F44" s="101"/>
      <c r="G44" s="101"/>
      <c r="H44" s="101"/>
      <c r="I44" s="100"/>
      <c r="J44" s="98">
        <f t="shared" si="5"/>
        <v>0</v>
      </c>
    </row>
    <row r="45" spans="2:11" x14ac:dyDescent="0.35">
      <c r="B45" s="19"/>
      <c r="C45" s="105"/>
      <c r="D45" s="98"/>
      <c r="E45" s="101"/>
      <c r="F45" s="101"/>
      <c r="G45" s="101"/>
      <c r="H45" s="101"/>
      <c r="I45" s="100"/>
      <c r="J45" s="98">
        <f t="shared" si="5"/>
        <v>0</v>
      </c>
    </row>
    <row r="46" spans="2:11" x14ac:dyDescent="0.35">
      <c r="B46" s="20"/>
      <c r="C46" s="116" t="s">
        <v>18</v>
      </c>
      <c r="D46" s="103">
        <v>0</v>
      </c>
      <c r="E46" s="103">
        <v>0</v>
      </c>
      <c r="F46" s="103">
        <f>SUM(F37:F45)</f>
        <v>0</v>
      </c>
      <c r="G46" s="103">
        <f>SUM(G37:G45)</f>
        <v>0</v>
      </c>
      <c r="H46" s="103">
        <f>SUM(H37:H45)</f>
        <v>0</v>
      </c>
      <c r="I46" s="100"/>
      <c r="J46" s="103">
        <v>0</v>
      </c>
    </row>
    <row r="47" spans="2:11" x14ac:dyDescent="0.35">
      <c r="B47" s="20"/>
      <c r="C47" s="116" t="s">
        <v>19</v>
      </c>
      <c r="D47" s="103">
        <f>SUM(D46,D41,D35,D31,D26,D16,D11)</f>
        <v>4154600</v>
      </c>
      <c r="E47" s="103">
        <f>SUM(E46,E41,E35,E31,E26,E16,E11)</f>
        <v>350000</v>
      </c>
      <c r="F47" s="103">
        <f>SUM(F46,F41,F35,F31,F26,F16,F11)</f>
        <v>0</v>
      </c>
      <c r="G47" s="103">
        <f>SUM(G46,G41,G35,G31,G26,G16,G11)</f>
        <v>0</v>
      </c>
      <c r="H47" s="103">
        <f>SUM(H46,H41,H35,H31,H26,H16,H11)</f>
        <v>0</v>
      </c>
      <c r="I47" s="100"/>
      <c r="J47" s="103">
        <f t="shared" si="5"/>
        <v>4504600</v>
      </c>
      <c r="K47" s="27"/>
    </row>
    <row r="48" spans="2:11" x14ac:dyDescent="0.35">
      <c r="B48" s="4"/>
      <c r="D48"/>
      <c r="E48"/>
      <c r="H48"/>
      <c r="I48"/>
      <c r="J48" t="s">
        <v>20</v>
      </c>
    </row>
    <row r="49" spans="2:10" ht="29" x14ac:dyDescent="0.35">
      <c r="B49" s="56" t="s">
        <v>40</v>
      </c>
      <c r="C49" s="15" t="s">
        <v>40</v>
      </c>
      <c r="D49" s="16"/>
      <c r="E49" s="16"/>
      <c r="F49" s="16"/>
      <c r="G49" s="16"/>
      <c r="H49" s="16"/>
      <c r="I49"/>
      <c r="J49" s="16" t="s">
        <v>20</v>
      </c>
    </row>
    <row r="50" spans="2:10" x14ac:dyDescent="0.35">
      <c r="B50" s="19"/>
      <c r="C50" s="21"/>
      <c r="D50" s="11"/>
      <c r="E50" s="8"/>
      <c r="F50" s="8"/>
      <c r="G50" s="8"/>
      <c r="H50" s="8"/>
      <c r="J50" s="13">
        <f>SUM(D50:H50)</f>
        <v>0</v>
      </c>
    </row>
    <row r="51" spans="2:10" x14ac:dyDescent="0.35">
      <c r="B51" s="19"/>
      <c r="C51" s="21"/>
      <c r="D51" s="11"/>
      <c r="E51" s="8"/>
      <c r="F51" s="8"/>
      <c r="G51" s="8"/>
      <c r="H51" s="8"/>
      <c r="J51" s="13">
        <f t="shared" ref="J51" si="8">SUM(D51:H51)</f>
        <v>0</v>
      </c>
    </row>
    <row r="52" spans="2:10" x14ac:dyDescent="0.35">
      <c r="B52" s="20"/>
      <c r="C52" s="7" t="s">
        <v>21</v>
      </c>
      <c r="D52" s="14">
        <f>SUM(D50:D51)</f>
        <v>0</v>
      </c>
      <c r="E52" s="14">
        <f t="shared" ref="E52:H52" si="9">SUM(E50:E51)</f>
        <v>0</v>
      </c>
      <c r="F52" s="14">
        <f t="shared" si="9"/>
        <v>0</v>
      </c>
      <c r="G52" s="14">
        <f t="shared" si="9"/>
        <v>0</v>
      </c>
      <c r="H52" s="14">
        <f t="shared" si="9"/>
        <v>0</v>
      </c>
      <c r="J52" s="14">
        <f>SUM(J50:J51)</f>
        <v>0</v>
      </c>
    </row>
    <row r="53" spans="2:10" ht="15" thickBot="1" x14ac:dyDescent="0.4">
      <c r="B53" s="4"/>
      <c r="D53"/>
      <c r="E53"/>
      <c r="H53"/>
      <c r="I53"/>
      <c r="J53" t="s">
        <v>20</v>
      </c>
    </row>
    <row r="54" spans="2:10" s="1" customFormat="1" ht="29.5" thickBot="1" x14ac:dyDescent="0.4">
      <c r="B54" s="95" t="s">
        <v>22</v>
      </c>
      <c r="C54" s="95"/>
      <c r="D54" s="96">
        <f>SUM(D52,D47)</f>
        <v>4154600</v>
      </c>
      <c r="E54" s="96">
        <f t="shared" ref="E54:J54" si="10">SUM(E52,E47)</f>
        <v>350000</v>
      </c>
      <c r="F54" s="96">
        <f t="shared" si="10"/>
        <v>0</v>
      </c>
      <c r="G54" s="96">
        <f t="shared" si="10"/>
        <v>0</v>
      </c>
      <c r="H54" s="96">
        <f t="shared" si="10"/>
        <v>0</v>
      </c>
      <c r="I54" s="100"/>
      <c r="J54" s="96">
        <f t="shared" si="10"/>
        <v>4504600</v>
      </c>
    </row>
    <row r="55" spans="2:10" x14ac:dyDescent="0.35">
      <c r="B55" s="4"/>
    </row>
    <row r="56" spans="2:10" x14ac:dyDescent="0.35">
      <c r="B56" s="4"/>
    </row>
    <row r="57" spans="2:10" x14ac:dyDescent="0.35">
      <c r="B57" s="4"/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</sheetData>
  <pageMargins left="0.7" right="0.7" top="0.75" bottom="0.75" header="0.3" footer="0.3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B3D62-665A-41CC-9F7C-9BBC43F58580}">
  <sheetPr>
    <tabColor theme="9" tint="0.39997558519241921"/>
  </sheetPr>
  <dimension ref="B2:AM65"/>
  <sheetViews>
    <sheetView workbookViewId="0"/>
  </sheetViews>
  <sheetFormatPr defaultColWidth="9.1796875" defaultRowHeight="14.5" x14ac:dyDescent="0.35"/>
  <cols>
    <col min="1" max="1" width="3.1796875" customWidth="1"/>
    <col min="2" max="2" width="9.7265625" customWidth="1"/>
    <col min="3" max="3" width="44.453125" customWidth="1"/>
    <col min="4" max="4" width="12.81640625" style="4" customWidth="1"/>
    <col min="5" max="5" width="12.453125" style="2" customWidth="1"/>
    <col min="6" max="6" width="12.7265625" customWidth="1"/>
    <col min="7" max="7" width="12.81640625" customWidth="1"/>
    <col min="8" max="8" width="13.453125" style="2" customWidth="1"/>
    <col min="9" max="9" width="0.81640625" style="5" customWidth="1"/>
    <col min="10" max="10" width="14.453125" customWidth="1"/>
    <col min="11" max="11" width="10.1796875" customWidth="1"/>
  </cols>
  <sheetData>
    <row r="2" spans="2:39" ht="23.5" x14ac:dyDescent="0.55000000000000004">
      <c r="B2" s="26" t="s">
        <v>163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ht="2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21"/>
      <c r="D8" s="13"/>
      <c r="E8" s="13"/>
      <c r="F8" s="13"/>
      <c r="G8" s="13"/>
      <c r="H8" s="13"/>
      <c r="I8" s="28"/>
      <c r="J8" s="13"/>
    </row>
    <row r="9" spans="2:39" x14ac:dyDescent="0.3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3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3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I11" s="5">
        <f t="shared" si="0"/>
        <v>0</v>
      </c>
      <c r="J11" s="14">
        <f t="shared" si="0"/>
        <v>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21"/>
      <c r="D13" s="13"/>
      <c r="E13" s="13"/>
      <c r="F13" s="13"/>
      <c r="G13" s="13"/>
      <c r="H13" s="13"/>
      <c r="J13" s="13"/>
    </row>
    <row r="14" spans="2:39" x14ac:dyDescent="0.35">
      <c r="B14" s="19"/>
      <c r="C14" s="21"/>
      <c r="D14" s="13"/>
      <c r="E14" s="13"/>
      <c r="F14" s="13"/>
      <c r="G14" s="13"/>
      <c r="H14" s="13"/>
      <c r="J14" s="13"/>
    </row>
    <row r="15" spans="2:39" x14ac:dyDescent="0.35">
      <c r="B15" s="19"/>
      <c r="C15" s="8"/>
      <c r="D15" s="13"/>
      <c r="E15" s="9"/>
      <c r="F15" s="9"/>
      <c r="G15" s="9"/>
      <c r="H15" s="9"/>
      <c r="J15" s="13">
        <f t="shared" ref="J15" si="1">SUM(D15:H15)</f>
        <v>0</v>
      </c>
    </row>
    <row r="16" spans="2:39" x14ac:dyDescent="0.3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I16" s="5">
        <f t="shared" si="2"/>
        <v>0</v>
      </c>
      <c r="J16" s="14">
        <f t="shared" si="2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3"/>
      <c r="E18" s="13"/>
      <c r="F18" s="13"/>
      <c r="G18" s="13"/>
      <c r="H18" s="13"/>
      <c r="I18" s="28">
        <v>1638</v>
      </c>
      <c r="J18" s="13">
        <f t="shared" ref="J18" si="3">SUM(D18:H18)</f>
        <v>0</v>
      </c>
    </row>
    <row r="19" spans="2:10" x14ac:dyDescent="0.35">
      <c r="B19" s="19"/>
      <c r="C19" s="7" t="s">
        <v>14</v>
      </c>
      <c r="D19" s="14">
        <f>SUM(D18:D18)</f>
        <v>0</v>
      </c>
      <c r="E19" s="14">
        <f>SUM(E18:E18)</f>
        <v>0</v>
      </c>
      <c r="F19" s="14">
        <f>SUM(F18:F18)</f>
        <v>0</v>
      </c>
      <c r="G19" s="14">
        <f>SUM(G18:G18)</f>
        <v>0</v>
      </c>
      <c r="H19" s="14">
        <f>SUM(H18:H18)</f>
        <v>0</v>
      </c>
      <c r="J19" s="14">
        <f>SUM(J18:J18)</f>
        <v>0</v>
      </c>
    </row>
    <row r="20" spans="2:10" x14ac:dyDescent="0.35">
      <c r="B20" s="19"/>
      <c r="C20" s="12" t="s">
        <v>34</v>
      </c>
      <c r="D20" s="13"/>
      <c r="E20" s="8"/>
      <c r="F20" s="8"/>
      <c r="G20" s="8"/>
      <c r="H20" s="8"/>
      <c r="J20" s="13" t="s">
        <v>20</v>
      </c>
    </row>
    <row r="21" spans="2:10" x14ac:dyDescent="0.35">
      <c r="B21" s="19"/>
      <c r="C21" s="21"/>
      <c r="D21" s="13"/>
      <c r="E21" s="8"/>
      <c r="F21" s="8"/>
      <c r="G21" s="8"/>
      <c r="H21" s="8"/>
      <c r="J21" s="13">
        <f>SUM(D21:H21)</f>
        <v>0</v>
      </c>
    </row>
    <row r="22" spans="2:10" x14ac:dyDescent="0.35">
      <c r="B22" s="19" t="s">
        <v>35</v>
      </c>
      <c r="C22" s="24" t="s">
        <v>35</v>
      </c>
      <c r="D22" s="11" t="s">
        <v>31</v>
      </c>
      <c r="E22" s="8"/>
      <c r="F22" s="8"/>
      <c r="G22" s="8"/>
      <c r="H22" s="8"/>
      <c r="J22" s="13">
        <f t="shared" ref="J22:J43" si="4">SUM(D22:H22)</f>
        <v>0</v>
      </c>
    </row>
    <row r="23" spans="2:10" x14ac:dyDescent="0.35">
      <c r="B23" s="19"/>
      <c r="C23" s="7" t="s">
        <v>15</v>
      </c>
      <c r="D23" s="10">
        <f>SUM(D21:D22)</f>
        <v>0</v>
      </c>
      <c r="E23" s="10">
        <f t="shared" ref="E23:H23" si="5">SUM(E21:E22)</f>
        <v>0</v>
      </c>
      <c r="F23" s="10">
        <f t="shared" si="5"/>
        <v>0</v>
      </c>
      <c r="G23" s="10">
        <f t="shared" si="5"/>
        <v>0</v>
      </c>
      <c r="H23" s="10">
        <f t="shared" si="5"/>
        <v>0</v>
      </c>
      <c r="J23" s="14">
        <f>SUM(J21:J22)</f>
        <v>0</v>
      </c>
    </row>
    <row r="24" spans="2:10" x14ac:dyDescent="0.35">
      <c r="B24" s="19"/>
      <c r="C24" s="12" t="s">
        <v>36</v>
      </c>
      <c r="D24" s="11" t="s">
        <v>31</v>
      </c>
      <c r="E24" s="8"/>
      <c r="F24" s="8"/>
      <c r="G24" s="8"/>
      <c r="H24" s="8"/>
      <c r="J24" s="13"/>
    </row>
    <row r="25" spans="2:10" x14ac:dyDescent="0.35">
      <c r="B25" s="19"/>
      <c r="C25" s="21"/>
      <c r="D25" s="13"/>
      <c r="E25" s="13"/>
      <c r="F25" s="13"/>
      <c r="G25" s="13"/>
      <c r="H25" s="13"/>
      <c r="I25" s="28">
        <v>5000</v>
      </c>
      <c r="J25" s="13">
        <f t="shared" si="4"/>
        <v>0</v>
      </c>
    </row>
    <row r="26" spans="2:10" x14ac:dyDescent="0.35">
      <c r="B26" s="19"/>
      <c r="C26" s="21"/>
      <c r="D26" s="13"/>
      <c r="E26" s="9"/>
      <c r="F26" s="9"/>
      <c r="G26" s="9"/>
      <c r="H26" s="9"/>
      <c r="J26" s="13">
        <f t="shared" si="4"/>
        <v>0</v>
      </c>
    </row>
    <row r="27" spans="2:10" x14ac:dyDescent="0.35">
      <c r="B27" s="19"/>
      <c r="C27" s="7" t="s">
        <v>16</v>
      </c>
      <c r="D27" s="14">
        <f>SUM(D25:D26)</f>
        <v>0</v>
      </c>
      <c r="E27" s="14">
        <f t="shared" ref="E27:H27" si="6">SUM(E25:E26)</f>
        <v>0</v>
      </c>
      <c r="F27" s="14">
        <f t="shared" si="6"/>
        <v>0</v>
      </c>
      <c r="G27" s="14">
        <f t="shared" si="6"/>
        <v>0</v>
      </c>
      <c r="H27" s="14">
        <f t="shared" si="6"/>
        <v>0</v>
      </c>
      <c r="J27" s="14">
        <f>SUM(J25:J26)</f>
        <v>0</v>
      </c>
    </row>
    <row r="28" spans="2:10" x14ac:dyDescent="0.35">
      <c r="B28" s="19"/>
      <c r="C28" s="12" t="s">
        <v>38</v>
      </c>
      <c r="D28" s="11" t="s">
        <v>31</v>
      </c>
      <c r="E28" s="8"/>
      <c r="F28" s="8"/>
      <c r="G28" s="8"/>
      <c r="H28" s="8"/>
      <c r="J28" s="13"/>
    </row>
    <row r="29" spans="2:10" ht="29" x14ac:dyDescent="0.35">
      <c r="B29" s="19"/>
      <c r="C29" s="104" t="s">
        <v>81</v>
      </c>
      <c r="D29" s="98">
        <f>3000*7*2*12</f>
        <v>504000</v>
      </c>
      <c r="E29" s="98">
        <f>D29*1.06</f>
        <v>534240</v>
      </c>
      <c r="F29" s="98">
        <f t="shared" ref="F29:H29" si="7">E29*1.06</f>
        <v>566294.4</v>
      </c>
      <c r="G29" s="98">
        <f t="shared" si="7"/>
        <v>600272.06400000001</v>
      </c>
      <c r="H29" s="98">
        <f t="shared" si="7"/>
        <v>636288.3878400001</v>
      </c>
      <c r="I29" s="99"/>
      <c r="J29" s="98">
        <f>SUM(D29:H29)</f>
        <v>2841094.8518399997</v>
      </c>
    </row>
    <row r="30" spans="2:10" ht="72.5" x14ac:dyDescent="0.35">
      <c r="B30" s="19"/>
      <c r="C30" s="104" t="s">
        <v>135</v>
      </c>
      <c r="D30" s="98">
        <f>270*500*7</f>
        <v>945000</v>
      </c>
      <c r="E30" s="98">
        <f>(150*1.04+120)*500*7</f>
        <v>966000</v>
      </c>
      <c r="F30" s="98">
        <f>((150*1.04)*1.04+120)*500*7</f>
        <v>987840</v>
      </c>
      <c r="G30" s="98">
        <f>(150*(1.04*1.04*1.04)+120)*500*7</f>
        <v>1010553.5999999999</v>
      </c>
      <c r="H30" s="98">
        <f>((150*1.04*1.04*1.04*1.04)+120)*500*7</f>
        <v>1034175.7440000002</v>
      </c>
      <c r="I30" s="99"/>
      <c r="J30" s="98">
        <f>SUM(D30:H30)</f>
        <v>4943569.3439999996</v>
      </c>
    </row>
    <row r="31" spans="2:10" x14ac:dyDescent="0.35">
      <c r="B31" s="19"/>
      <c r="C31" s="104"/>
      <c r="D31" s="98"/>
      <c r="E31" s="98"/>
      <c r="F31" s="98"/>
      <c r="G31" s="98"/>
      <c r="H31" s="98"/>
      <c r="I31" s="99"/>
      <c r="J31" s="98">
        <f t="shared" si="4"/>
        <v>0</v>
      </c>
    </row>
    <row r="32" spans="2:10" x14ac:dyDescent="0.35">
      <c r="B32" s="19"/>
      <c r="C32" s="117"/>
      <c r="D32" s="98"/>
      <c r="E32" s="98"/>
      <c r="F32" s="98"/>
      <c r="G32" s="98"/>
      <c r="H32" s="98"/>
      <c r="I32" s="99"/>
      <c r="J32" s="98">
        <f t="shared" si="4"/>
        <v>0</v>
      </c>
    </row>
    <row r="33" spans="2:10" x14ac:dyDescent="0.35">
      <c r="B33" s="19"/>
      <c r="C33" s="97"/>
      <c r="D33" s="98"/>
      <c r="E33" s="101"/>
      <c r="F33" s="101"/>
      <c r="G33" s="101"/>
      <c r="H33" s="101"/>
      <c r="I33" s="100"/>
      <c r="J33" s="98">
        <f t="shared" si="4"/>
        <v>0</v>
      </c>
    </row>
    <row r="34" spans="2:10" x14ac:dyDescent="0.35">
      <c r="B34" s="19"/>
      <c r="C34" s="116" t="s">
        <v>17</v>
      </c>
      <c r="D34" s="103">
        <f>SUM(D29:D33)</f>
        <v>1449000</v>
      </c>
      <c r="E34" s="103">
        <f t="shared" ref="E34:H34" si="8">SUM(E29:E33)</f>
        <v>1500240</v>
      </c>
      <c r="F34" s="103">
        <f t="shared" si="8"/>
        <v>1554134.4</v>
      </c>
      <c r="G34" s="103">
        <f t="shared" si="8"/>
        <v>1610825.6639999999</v>
      </c>
      <c r="H34" s="103">
        <f t="shared" si="8"/>
        <v>1670464.1318400004</v>
      </c>
      <c r="I34" s="100"/>
      <c r="J34" s="103">
        <f>SUM(J29:J33)</f>
        <v>7784664.1958399992</v>
      </c>
    </row>
    <row r="35" spans="2:10" x14ac:dyDescent="0.35">
      <c r="B35" s="19"/>
      <c r="C35" s="12" t="s">
        <v>39</v>
      </c>
      <c r="D35" s="11" t="s">
        <v>31</v>
      </c>
      <c r="E35" s="8"/>
      <c r="F35" s="8"/>
      <c r="G35" s="8"/>
      <c r="H35" s="8"/>
      <c r="J35" s="13"/>
    </row>
    <row r="36" spans="2:10" x14ac:dyDescent="0.35">
      <c r="B36" s="19"/>
      <c r="C36" s="11"/>
      <c r="D36" s="13"/>
      <c r="E36" s="13"/>
      <c r="F36" s="13"/>
      <c r="G36" s="13"/>
      <c r="H36" s="13"/>
      <c r="I36" s="13">
        <f t="shared" ref="I36" si="9">H36*1.06</f>
        <v>0</v>
      </c>
      <c r="J36" s="13"/>
    </row>
    <row r="37" spans="2:10" x14ac:dyDescent="0.35">
      <c r="B37" s="19"/>
      <c r="C37" s="11"/>
      <c r="D37" s="13"/>
      <c r="E37" s="13"/>
      <c r="F37" s="13"/>
      <c r="G37" s="13"/>
      <c r="H37" s="13"/>
      <c r="I37" s="28">
        <v>781250</v>
      </c>
      <c r="J37" s="13"/>
    </row>
    <row r="38" spans="2:10" x14ac:dyDescent="0.35">
      <c r="B38" s="19"/>
      <c r="C38" s="21"/>
      <c r="D38" s="13"/>
      <c r="E38" s="13"/>
      <c r="F38" s="13"/>
      <c r="G38" s="13"/>
      <c r="H38" s="13"/>
      <c r="I38" s="28">
        <v>2083335</v>
      </c>
      <c r="J38" s="13">
        <f t="shared" si="4"/>
        <v>0</v>
      </c>
    </row>
    <row r="39" spans="2:10" x14ac:dyDescent="0.35">
      <c r="B39" s="19"/>
      <c r="C39" s="21"/>
      <c r="D39" s="13"/>
      <c r="E39" s="9"/>
      <c r="F39" s="9"/>
      <c r="G39" s="9"/>
      <c r="H39" s="9"/>
      <c r="J39" s="13">
        <f t="shared" si="4"/>
        <v>0</v>
      </c>
    </row>
    <row r="40" spans="2:10" x14ac:dyDescent="0.35">
      <c r="B40" s="19"/>
      <c r="C40" s="21"/>
      <c r="D40" s="13"/>
      <c r="E40" s="9"/>
      <c r="F40" s="9"/>
      <c r="G40" s="9"/>
      <c r="H40" s="9"/>
      <c r="J40" s="13">
        <f t="shared" si="4"/>
        <v>0</v>
      </c>
    </row>
    <row r="41" spans="2:10" x14ac:dyDescent="0.35">
      <c r="B41" s="19"/>
      <c r="C41" s="8"/>
      <c r="D41" s="13"/>
      <c r="E41" s="9"/>
      <c r="F41" s="9"/>
      <c r="G41" s="9"/>
      <c r="H41" s="9"/>
      <c r="J41" s="13">
        <f t="shared" si="4"/>
        <v>0</v>
      </c>
    </row>
    <row r="42" spans="2:10" x14ac:dyDescent="0.35">
      <c r="B42" s="20"/>
      <c r="C42" s="7" t="s">
        <v>18</v>
      </c>
      <c r="D42" s="14">
        <f>SUM(D36:D41)</f>
        <v>0</v>
      </c>
      <c r="E42" s="14">
        <f>SUM(E36:E41)</f>
        <v>0</v>
      </c>
      <c r="F42" s="14">
        <f>SUM(F36:F41)</f>
        <v>0</v>
      </c>
      <c r="G42" s="14">
        <f>SUM(G36:G41)</f>
        <v>0</v>
      </c>
      <c r="H42" s="14">
        <f>SUM(H36:H41)</f>
        <v>0</v>
      </c>
      <c r="J42" s="14">
        <f>SUM(J36:J41)</f>
        <v>0</v>
      </c>
    </row>
    <row r="43" spans="2:10" x14ac:dyDescent="0.35">
      <c r="B43" s="20"/>
      <c r="C43" s="116" t="s">
        <v>19</v>
      </c>
      <c r="D43" s="103">
        <f>SUM(D42,D34,D27,D23,D19,D16,D11)</f>
        <v>1449000</v>
      </c>
      <c r="E43" s="103">
        <f>SUM(E42,E34,E27,E23,E19,E16,E11)</f>
        <v>1500240</v>
      </c>
      <c r="F43" s="103">
        <f>SUM(F42,F34,F27,F23,F19,F16,F11)</f>
        <v>1554134.4</v>
      </c>
      <c r="G43" s="103">
        <f>SUM(G42,G34,G27,G23,G19,G16,G11)</f>
        <v>1610825.6639999999</v>
      </c>
      <c r="H43" s="103">
        <f>SUM(H42,H34,H27,H23,H19,H16,H11)</f>
        <v>1670464.1318400004</v>
      </c>
      <c r="I43" s="100"/>
      <c r="J43" s="103">
        <f t="shared" si="4"/>
        <v>7784664.1958400011</v>
      </c>
    </row>
    <row r="44" spans="2:10" x14ac:dyDescent="0.35">
      <c r="B44" s="4"/>
      <c r="D44"/>
      <c r="E44"/>
      <c r="H44"/>
      <c r="I44"/>
      <c r="J44" t="s">
        <v>20</v>
      </c>
    </row>
    <row r="45" spans="2:10" x14ac:dyDescent="0.35">
      <c r="B45" s="18" t="s">
        <v>40</v>
      </c>
      <c r="C45" s="15" t="s">
        <v>40</v>
      </c>
      <c r="D45" s="16"/>
      <c r="E45" s="16"/>
      <c r="F45" s="16"/>
      <c r="G45" s="16"/>
      <c r="H45" s="16"/>
      <c r="I45"/>
      <c r="J45" s="16" t="s">
        <v>20</v>
      </c>
    </row>
    <row r="46" spans="2:10" x14ac:dyDescent="0.35">
      <c r="B46" s="19"/>
      <c r="C46" s="21"/>
      <c r="D46" s="11"/>
      <c r="E46" s="8"/>
      <c r="F46" s="8"/>
      <c r="G46" s="8"/>
      <c r="H46" s="8"/>
      <c r="J46" s="13">
        <f>SUM(D46:H46)</f>
        <v>0</v>
      </c>
    </row>
    <row r="47" spans="2:10" x14ac:dyDescent="0.35">
      <c r="B47" s="19"/>
      <c r="C47" s="21"/>
      <c r="D47" s="11"/>
      <c r="E47" s="8"/>
      <c r="F47" s="8"/>
      <c r="G47" s="8"/>
      <c r="H47" s="8"/>
      <c r="J47" s="13">
        <f t="shared" ref="J47:J48" si="10">SUM(D47:H47)</f>
        <v>0</v>
      </c>
    </row>
    <row r="48" spans="2:10" x14ac:dyDescent="0.35">
      <c r="B48" s="20"/>
      <c r="C48" s="7" t="s">
        <v>21</v>
      </c>
      <c r="D48" s="14">
        <f>SUM(D46:D47)</f>
        <v>0</v>
      </c>
      <c r="E48" s="14">
        <f t="shared" ref="E48:H48" si="11">SUM(E46:E47)</f>
        <v>0</v>
      </c>
      <c r="F48" s="14">
        <f t="shared" si="11"/>
        <v>0</v>
      </c>
      <c r="G48" s="14">
        <f t="shared" si="11"/>
        <v>0</v>
      </c>
      <c r="H48" s="14">
        <f t="shared" si="11"/>
        <v>0</v>
      </c>
      <c r="J48" s="14">
        <f t="shared" si="10"/>
        <v>0</v>
      </c>
    </row>
    <row r="49" spans="2:10" ht="15" thickBot="1" x14ac:dyDescent="0.4">
      <c r="B49" s="4"/>
      <c r="D49"/>
      <c r="E49"/>
      <c r="H49"/>
      <c r="I49"/>
      <c r="J49" t="s">
        <v>20</v>
      </c>
    </row>
    <row r="50" spans="2:10" s="1" customFormat="1" ht="29.5" thickBot="1" x14ac:dyDescent="0.4">
      <c r="B50" s="95" t="s">
        <v>22</v>
      </c>
      <c r="C50" s="95"/>
      <c r="D50" s="96">
        <f>SUM(D48,D43)</f>
        <v>1449000</v>
      </c>
      <c r="E50" s="96">
        <f t="shared" ref="E50:J50" si="12">SUM(E48,E43)</f>
        <v>1500240</v>
      </c>
      <c r="F50" s="96">
        <f t="shared" si="12"/>
        <v>1554134.4</v>
      </c>
      <c r="G50" s="96">
        <f t="shared" si="12"/>
        <v>1610825.6639999999</v>
      </c>
      <c r="H50" s="96">
        <f t="shared" si="12"/>
        <v>1670464.1318400004</v>
      </c>
      <c r="I50" s="100">
        <f>SUM(I48,I43)</f>
        <v>0</v>
      </c>
      <c r="J50" s="96">
        <f t="shared" si="12"/>
        <v>7784664.1958400011</v>
      </c>
    </row>
    <row r="51" spans="2:10" x14ac:dyDescent="0.35">
      <c r="B51" s="4"/>
    </row>
    <row r="52" spans="2:10" x14ac:dyDescent="0.35">
      <c r="B52" s="4"/>
    </row>
    <row r="53" spans="2:10" x14ac:dyDescent="0.35">
      <c r="B53" s="4"/>
    </row>
    <row r="54" spans="2:10" x14ac:dyDescent="0.35">
      <c r="B54" s="4"/>
    </row>
    <row r="55" spans="2:10" x14ac:dyDescent="0.35">
      <c r="B55" s="4"/>
    </row>
    <row r="56" spans="2:10" x14ac:dyDescent="0.35">
      <c r="B56" s="4"/>
    </row>
    <row r="57" spans="2:10" x14ac:dyDescent="0.35">
      <c r="B57" s="4"/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0F0EB0-E7BF-467B-8FA7-CBBBDF3AE77D}">
  <sheetPr>
    <tabColor theme="9" tint="0.39997558519241921"/>
  </sheetPr>
  <dimension ref="B2:AM65"/>
  <sheetViews>
    <sheetView workbookViewId="0"/>
  </sheetViews>
  <sheetFormatPr defaultColWidth="9.1796875" defaultRowHeight="14.5" x14ac:dyDescent="0.35"/>
  <cols>
    <col min="1" max="1" width="3.1796875" customWidth="1"/>
    <col min="2" max="2" width="10.7265625" customWidth="1"/>
    <col min="3" max="3" width="45.54296875" customWidth="1"/>
    <col min="4" max="4" width="12.7265625" style="4" customWidth="1"/>
    <col min="5" max="5" width="12.54296875" style="2" customWidth="1"/>
    <col min="6" max="7" width="12.453125" customWidth="1"/>
    <col min="8" max="8" width="12.54296875" style="2" customWidth="1"/>
    <col min="9" max="9" width="0.81640625" style="5" customWidth="1"/>
    <col min="10" max="10" width="13.54296875" customWidth="1"/>
    <col min="11" max="11" width="19.36328125" customWidth="1"/>
    <col min="12" max="12" width="10.453125" bestFit="1" customWidth="1"/>
  </cols>
  <sheetData>
    <row r="2" spans="2:39" ht="23.5" x14ac:dyDescent="0.55000000000000004">
      <c r="B2" s="26" t="s">
        <v>164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x14ac:dyDescent="0.35">
      <c r="B8" s="19"/>
      <c r="C8" s="97" t="s">
        <v>144</v>
      </c>
      <c r="D8" s="98">
        <f>148037.80992*1.5</f>
        <v>222056.71487999998</v>
      </c>
      <c r="E8" s="98">
        <f>(D8*1.048)</f>
        <v>232715.43719423999</v>
      </c>
      <c r="F8" s="98">
        <f t="shared" ref="F8:H8" si="0">(E8*1.048)</f>
        <v>243885.77817956352</v>
      </c>
      <c r="G8" s="98">
        <f t="shared" si="0"/>
        <v>255592.29553218259</v>
      </c>
      <c r="H8" s="98">
        <f t="shared" si="0"/>
        <v>267860.72571772739</v>
      </c>
      <c r="I8" s="99">
        <v>450000</v>
      </c>
      <c r="J8" s="98">
        <f>SUM(D8:H8)</f>
        <v>1222110.9515037134</v>
      </c>
      <c r="L8" s="132"/>
    </row>
    <row r="9" spans="2:39" x14ac:dyDescent="0.35">
      <c r="B9" s="19"/>
      <c r="C9" s="97"/>
      <c r="D9" s="98"/>
      <c r="E9" s="98"/>
      <c r="F9" s="98"/>
      <c r="G9" s="98"/>
      <c r="H9" s="98"/>
      <c r="I9" s="100"/>
      <c r="J9" s="98">
        <f>SUM(D9:H9)</f>
        <v>0</v>
      </c>
    </row>
    <row r="10" spans="2:39" x14ac:dyDescent="0.35">
      <c r="B10" s="19"/>
      <c r="C10" s="118"/>
      <c r="D10" s="98"/>
      <c r="E10" s="101"/>
      <c r="F10" s="101"/>
      <c r="G10" s="101"/>
      <c r="H10" s="101"/>
      <c r="I10" s="100"/>
      <c r="J10" s="98">
        <f>SUM(D10:H10)</f>
        <v>0</v>
      </c>
    </row>
    <row r="11" spans="2:39" x14ac:dyDescent="0.35">
      <c r="B11" s="19"/>
      <c r="C11" s="116" t="s">
        <v>12</v>
      </c>
      <c r="D11" s="103">
        <f>SUM(D8:D10)</f>
        <v>222056.71487999998</v>
      </c>
      <c r="E11" s="103">
        <f t="shared" ref="E11:J11" si="1">SUM(E8:E10)</f>
        <v>232715.43719423999</v>
      </c>
      <c r="F11" s="103">
        <f t="shared" si="1"/>
        <v>243885.77817956352</v>
      </c>
      <c r="G11" s="103">
        <f t="shared" si="1"/>
        <v>255592.29553218259</v>
      </c>
      <c r="H11" s="103">
        <f t="shared" si="1"/>
        <v>267860.72571772739</v>
      </c>
      <c r="I11" s="100">
        <f t="shared" si="1"/>
        <v>450000</v>
      </c>
      <c r="J11" s="103">
        <f t="shared" si="1"/>
        <v>1222110.9515037134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97" t="s">
        <v>145</v>
      </c>
      <c r="D13" s="98">
        <f>62916.069216*1.5</f>
        <v>94374.103824000005</v>
      </c>
      <c r="E13" s="98">
        <f t="shared" ref="E13:H13" si="2">62916.069216*1.5</f>
        <v>94374.103824000005</v>
      </c>
      <c r="F13" s="98">
        <f t="shared" si="2"/>
        <v>94374.103824000005</v>
      </c>
      <c r="G13" s="98">
        <f t="shared" si="2"/>
        <v>94374.103824000005</v>
      </c>
      <c r="H13" s="98">
        <f t="shared" si="2"/>
        <v>94374.103824000005</v>
      </c>
      <c r="I13" s="100"/>
      <c r="J13" s="98">
        <f>SUM(D13:H13)</f>
        <v>471870.51912000001</v>
      </c>
      <c r="L13" s="27"/>
      <c r="M13" s="27"/>
      <c r="N13" s="27"/>
      <c r="O13" s="27"/>
      <c r="P13" s="27"/>
    </row>
    <row r="14" spans="2:39" x14ac:dyDescent="0.35">
      <c r="B14" s="19"/>
      <c r="C14" s="97" t="s">
        <v>146</v>
      </c>
      <c r="D14" s="98">
        <f>105476.939568*1.5</f>
        <v>158215.40935199999</v>
      </c>
      <c r="E14" s="98">
        <f t="shared" ref="E14:H14" si="3">105476.939568*1.5</f>
        <v>158215.40935199999</v>
      </c>
      <c r="F14" s="98">
        <f t="shared" si="3"/>
        <v>158215.40935199999</v>
      </c>
      <c r="G14" s="98">
        <f t="shared" si="3"/>
        <v>158215.40935199999</v>
      </c>
      <c r="H14" s="98">
        <f t="shared" si="3"/>
        <v>158215.40935199999</v>
      </c>
      <c r="I14" s="100"/>
      <c r="J14" s="98">
        <f>SUM(D14:H14)</f>
        <v>791077.04675999994</v>
      </c>
    </row>
    <row r="15" spans="2:39" x14ac:dyDescent="0.35">
      <c r="B15" s="19"/>
      <c r="C15" s="105"/>
      <c r="D15" s="98"/>
      <c r="E15" s="101"/>
      <c r="F15" s="101"/>
      <c r="G15" s="101"/>
      <c r="H15" s="101"/>
      <c r="I15" s="100"/>
      <c r="J15" s="98">
        <f t="shared" ref="J15" si="4">SUM(D15:H15)</f>
        <v>0</v>
      </c>
    </row>
    <row r="16" spans="2:39" x14ac:dyDescent="0.35">
      <c r="B16" s="19"/>
      <c r="C16" s="116" t="s">
        <v>13</v>
      </c>
      <c r="D16" s="103">
        <f>SUM(D13:D15)</f>
        <v>252589.51317599998</v>
      </c>
      <c r="E16" s="103">
        <f t="shared" ref="E16:J16" si="5">SUM(E13:E15)</f>
        <v>252589.51317599998</v>
      </c>
      <c r="F16" s="103">
        <f t="shared" si="5"/>
        <v>252589.51317599998</v>
      </c>
      <c r="G16" s="103">
        <f t="shared" si="5"/>
        <v>252589.51317599998</v>
      </c>
      <c r="H16" s="103">
        <f t="shared" si="5"/>
        <v>252589.51317599998</v>
      </c>
      <c r="I16" s="100">
        <f t="shared" si="5"/>
        <v>0</v>
      </c>
      <c r="J16" s="103">
        <f t="shared" si="5"/>
        <v>1262947.5658799999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3"/>
      <c r="E18" s="13"/>
      <c r="F18" s="13"/>
      <c r="G18" s="13"/>
      <c r="H18" s="13"/>
      <c r="I18" s="28">
        <v>1638</v>
      </c>
      <c r="J18" s="13">
        <f t="shared" ref="J18" si="6">SUM(D18:H18)</f>
        <v>0</v>
      </c>
    </row>
    <row r="19" spans="2:10" x14ac:dyDescent="0.35">
      <c r="B19" s="19"/>
      <c r="C19" s="7" t="s">
        <v>14</v>
      </c>
      <c r="D19" s="14">
        <f>SUM(D18:D18)</f>
        <v>0</v>
      </c>
      <c r="E19" s="14">
        <f>SUM(E18:E18)</f>
        <v>0</v>
      </c>
      <c r="F19" s="14">
        <f>SUM(F18:F18)</f>
        <v>0</v>
      </c>
      <c r="G19" s="14">
        <f>SUM(G18:G18)</f>
        <v>0</v>
      </c>
      <c r="H19" s="14">
        <f>SUM(H18:H18)</f>
        <v>0</v>
      </c>
      <c r="J19" s="14">
        <f>SUM(D19:H19)</f>
        <v>0</v>
      </c>
    </row>
    <row r="20" spans="2:10" x14ac:dyDescent="0.35">
      <c r="B20" s="19"/>
      <c r="C20" s="12" t="s">
        <v>34</v>
      </c>
      <c r="D20" s="13"/>
      <c r="E20" s="8"/>
      <c r="F20" s="8"/>
      <c r="G20" s="8"/>
      <c r="H20" s="8"/>
      <c r="J20" s="13" t="s">
        <v>20</v>
      </c>
    </row>
    <row r="21" spans="2:10" ht="29" x14ac:dyDescent="0.35">
      <c r="B21" s="19"/>
      <c r="C21" s="97" t="s">
        <v>82</v>
      </c>
      <c r="D21" s="98">
        <f>55000*7</f>
        <v>385000</v>
      </c>
      <c r="E21" s="105"/>
      <c r="F21" s="105"/>
      <c r="G21" s="105"/>
      <c r="H21" s="105"/>
      <c r="I21" s="100"/>
      <c r="J21" s="98">
        <f>SUM(D21:H21)</f>
        <v>385000</v>
      </c>
    </row>
    <row r="22" spans="2:10" x14ac:dyDescent="0.35">
      <c r="B22" s="19" t="s">
        <v>35</v>
      </c>
      <c r="C22" s="104" t="s">
        <v>35</v>
      </c>
      <c r="D22" s="104" t="s">
        <v>31</v>
      </c>
      <c r="E22" s="105"/>
      <c r="F22" s="105"/>
      <c r="G22" s="105"/>
      <c r="H22" s="105"/>
      <c r="I22" s="100"/>
      <c r="J22" s="98">
        <f t="shared" ref="J22:J43" si="7">SUM(D22:H22)</f>
        <v>0</v>
      </c>
    </row>
    <row r="23" spans="2:10" x14ac:dyDescent="0.35">
      <c r="B23" s="19"/>
      <c r="C23" s="116" t="s">
        <v>15</v>
      </c>
      <c r="D23" s="107">
        <f>SUM(D21:D22)</f>
        <v>385000</v>
      </c>
      <c r="E23" s="107">
        <f t="shared" ref="E23:H23" si="8">SUM(E21:E22)</f>
        <v>0</v>
      </c>
      <c r="F23" s="107">
        <f t="shared" si="8"/>
        <v>0</v>
      </c>
      <c r="G23" s="107">
        <f t="shared" si="8"/>
        <v>0</v>
      </c>
      <c r="H23" s="107">
        <f t="shared" si="8"/>
        <v>0</v>
      </c>
      <c r="I23" s="100"/>
      <c r="J23" s="103">
        <f t="shared" si="7"/>
        <v>385000</v>
      </c>
    </row>
    <row r="24" spans="2:10" x14ac:dyDescent="0.35">
      <c r="B24" s="19"/>
      <c r="C24" s="12" t="s">
        <v>36</v>
      </c>
      <c r="D24" s="11" t="s">
        <v>31</v>
      </c>
      <c r="E24" s="8"/>
      <c r="F24" s="8"/>
      <c r="G24" s="8"/>
      <c r="H24" s="8"/>
      <c r="J24" s="13"/>
    </row>
    <row r="25" spans="2:10" x14ac:dyDescent="0.35">
      <c r="B25" s="19"/>
      <c r="C25" s="21"/>
      <c r="D25" s="13"/>
      <c r="E25" s="13"/>
      <c r="F25" s="13"/>
      <c r="G25" s="13"/>
      <c r="H25" s="13"/>
      <c r="I25" s="28">
        <v>5000</v>
      </c>
      <c r="J25" s="13">
        <f t="shared" si="7"/>
        <v>0</v>
      </c>
    </row>
    <row r="26" spans="2:10" x14ac:dyDescent="0.35">
      <c r="B26" s="19"/>
      <c r="C26" s="21"/>
      <c r="D26" s="13"/>
      <c r="E26" s="9"/>
      <c r="F26" s="9"/>
      <c r="G26" s="9"/>
      <c r="H26" s="9"/>
      <c r="J26" s="13">
        <f t="shared" si="7"/>
        <v>0</v>
      </c>
    </row>
    <row r="27" spans="2:10" x14ac:dyDescent="0.35">
      <c r="B27" s="19"/>
      <c r="C27" s="7" t="s">
        <v>16</v>
      </c>
      <c r="D27" s="14">
        <f>SUM(D25:D26)</f>
        <v>0</v>
      </c>
      <c r="E27" s="14">
        <f t="shared" ref="E27:H27" si="9">SUM(E25:E26)</f>
        <v>0</v>
      </c>
      <c r="F27" s="14">
        <f t="shared" si="9"/>
        <v>0</v>
      </c>
      <c r="G27" s="14">
        <f t="shared" si="9"/>
        <v>0</v>
      </c>
      <c r="H27" s="14">
        <f t="shared" si="9"/>
        <v>0</v>
      </c>
      <c r="J27" s="14">
        <f t="shared" si="7"/>
        <v>0</v>
      </c>
    </row>
    <row r="28" spans="2:10" x14ac:dyDescent="0.35">
      <c r="B28" s="19"/>
      <c r="C28" s="12" t="s">
        <v>38</v>
      </c>
      <c r="D28" s="11" t="s">
        <v>31</v>
      </c>
      <c r="E28" s="8"/>
      <c r="F28" s="8"/>
      <c r="G28" s="8"/>
      <c r="H28" s="8"/>
      <c r="J28" s="13"/>
    </row>
    <row r="29" spans="2:10" ht="29" x14ac:dyDescent="0.35">
      <c r="B29" s="19"/>
      <c r="C29" s="117" t="s">
        <v>83</v>
      </c>
      <c r="D29" s="98">
        <f>70000*7</f>
        <v>490000</v>
      </c>
      <c r="E29" s="98"/>
      <c r="F29" s="98"/>
      <c r="G29" s="98"/>
      <c r="H29" s="98"/>
      <c r="I29" s="99"/>
      <c r="J29" s="98">
        <f t="shared" si="7"/>
        <v>490000</v>
      </c>
    </row>
    <row r="30" spans="2:10" x14ac:dyDescent="0.35">
      <c r="B30" s="19"/>
      <c r="C30" s="97"/>
      <c r="D30" s="98"/>
      <c r="E30" s="98"/>
      <c r="F30" s="98"/>
      <c r="G30" s="98"/>
      <c r="H30" s="98"/>
      <c r="I30" s="99">
        <v>22500000</v>
      </c>
      <c r="J30" s="98">
        <f t="shared" si="7"/>
        <v>0</v>
      </c>
    </row>
    <row r="31" spans="2:10" x14ac:dyDescent="0.35">
      <c r="B31" s="19"/>
      <c r="C31" s="97"/>
      <c r="D31" s="98"/>
      <c r="E31" s="98"/>
      <c r="F31" s="98"/>
      <c r="G31" s="98"/>
      <c r="H31" s="98"/>
      <c r="I31" s="99">
        <v>75000000</v>
      </c>
      <c r="J31" s="98">
        <f t="shared" si="7"/>
        <v>0</v>
      </c>
    </row>
    <row r="32" spans="2:10" x14ac:dyDescent="0.35">
      <c r="B32" s="19"/>
      <c r="C32" s="97"/>
      <c r="D32" s="98"/>
      <c r="E32" s="98"/>
      <c r="F32" s="98"/>
      <c r="G32" s="98"/>
      <c r="H32" s="98"/>
      <c r="I32" s="99"/>
      <c r="J32" s="98">
        <f t="shared" si="7"/>
        <v>0</v>
      </c>
    </row>
    <row r="33" spans="2:11" x14ac:dyDescent="0.35">
      <c r="B33" s="19"/>
      <c r="C33" s="97"/>
      <c r="D33" s="98"/>
      <c r="E33" s="98"/>
      <c r="F33" s="98"/>
      <c r="G33" s="98"/>
      <c r="H33" s="98"/>
      <c r="I33" s="100"/>
      <c r="J33" s="98">
        <f t="shared" si="7"/>
        <v>0</v>
      </c>
    </row>
    <row r="34" spans="2:11" x14ac:dyDescent="0.35">
      <c r="B34" s="19"/>
      <c r="C34" s="116" t="s">
        <v>17</v>
      </c>
      <c r="D34" s="103">
        <f>SUM(D29:D33)</f>
        <v>490000</v>
      </c>
      <c r="E34" s="103">
        <f t="shared" ref="E34:H34" si="10">SUM(E29:E33)</f>
        <v>0</v>
      </c>
      <c r="F34" s="103">
        <f t="shared" si="10"/>
        <v>0</v>
      </c>
      <c r="G34" s="103">
        <f t="shared" si="10"/>
        <v>0</v>
      </c>
      <c r="H34" s="103">
        <f t="shared" si="10"/>
        <v>0</v>
      </c>
      <c r="I34" s="100"/>
      <c r="J34" s="103">
        <f t="shared" si="7"/>
        <v>490000</v>
      </c>
    </row>
    <row r="35" spans="2:11" x14ac:dyDescent="0.35">
      <c r="B35" s="19"/>
      <c r="C35" s="12" t="s">
        <v>39</v>
      </c>
      <c r="D35" s="11" t="s">
        <v>31</v>
      </c>
      <c r="E35" s="8"/>
      <c r="F35" s="8"/>
      <c r="G35" s="8"/>
      <c r="H35" s="8"/>
      <c r="J35" s="13"/>
    </row>
    <row r="36" spans="2:11" x14ac:dyDescent="0.35">
      <c r="B36" s="19"/>
      <c r="C36" s="21"/>
      <c r="D36" s="13"/>
      <c r="E36" s="13"/>
      <c r="F36" s="13"/>
      <c r="G36" s="13"/>
      <c r="H36" s="13"/>
      <c r="I36" s="28">
        <v>375000</v>
      </c>
      <c r="J36" s="13">
        <f t="shared" si="7"/>
        <v>0</v>
      </c>
    </row>
    <row r="37" spans="2:11" x14ac:dyDescent="0.35">
      <c r="B37" s="19"/>
      <c r="C37" s="21"/>
      <c r="D37" s="13"/>
      <c r="E37" s="13"/>
      <c r="F37" s="13"/>
      <c r="G37" s="13"/>
      <c r="H37" s="13"/>
      <c r="I37" s="28">
        <v>781250</v>
      </c>
      <c r="J37" s="13">
        <f t="shared" si="7"/>
        <v>0</v>
      </c>
    </row>
    <row r="38" spans="2:11" x14ac:dyDescent="0.35">
      <c r="B38" s="19"/>
      <c r="C38" s="21"/>
      <c r="D38" s="13"/>
      <c r="E38" s="13"/>
      <c r="F38" s="13"/>
      <c r="G38" s="13"/>
      <c r="H38" s="13"/>
      <c r="I38" s="28">
        <v>2083335</v>
      </c>
      <c r="J38" s="13">
        <f t="shared" si="7"/>
        <v>0</v>
      </c>
    </row>
    <row r="39" spans="2:11" x14ac:dyDescent="0.35">
      <c r="B39" s="19"/>
      <c r="C39" s="21"/>
      <c r="D39" s="13"/>
      <c r="E39" s="9"/>
      <c r="F39" s="9"/>
      <c r="G39" s="9"/>
      <c r="H39" s="9"/>
      <c r="J39" s="13">
        <f t="shared" si="7"/>
        <v>0</v>
      </c>
    </row>
    <row r="40" spans="2:11" x14ac:dyDescent="0.35">
      <c r="B40" s="19"/>
      <c r="C40" s="21"/>
      <c r="D40" s="13"/>
      <c r="E40" s="9"/>
      <c r="F40" s="9"/>
      <c r="G40" s="9"/>
      <c r="H40" s="9"/>
      <c r="J40" s="13">
        <f t="shared" si="7"/>
        <v>0</v>
      </c>
    </row>
    <row r="41" spans="2:11" x14ac:dyDescent="0.35">
      <c r="B41" s="19"/>
      <c r="C41" s="8"/>
      <c r="D41" s="13"/>
      <c r="E41" s="9"/>
      <c r="F41" s="9"/>
      <c r="G41" s="9"/>
      <c r="H41" s="9"/>
      <c r="J41" s="13">
        <f t="shared" si="7"/>
        <v>0</v>
      </c>
    </row>
    <row r="42" spans="2:11" x14ac:dyDescent="0.35">
      <c r="B42" s="20"/>
      <c r="C42" s="7" t="s">
        <v>18</v>
      </c>
      <c r="D42" s="14">
        <f>SUM(D36:D41)</f>
        <v>0</v>
      </c>
      <c r="E42" s="14">
        <f t="shared" ref="E42:H42" si="11">SUM(E36:E41)</f>
        <v>0</v>
      </c>
      <c r="F42" s="14">
        <f t="shared" si="11"/>
        <v>0</v>
      </c>
      <c r="G42" s="14">
        <f t="shared" si="11"/>
        <v>0</v>
      </c>
      <c r="H42" s="14">
        <f t="shared" si="11"/>
        <v>0</v>
      </c>
      <c r="J42" s="14">
        <f t="shared" si="7"/>
        <v>0</v>
      </c>
    </row>
    <row r="43" spans="2:11" x14ac:dyDescent="0.35">
      <c r="B43" s="20"/>
      <c r="C43" s="116" t="s">
        <v>19</v>
      </c>
      <c r="D43" s="103">
        <f>SUM(D42,D34,D27,D23,D19,D16,D11)</f>
        <v>1349646.2280560001</v>
      </c>
      <c r="E43" s="103">
        <f>SUM(E42,E34,E27,E23,E19,E16,E11)</f>
        <v>485304.95037023997</v>
      </c>
      <c r="F43" s="103">
        <f>SUM(F42,F34,F27,F23,F19,F16,F11)</f>
        <v>496475.2913555635</v>
      </c>
      <c r="G43" s="103">
        <f>SUM(G42,G34,G27,G23,G19,G16,G11)</f>
        <v>508181.80870818254</v>
      </c>
      <c r="H43" s="103">
        <f>SUM(H42,H34,H27,H23,H19,H16,H11)</f>
        <v>520450.23889372736</v>
      </c>
      <c r="I43" s="100"/>
      <c r="J43" s="103">
        <f t="shared" si="7"/>
        <v>3360058.5173837133</v>
      </c>
      <c r="K43" s="27"/>
    </row>
    <row r="44" spans="2:11" x14ac:dyDescent="0.35">
      <c r="B44" s="4"/>
      <c r="D44"/>
      <c r="E44"/>
      <c r="H44"/>
      <c r="I44"/>
      <c r="J44" t="s">
        <v>20</v>
      </c>
    </row>
    <row r="45" spans="2:11" ht="29" x14ac:dyDescent="0.35">
      <c r="B45" s="56" t="s">
        <v>40</v>
      </c>
      <c r="C45" s="15" t="s">
        <v>40</v>
      </c>
      <c r="D45" s="16"/>
      <c r="E45" s="16"/>
      <c r="F45" s="16"/>
      <c r="G45" s="16"/>
      <c r="H45" s="16"/>
      <c r="I45"/>
      <c r="J45" s="16" t="s">
        <v>20</v>
      </c>
    </row>
    <row r="46" spans="2:11" x14ac:dyDescent="0.35">
      <c r="B46" s="19"/>
      <c r="C46" s="21"/>
      <c r="D46" s="11"/>
      <c r="E46" s="8"/>
      <c r="F46" s="8"/>
      <c r="G46" s="8"/>
      <c r="H46" s="8"/>
      <c r="J46" s="13">
        <f>SUM(D46:H46)</f>
        <v>0</v>
      </c>
    </row>
    <row r="47" spans="2:11" x14ac:dyDescent="0.35">
      <c r="B47" s="19"/>
      <c r="C47" s="21"/>
      <c r="D47" s="11"/>
      <c r="E47" s="8"/>
      <c r="F47" s="8"/>
      <c r="G47" s="8"/>
      <c r="H47" s="8"/>
      <c r="J47" s="13">
        <f t="shared" ref="J47:J48" si="12">SUM(D47:H47)</f>
        <v>0</v>
      </c>
    </row>
    <row r="48" spans="2:11" x14ac:dyDescent="0.35">
      <c r="B48" s="20"/>
      <c r="C48" s="7" t="s">
        <v>21</v>
      </c>
      <c r="D48" s="14">
        <f>SUM(D46:D47)</f>
        <v>0</v>
      </c>
      <c r="E48" s="14">
        <f t="shared" ref="E48:H48" si="13">SUM(E46:E47)</f>
        <v>0</v>
      </c>
      <c r="F48" s="14">
        <f t="shared" si="13"/>
        <v>0</v>
      </c>
      <c r="G48" s="14">
        <f t="shared" si="13"/>
        <v>0</v>
      </c>
      <c r="H48" s="14">
        <f t="shared" si="13"/>
        <v>0</v>
      </c>
      <c r="J48" s="14">
        <f t="shared" si="12"/>
        <v>0</v>
      </c>
    </row>
    <row r="49" spans="2:10" ht="15" thickBot="1" x14ac:dyDescent="0.4">
      <c r="B49" s="4"/>
      <c r="D49"/>
      <c r="E49"/>
      <c r="H49"/>
      <c r="I49"/>
      <c r="J49" t="s">
        <v>20</v>
      </c>
    </row>
    <row r="50" spans="2:10" s="1" customFormat="1" ht="29.5" thickBot="1" x14ac:dyDescent="0.4">
      <c r="B50" s="95" t="s">
        <v>22</v>
      </c>
      <c r="C50" s="95"/>
      <c r="D50" s="96">
        <f>SUM(D48,D43)</f>
        <v>1349646.2280560001</v>
      </c>
      <c r="E50" s="96">
        <f t="shared" ref="E50:J50" si="14">SUM(E48,E43)</f>
        <v>485304.95037023997</v>
      </c>
      <c r="F50" s="96">
        <f t="shared" si="14"/>
        <v>496475.2913555635</v>
      </c>
      <c r="G50" s="96">
        <f t="shared" si="14"/>
        <v>508181.80870818254</v>
      </c>
      <c r="H50" s="96">
        <f t="shared" si="14"/>
        <v>520450.23889372736</v>
      </c>
      <c r="I50" s="100">
        <f>SUM(I48,I43)</f>
        <v>0</v>
      </c>
      <c r="J50" s="96">
        <f t="shared" si="14"/>
        <v>3360058.5173837133</v>
      </c>
    </row>
    <row r="51" spans="2:10" x14ac:dyDescent="0.35">
      <c r="B51" s="4"/>
    </row>
    <row r="52" spans="2:10" x14ac:dyDescent="0.35">
      <c r="B52" s="4"/>
    </row>
    <row r="53" spans="2:10" x14ac:dyDescent="0.35">
      <c r="B53" s="4"/>
    </row>
    <row r="54" spans="2:10" x14ac:dyDescent="0.35">
      <c r="B54" s="4"/>
    </row>
    <row r="55" spans="2:10" x14ac:dyDescent="0.35">
      <c r="B55" s="4"/>
    </row>
    <row r="56" spans="2:10" x14ac:dyDescent="0.35">
      <c r="B56" s="4"/>
    </row>
    <row r="57" spans="2:10" x14ac:dyDescent="0.35">
      <c r="B57" s="4"/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FCF78E-7E19-4F46-96EE-18449428DC0C}">
  <sheetPr>
    <tabColor theme="9" tint="0.39997558519241921"/>
  </sheetPr>
  <dimension ref="B2:AM68"/>
  <sheetViews>
    <sheetView workbookViewId="0"/>
  </sheetViews>
  <sheetFormatPr defaultColWidth="9.1796875" defaultRowHeight="14.5" x14ac:dyDescent="0.35"/>
  <cols>
    <col min="1" max="1" width="3.1796875" customWidth="1"/>
    <col min="2" max="2" width="10.1796875" customWidth="1"/>
    <col min="3" max="3" width="35.453125" customWidth="1"/>
    <col min="4" max="4" width="12.453125" style="4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5" customWidth="1"/>
    <col min="10" max="10" width="12.81640625" customWidth="1"/>
    <col min="11" max="11" width="14.54296875" customWidth="1"/>
  </cols>
  <sheetData>
    <row r="2" spans="2:39" ht="23.5" x14ac:dyDescent="0.55000000000000004">
      <c r="B2" s="26" t="s">
        <v>86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ht="29" x14ac:dyDescent="0.35">
      <c r="B7" s="56" t="s">
        <v>11</v>
      </c>
      <c r="C7" s="119" t="s">
        <v>30</v>
      </c>
      <c r="D7" s="105" t="s">
        <v>31</v>
      </c>
      <c r="E7" s="105" t="s">
        <v>31</v>
      </c>
      <c r="F7" s="105" t="s">
        <v>31</v>
      </c>
      <c r="G7" s="105"/>
      <c r="H7" s="105" t="s">
        <v>31</v>
      </c>
      <c r="I7" s="100"/>
      <c r="J7" s="10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x14ac:dyDescent="0.35">
      <c r="B8" s="19"/>
      <c r="C8" s="97" t="s">
        <v>147</v>
      </c>
      <c r="D8" s="98">
        <v>148038</v>
      </c>
      <c r="E8" s="98">
        <f>D8*1.048</f>
        <v>155143.82399999999</v>
      </c>
      <c r="F8" s="98">
        <f t="shared" ref="F8:H8" si="0">E8*1.048</f>
        <v>162590.727552</v>
      </c>
      <c r="G8" s="98">
        <f t="shared" si="0"/>
        <v>170395.08247449601</v>
      </c>
      <c r="H8" s="98">
        <f t="shared" si="0"/>
        <v>178574.04643327184</v>
      </c>
      <c r="I8" s="99"/>
      <c r="J8" s="98">
        <f>SUM(D8:H8)</f>
        <v>814741.68045976781</v>
      </c>
    </row>
    <row r="9" spans="2:39" x14ac:dyDescent="0.35">
      <c r="B9" s="19"/>
      <c r="C9" s="97"/>
      <c r="D9" s="98"/>
      <c r="E9" s="98"/>
      <c r="F9" s="98"/>
      <c r="G9" s="98"/>
      <c r="H9" s="98"/>
      <c r="I9" s="100"/>
      <c r="J9" s="98">
        <f>SUM(D9:H9)</f>
        <v>0</v>
      </c>
    </row>
    <row r="10" spans="2:39" x14ac:dyDescent="0.35">
      <c r="B10" s="19"/>
      <c r="C10" s="118"/>
      <c r="D10" s="98"/>
      <c r="E10" s="101"/>
      <c r="F10" s="101"/>
      <c r="G10" s="101"/>
      <c r="H10" s="101"/>
      <c r="I10" s="100"/>
      <c r="J10" s="98">
        <f>SUM(D10:H10)</f>
        <v>0</v>
      </c>
      <c r="L10" s="27"/>
    </row>
    <row r="11" spans="2:39" x14ac:dyDescent="0.35">
      <c r="B11" s="19"/>
      <c r="C11" s="116" t="s">
        <v>12</v>
      </c>
      <c r="D11" s="103">
        <f>SUM(D8:D10)</f>
        <v>148038</v>
      </c>
      <c r="E11" s="103">
        <f t="shared" ref="E11:J11" si="1">SUM(E8:E10)</f>
        <v>155143.82399999999</v>
      </c>
      <c r="F11" s="103">
        <f t="shared" si="1"/>
        <v>162590.727552</v>
      </c>
      <c r="G11" s="103">
        <f t="shared" si="1"/>
        <v>170395.08247449601</v>
      </c>
      <c r="H11" s="103">
        <f t="shared" si="1"/>
        <v>178574.04643327184</v>
      </c>
      <c r="I11" s="100"/>
      <c r="J11" s="103">
        <f t="shared" si="1"/>
        <v>814741.68045976781</v>
      </c>
    </row>
    <row r="12" spans="2:39" x14ac:dyDescent="0.35">
      <c r="B12" s="19"/>
      <c r="C12" s="89" t="s">
        <v>32</v>
      </c>
      <c r="D12" s="104" t="s">
        <v>31</v>
      </c>
      <c r="E12" s="105"/>
      <c r="F12" s="105"/>
      <c r="G12" s="105"/>
      <c r="H12" s="105"/>
      <c r="I12" s="100"/>
      <c r="J12" s="106" t="s">
        <v>31</v>
      </c>
    </row>
    <row r="13" spans="2:39" x14ac:dyDescent="0.35">
      <c r="B13" s="19"/>
      <c r="C13" s="97" t="s">
        <v>148</v>
      </c>
      <c r="D13" s="98">
        <f>62916.069216</f>
        <v>62916.069216000004</v>
      </c>
      <c r="E13" s="98">
        <f t="shared" ref="E13:H13" si="2">62916.069216</f>
        <v>62916.069216000004</v>
      </c>
      <c r="F13" s="98">
        <f t="shared" si="2"/>
        <v>62916.069216000004</v>
      </c>
      <c r="G13" s="98">
        <f t="shared" si="2"/>
        <v>62916.069216000004</v>
      </c>
      <c r="H13" s="98">
        <f t="shared" si="2"/>
        <v>62916.069216000004</v>
      </c>
      <c r="I13" s="100"/>
      <c r="J13" s="98">
        <f>SUM(D13:H13)</f>
        <v>314580.34608000005</v>
      </c>
    </row>
    <row r="14" spans="2:39" x14ac:dyDescent="0.35">
      <c r="B14" s="19"/>
      <c r="C14" s="97" t="s">
        <v>149</v>
      </c>
      <c r="D14" s="98">
        <f>105476.939568</f>
        <v>105476.939568</v>
      </c>
      <c r="E14" s="98">
        <f t="shared" ref="E14:H14" si="3">105476.939568</f>
        <v>105476.939568</v>
      </c>
      <c r="F14" s="98">
        <f t="shared" si="3"/>
        <v>105476.939568</v>
      </c>
      <c r="G14" s="98">
        <f t="shared" si="3"/>
        <v>105476.939568</v>
      </c>
      <c r="H14" s="98">
        <f t="shared" si="3"/>
        <v>105476.939568</v>
      </c>
      <c r="I14" s="100"/>
      <c r="J14" s="98">
        <f t="shared" ref="J14:J15" si="4">SUM(D14:H14)</f>
        <v>527384.69784000004</v>
      </c>
    </row>
    <row r="15" spans="2:39" x14ac:dyDescent="0.35">
      <c r="B15" s="19"/>
      <c r="C15" s="105"/>
      <c r="D15" s="98"/>
      <c r="E15" s="101"/>
      <c r="F15" s="101"/>
      <c r="G15" s="101"/>
      <c r="H15" s="101"/>
      <c r="I15" s="100"/>
      <c r="J15" s="98">
        <f t="shared" si="4"/>
        <v>0</v>
      </c>
    </row>
    <row r="16" spans="2:39" x14ac:dyDescent="0.35">
      <c r="B16" s="19"/>
      <c r="C16" s="116" t="s">
        <v>13</v>
      </c>
      <c r="D16" s="103">
        <f>SUM(D13:D15)</f>
        <v>168393.00878400001</v>
      </c>
      <c r="E16" s="103">
        <f t="shared" ref="E16:J16" si="5">SUM(E13:E15)</f>
        <v>168393.00878400001</v>
      </c>
      <c r="F16" s="103">
        <f t="shared" si="5"/>
        <v>168393.00878400001</v>
      </c>
      <c r="G16" s="103">
        <f t="shared" si="5"/>
        <v>168393.00878400001</v>
      </c>
      <c r="H16" s="103">
        <f t="shared" si="5"/>
        <v>168393.00878400001</v>
      </c>
      <c r="I16" s="100"/>
      <c r="J16" s="103">
        <f t="shared" si="5"/>
        <v>841965.04392000008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5"/>
      <c r="D18" s="13"/>
      <c r="E18" s="9"/>
      <c r="F18" s="9"/>
      <c r="G18" s="9"/>
      <c r="H18" s="9"/>
      <c r="J18" s="13">
        <f>SUM(D18:H18)</f>
        <v>0</v>
      </c>
    </row>
    <row r="19" spans="2:10" x14ac:dyDescent="0.35">
      <c r="B19" s="19"/>
      <c r="C19" s="25"/>
      <c r="D19" s="13"/>
      <c r="E19" s="13"/>
      <c r="F19" s="13"/>
      <c r="G19" s="13"/>
      <c r="H19" s="13"/>
      <c r="I19" s="28"/>
      <c r="J19" s="13">
        <f>SUM(D19:H19)</f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/>
      <c r="J20" s="13">
        <f t="shared" ref="J20:J25" si="6">SUM(D20:H20)</f>
        <v>0</v>
      </c>
    </row>
    <row r="21" spans="2:10" x14ac:dyDescent="0.35">
      <c r="B21" s="19"/>
      <c r="C21" s="21"/>
      <c r="D21" s="13"/>
      <c r="E21" s="13"/>
      <c r="F21" s="13"/>
      <c r="G21" s="13"/>
      <c r="H21" s="13"/>
      <c r="I21" s="28"/>
      <c r="J21" s="13">
        <f t="shared" si="6"/>
        <v>0</v>
      </c>
    </row>
    <row r="22" spans="2:10" x14ac:dyDescent="0.35">
      <c r="B22" s="19"/>
      <c r="C22" s="25"/>
      <c r="D22" s="13"/>
      <c r="E22" s="13"/>
      <c r="F22" s="13"/>
      <c r="G22" s="13"/>
      <c r="H22" s="13"/>
      <c r="I22" s="28"/>
      <c r="J22" s="13">
        <f t="shared" si="6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/>
      <c r="J23" s="13">
        <f t="shared" si="6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/>
      <c r="J24" s="13">
        <f t="shared" si="6"/>
        <v>0</v>
      </c>
    </row>
    <row r="25" spans="2:10" x14ac:dyDescent="0.35">
      <c r="B25" s="19"/>
      <c r="C25" s="21"/>
      <c r="D25" s="13"/>
      <c r="E25" s="13"/>
      <c r="F25" s="13"/>
      <c r="G25" s="13"/>
      <c r="H25" s="13"/>
      <c r="I25" s="28"/>
      <c r="J25" s="13">
        <f t="shared" si="6"/>
        <v>0</v>
      </c>
    </row>
    <row r="26" spans="2:10" x14ac:dyDescent="0.35">
      <c r="B26" s="19"/>
      <c r="C26" s="7" t="s">
        <v>14</v>
      </c>
      <c r="D26" s="14">
        <f>SUM(D19:D25)</f>
        <v>0</v>
      </c>
      <c r="E26" s="14">
        <f t="shared" ref="E26:H26" si="7">SUM(E19:E25)</f>
        <v>0</v>
      </c>
      <c r="F26" s="14">
        <f t="shared" si="7"/>
        <v>0</v>
      </c>
      <c r="G26" s="14">
        <f t="shared" si="7"/>
        <v>0</v>
      </c>
      <c r="H26" s="14">
        <f t="shared" si="7"/>
        <v>0</v>
      </c>
      <c r="J26" s="14">
        <f>SUM(J18:J25)</f>
        <v>0</v>
      </c>
    </row>
    <row r="27" spans="2:10" x14ac:dyDescent="0.35">
      <c r="B27" s="19"/>
      <c r="C27" s="12" t="s">
        <v>34</v>
      </c>
      <c r="D27" s="13"/>
      <c r="E27" s="8"/>
      <c r="F27" s="8"/>
      <c r="G27" s="8"/>
      <c r="H27" s="8"/>
      <c r="J27" s="13" t="s">
        <v>20</v>
      </c>
    </row>
    <row r="28" spans="2:10" x14ac:dyDescent="0.35">
      <c r="B28" s="19"/>
      <c r="C28" s="21"/>
      <c r="D28" s="13"/>
      <c r="E28" s="8"/>
      <c r="F28" s="8"/>
      <c r="G28" s="8"/>
      <c r="H28" s="8"/>
      <c r="J28" s="13">
        <f>SUM(D28:H28)</f>
        <v>0</v>
      </c>
    </row>
    <row r="29" spans="2:10" x14ac:dyDescent="0.35">
      <c r="B29" s="19" t="s">
        <v>35</v>
      </c>
      <c r="C29" s="24" t="s">
        <v>35</v>
      </c>
      <c r="D29" s="11" t="s">
        <v>31</v>
      </c>
      <c r="E29" s="8"/>
      <c r="F29" s="8"/>
      <c r="G29" s="8"/>
      <c r="H29" s="8"/>
      <c r="J29" s="13">
        <f t="shared" ref="J29:J46" si="8">SUM(D29:H29)</f>
        <v>0</v>
      </c>
    </row>
    <row r="30" spans="2:10" x14ac:dyDescent="0.35">
      <c r="B30" s="19"/>
      <c r="C30" s="7" t="s">
        <v>15</v>
      </c>
      <c r="D30" s="10">
        <f>SUM(D28:D29)</f>
        <v>0</v>
      </c>
      <c r="E30" s="10">
        <f t="shared" ref="E30:H30" si="9">SUM(E28:E29)</f>
        <v>0</v>
      </c>
      <c r="F30" s="10">
        <f t="shared" si="9"/>
        <v>0</v>
      </c>
      <c r="G30" s="10">
        <f t="shared" si="9"/>
        <v>0</v>
      </c>
      <c r="H30" s="10">
        <f t="shared" si="9"/>
        <v>0</v>
      </c>
      <c r="J30" s="14">
        <f>SUM(J28:J29)</f>
        <v>0</v>
      </c>
    </row>
    <row r="31" spans="2:10" x14ac:dyDescent="0.35">
      <c r="B31" s="19"/>
      <c r="C31" s="12" t="s">
        <v>36</v>
      </c>
      <c r="D31" s="11" t="s">
        <v>31</v>
      </c>
      <c r="E31" s="8"/>
      <c r="F31" s="8"/>
      <c r="G31" s="8"/>
      <c r="H31" s="8"/>
      <c r="J31" s="13"/>
    </row>
    <row r="32" spans="2:10" x14ac:dyDescent="0.35">
      <c r="B32" s="19"/>
      <c r="C32" s="21"/>
      <c r="D32" s="13"/>
      <c r="E32" s="13"/>
      <c r="F32" s="13"/>
      <c r="G32" s="13"/>
      <c r="H32" s="13"/>
      <c r="I32" s="28"/>
      <c r="J32" s="13">
        <f t="shared" si="8"/>
        <v>0</v>
      </c>
    </row>
    <row r="33" spans="2:11" x14ac:dyDescent="0.35">
      <c r="B33" s="19"/>
      <c r="C33" s="21"/>
      <c r="D33" s="13"/>
      <c r="E33" s="9"/>
      <c r="F33" s="9"/>
      <c r="G33" s="9"/>
      <c r="H33" s="9"/>
      <c r="J33" s="13">
        <f t="shared" si="8"/>
        <v>0</v>
      </c>
    </row>
    <row r="34" spans="2:11" x14ac:dyDescent="0.35">
      <c r="B34" s="19"/>
      <c r="C34" s="7" t="s">
        <v>16</v>
      </c>
      <c r="D34" s="14">
        <f>SUM(D32:D33)</f>
        <v>0</v>
      </c>
      <c r="E34" s="14">
        <f t="shared" ref="E34:H34" si="10">SUM(E32:E33)</f>
        <v>0</v>
      </c>
      <c r="F34" s="14">
        <f t="shared" si="10"/>
        <v>0</v>
      </c>
      <c r="G34" s="14">
        <f t="shared" si="10"/>
        <v>0</v>
      </c>
      <c r="H34" s="14">
        <f t="shared" si="10"/>
        <v>0</v>
      </c>
      <c r="J34" s="14">
        <f>SUM(J32:J33)</f>
        <v>0</v>
      </c>
    </row>
    <row r="35" spans="2:11" x14ac:dyDescent="0.35">
      <c r="B35" s="19"/>
      <c r="C35" s="12" t="s">
        <v>38</v>
      </c>
      <c r="D35" s="11" t="s">
        <v>31</v>
      </c>
      <c r="E35" s="8"/>
      <c r="F35" s="8"/>
      <c r="G35" s="8"/>
      <c r="H35" s="8"/>
      <c r="J35" s="13"/>
    </row>
    <row r="36" spans="2:11" x14ac:dyDescent="0.35">
      <c r="B36" s="19"/>
      <c r="C36" s="21"/>
      <c r="D36" s="13"/>
      <c r="E36" s="13"/>
      <c r="F36" s="13"/>
      <c r="G36" s="13"/>
      <c r="H36" s="13"/>
      <c r="I36" s="28"/>
      <c r="J36" s="13">
        <f t="shared" si="8"/>
        <v>0</v>
      </c>
    </row>
    <row r="37" spans="2:11" x14ac:dyDescent="0.35">
      <c r="B37" s="19"/>
      <c r="C37" s="21"/>
      <c r="D37" s="13"/>
      <c r="E37" s="13"/>
      <c r="F37" s="13"/>
      <c r="G37" s="13"/>
      <c r="H37" s="13"/>
      <c r="I37" s="28"/>
      <c r="J37" s="13">
        <f t="shared" si="8"/>
        <v>0</v>
      </c>
    </row>
    <row r="38" spans="2:11" x14ac:dyDescent="0.35">
      <c r="B38" s="19"/>
      <c r="C38" s="21"/>
      <c r="D38" s="13"/>
      <c r="E38" s="13"/>
      <c r="F38" s="13"/>
      <c r="G38" s="13"/>
      <c r="H38" s="13"/>
      <c r="I38" s="28"/>
      <c r="J38" s="13">
        <f t="shared" si="8"/>
        <v>0</v>
      </c>
    </row>
    <row r="39" spans="2:11" x14ac:dyDescent="0.35">
      <c r="B39" s="19"/>
      <c r="C39" s="21"/>
      <c r="D39" s="13"/>
      <c r="E39" s="9"/>
      <c r="F39" s="9"/>
      <c r="G39" s="9"/>
      <c r="H39" s="9"/>
      <c r="J39" s="13">
        <f t="shared" si="8"/>
        <v>0</v>
      </c>
    </row>
    <row r="40" spans="2:11" x14ac:dyDescent="0.35">
      <c r="B40" s="19"/>
      <c r="C40" s="7" t="s">
        <v>17</v>
      </c>
      <c r="D40" s="14">
        <f>SUM(D36:D39)</f>
        <v>0</v>
      </c>
      <c r="E40" s="14">
        <f t="shared" ref="E40:H40" si="11">SUM(E36:E39)</f>
        <v>0</v>
      </c>
      <c r="F40" s="14">
        <f t="shared" si="11"/>
        <v>0</v>
      </c>
      <c r="G40" s="14">
        <f t="shared" si="11"/>
        <v>0</v>
      </c>
      <c r="H40" s="14">
        <f t="shared" si="11"/>
        <v>0</v>
      </c>
      <c r="J40" s="14">
        <f>SUM(J36:J39)</f>
        <v>0</v>
      </c>
    </row>
    <row r="41" spans="2:11" x14ac:dyDescent="0.35">
      <c r="B41" s="19"/>
      <c r="C41" s="12" t="s">
        <v>39</v>
      </c>
      <c r="D41" s="11" t="s">
        <v>31</v>
      </c>
      <c r="E41" s="8"/>
      <c r="F41" s="8"/>
      <c r="G41" s="8"/>
      <c r="H41" s="8"/>
      <c r="J41" s="13"/>
    </row>
    <row r="42" spans="2:11" ht="43.5" x14ac:dyDescent="0.35">
      <c r="B42" s="19"/>
      <c r="C42" s="97" t="s">
        <v>84</v>
      </c>
      <c r="D42" s="98"/>
      <c r="E42" s="101">
        <v>400000</v>
      </c>
      <c r="F42" s="101"/>
      <c r="G42" s="101"/>
      <c r="H42" s="101"/>
      <c r="I42" s="100"/>
      <c r="J42" s="98">
        <f t="shared" si="8"/>
        <v>400000</v>
      </c>
    </row>
    <row r="43" spans="2:11" ht="29" x14ac:dyDescent="0.35">
      <c r="B43" s="19"/>
      <c r="C43" s="97" t="s">
        <v>85</v>
      </c>
      <c r="D43" s="98"/>
      <c r="E43" s="101">
        <v>300000</v>
      </c>
      <c r="F43" s="101"/>
      <c r="G43" s="101"/>
      <c r="H43" s="101"/>
      <c r="I43" s="100"/>
      <c r="J43" s="98">
        <f t="shared" si="8"/>
        <v>300000</v>
      </c>
    </row>
    <row r="44" spans="2:11" x14ac:dyDescent="0.35">
      <c r="B44" s="19"/>
      <c r="C44" s="105"/>
      <c r="D44" s="98"/>
      <c r="E44" s="101"/>
      <c r="F44" s="101"/>
      <c r="G44" s="101"/>
      <c r="H44" s="101"/>
      <c r="I44" s="100"/>
      <c r="J44" s="98">
        <f t="shared" si="8"/>
        <v>0</v>
      </c>
    </row>
    <row r="45" spans="2:11" x14ac:dyDescent="0.35">
      <c r="B45" s="20"/>
      <c r="C45" s="116" t="s">
        <v>18</v>
      </c>
      <c r="D45" s="103">
        <f>SUM(D42:D44)</f>
        <v>0</v>
      </c>
      <c r="E45" s="103">
        <f>SUM(E42:E44)</f>
        <v>700000</v>
      </c>
      <c r="F45" s="103">
        <f>SUM(F42:F44)</f>
        <v>0</v>
      </c>
      <c r="G45" s="103">
        <f>SUM(G42:G44)</f>
        <v>0</v>
      </c>
      <c r="H45" s="103">
        <f>SUM(H42:H44)</f>
        <v>0</v>
      </c>
      <c r="I45" s="100"/>
      <c r="J45" s="103">
        <f>SUM(J42:J44)</f>
        <v>700000</v>
      </c>
    </row>
    <row r="46" spans="2:11" x14ac:dyDescent="0.35">
      <c r="B46" s="20"/>
      <c r="C46" s="116" t="s">
        <v>19</v>
      </c>
      <c r="D46" s="103">
        <f>SUM(D45,D40,D34,D30,D26,D16,D11)</f>
        <v>316431.00878400001</v>
      </c>
      <c r="E46" s="103">
        <f>SUM(E45,E40,E34,E30,E26,E16,E11)</f>
        <v>1023536.8327840001</v>
      </c>
      <c r="F46" s="103">
        <f>SUM(F45,F40,F34,F30,F26,F16,F11)</f>
        <v>330983.73633600003</v>
      </c>
      <c r="G46" s="103">
        <f>SUM(G45,G40,G34,G30,G26,G16,G11)</f>
        <v>338788.09125849605</v>
      </c>
      <c r="H46" s="103">
        <f>SUM(H45,H40,H34,H30,H26,H16,H11)</f>
        <v>346967.05521727185</v>
      </c>
      <c r="I46" s="100"/>
      <c r="J46" s="103">
        <f t="shared" si="8"/>
        <v>2356706.7243797681</v>
      </c>
      <c r="K46" s="27"/>
    </row>
    <row r="47" spans="2:11" x14ac:dyDescent="0.35">
      <c r="B47" s="4"/>
      <c r="D47"/>
      <c r="E47"/>
      <c r="H47"/>
      <c r="I47"/>
      <c r="J47" t="s">
        <v>20</v>
      </c>
    </row>
    <row r="48" spans="2:11" ht="29" x14ac:dyDescent="0.35">
      <c r="B48" s="56" t="s">
        <v>40</v>
      </c>
      <c r="C48" s="15" t="s">
        <v>40</v>
      </c>
      <c r="D48" s="16"/>
      <c r="E48" s="16"/>
      <c r="F48" s="16"/>
      <c r="G48" s="16"/>
      <c r="H48" s="16"/>
      <c r="I48"/>
      <c r="J48" s="16" t="s">
        <v>20</v>
      </c>
    </row>
    <row r="49" spans="2:10" x14ac:dyDescent="0.35">
      <c r="B49" s="19"/>
      <c r="C49" s="21"/>
      <c r="D49" s="11"/>
      <c r="E49" s="8"/>
      <c r="F49" s="8"/>
      <c r="G49" s="8"/>
      <c r="H49" s="8"/>
      <c r="J49" s="13">
        <f>SUM(D49:H49)</f>
        <v>0</v>
      </c>
    </row>
    <row r="50" spans="2:10" x14ac:dyDescent="0.35">
      <c r="B50" s="19"/>
      <c r="C50" s="21"/>
      <c r="D50" s="11"/>
      <c r="E50" s="8"/>
      <c r="F50" s="8"/>
      <c r="G50" s="8"/>
      <c r="H50" s="8"/>
      <c r="J50" s="13">
        <f t="shared" ref="J50" si="12">SUM(D50:H50)</f>
        <v>0</v>
      </c>
    </row>
    <row r="51" spans="2:10" x14ac:dyDescent="0.35">
      <c r="B51" s="20"/>
      <c r="C51" s="7" t="s">
        <v>21</v>
      </c>
      <c r="D51" s="14">
        <f>SUM(D49:D50)</f>
        <v>0</v>
      </c>
      <c r="E51" s="14">
        <f t="shared" ref="E51:H51" si="13">SUM(E49:E50)</f>
        <v>0</v>
      </c>
      <c r="F51" s="14">
        <f t="shared" si="13"/>
        <v>0</v>
      </c>
      <c r="G51" s="14">
        <f t="shared" si="13"/>
        <v>0</v>
      </c>
      <c r="H51" s="14">
        <f t="shared" si="13"/>
        <v>0</v>
      </c>
      <c r="J51" s="14">
        <f>SUM(J49:J50)</f>
        <v>0</v>
      </c>
    </row>
    <row r="52" spans="2:10" ht="15" thickBot="1" x14ac:dyDescent="0.4">
      <c r="B52" s="4"/>
      <c r="D52"/>
      <c r="E52"/>
      <c r="H52"/>
      <c r="I52"/>
      <c r="J52" t="s">
        <v>20</v>
      </c>
    </row>
    <row r="53" spans="2:10" s="1" customFormat="1" ht="29.5" thickBot="1" x14ac:dyDescent="0.4">
      <c r="B53" s="17" t="s">
        <v>22</v>
      </c>
      <c r="C53" s="95"/>
      <c r="D53" s="96">
        <f>SUM(D51,D46)</f>
        <v>316431.00878400001</v>
      </c>
      <c r="E53" s="96">
        <f t="shared" ref="E53:J53" si="14">SUM(E51,E46)</f>
        <v>1023536.8327840001</v>
      </c>
      <c r="F53" s="96">
        <f t="shared" si="14"/>
        <v>330983.73633600003</v>
      </c>
      <c r="G53" s="96">
        <f t="shared" si="14"/>
        <v>338788.09125849605</v>
      </c>
      <c r="H53" s="96">
        <f t="shared" si="14"/>
        <v>346967.05521727185</v>
      </c>
      <c r="I53" s="100"/>
      <c r="J53" s="96">
        <f t="shared" si="14"/>
        <v>2356706.7243797681</v>
      </c>
    </row>
    <row r="54" spans="2:10" x14ac:dyDescent="0.35">
      <c r="B54" s="4"/>
    </row>
    <row r="55" spans="2:10" x14ac:dyDescent="0.35">
      <c r="B55" s="4"/>
    </row>
    <row r="56" spans="2:10" x14ac:dyDescent="0.35">
      <c r="B56" s="4"/>
    </row>
    <row r="57" spans="2:10" x14ac:dyDescent="0.35">
      <c r="B57" s="4"/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FC99E-56A0-451D-B004-C6FC811A61AB}">
  <sheetPr>
    <tabColor theme="9" tint="0.39997558519241921"/>
  </sheetPr>
  <dimension ref="B2:AM73"/>
  <sheetViews>
    <sheetView workbookViewId="0"/>
  </sheetViews>
  <sheetFormatPr defaultColWidth="9.1796875" defaultRowHeight="14.5" x14ac:dyDescent="0.35"/>
  <cols>
    <col min="1" max="1" width="3.1796875" customWidth="1"/>
    <col min="2" max="2" width="9.7265625" customWidth="1"/>
    <col min="3" max="3" width="44.453125" customWidth="1"/>
    <col min="4" max="4" width="12.81640625" style="4" customWidth="1"/>
    <col min="5" max="5" width="12.453125" style="2" customWidth="1"/>
    <col min="6" max="6" width="12.7265625" customWidth="1"/>
    <col min="7" max="7" width="12.81640625" customWidth="1"/>
    <col min="8" max="8" width="13.453125" style="2" customWidth="1"/>
    <col min="9" max="9" width="0.81640625" style="5" customWidth="1"/>
    <col min="10" max="10" width="14.453125" customWidth="1"/>
    <col min="11" max="11" width="18" customWidth="1"/>
  </cols>
  <sheetData>
    <row r="2" spans="2:39" ht="23.5" x14ac:dyDescent="0.55000000000000004">
      <c r="B2" s="26" t="s">
        <v>111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ht="2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119" t="s">
        <v>30</v>
      </c>
      <c r="D7" s="105" t="s">
        <v>31</v>
      </c>
      <c r="E7" s="105" t="s">
        <v>31</v>
      </c>
      <c r="F7" s="105" t="s">
        <v>31</v>
      </c>
      <c r="G7" s="105"/>
      <c r="H7" s="105" t="s">
        <v>31</v>
      </c>
      <c r="I7" s="100"/>
      <c r="J7" s="10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43.5" x14ac:dyDescent="0.35">
      <c r="B8" s="19"/>
      <c r="C8" s="97" t="s">
        <v>150</v>
      </c>
      <c r="D8" s="98">
        <f>148038/2</f>
        <v>74019</v>
      </c>
      <c r="E8" s="98">
        <f t="shared" ref="E8:H8" si="0">148038/2</f>
        <v>74019</v>
      </c>
      <c r="F8" s="98">
        <f t="shared" si="0"/>
        <v>74019</v>
      </c>
      <c r="G8" s="98">
        <f t="shared" si="0"/>
        <v>74019</v>
      </c>
      <c r="H8" s="98">
        <f t="shared" si="0"/>
        <v>74019</v>
      </c>
      <c r="I8" s="99">
        <v>450000</v>
      </c>
      <c r="J8" s="98">
        <f>SUM(D8:H8)</f>
        <v>370095</v>
      </c>
    </row>
    <row r="9" spans="2:39" x14ac:dyDescent="0.35">
      <c r="B9" s="19"/>
      <c r="C9" s="97"/>
      <c r="D9" s="98"/>
      <c r="E9" s="98"/>
      <c r="F9" s="98"/>
      <c r="G9" s="98"/>
      <c r="H9" s="98"/>
      <c r="I9" s="100"/>
      <c r="J9" s="98">
        <f>SUM(D9:H9)</f>
        <v>0</v>
      </c>
    </row>
    <row r="10" spans="2:39" x14ac:dyDescent="0.35">
      <c r="B10" s="19"/>
      <c r="C10" s="118"/>
      <c r="D10" s="98"/>
      <c r="E10" s="101"/>
      <c r="F10" s="101"/>
      <c r="G10" s="101"/>
      <c r="H10" s="101"/>
      <c r="I10" s="100"/>
      <c r="J10" s="98">
        <f>SUM(D10:H10)</f>
        <v>0</v>
      </c>
      <c r="L10" s="27"/>
    </row>
    <row r="11" spans="2:39" x14ac:dyDescent="0.35">
      <c r="B11" s="19"/>
      <c r="C11" s="116" t="s">
        <v>12</v>
      </c>
      <c r="D11" s="103">
        <f>SUM(D8:D10)</f>
        <v>74019</v>
      </c>
      <c r="E11" s="103">
        <f t="shared" ref="E11:J11" si="1">SUM(E8:E10)</f>
        <v>74019</v>
      </c>
      <c r="F11" s="103">
        <f t="shared" si="1"/>
        <v>74019</v>
      </c>
      <c r="G11" s="103">
        <f t="shared" si="1"/>
        <v>74019</v>
      </c>
      <c r="H11" s="103">
        <f t="shared" si="1"/>
        <v>74019</v>
      </c>
      <c r="I11" s="100">
        <f t="shared" si="1"/>
        <v>450000</v>
      </c>
      <c r="J11" s="103">
        <f t="shared" si="1"/>
        <v>370095</v>
      </c>
    </row>
    <row r="12" spans="2:39" x14ac:dyDescent="0.35">
      <c r="B12" s="19"/>
      <c r="C12" s="89" t="s">
        <v>32</v>
      </c>
      <c r="D12" s="104" t="s">
        <v>31</v>
      </c>
      <c r="E12" s="105"/>
      <c r="F12" s="105"/>
      <c r="G12" s="105"/>
      <c r="H12" s="105"/>
      <c r="I12" s="100"/>
      <c r="J12" s="106" t="s">
        <v>31</v>
      </c>
    </row>
    <row r="13" spans="2:39" x14ac:dyDescent="0.35">
      <c r="B13" s="19"/>
      <c r="C13" s="97" t="s">
        <v>151</v>
      </c>
      <c r="D13" s="98">
        <f>62916.069216/2</f>
        <v>31458.034608000002</v>
      </c>
      <c r="E13" s="98">
        <f t="shared" ref="E13:H13" si="2">62916.069216/2</f>
        <v>31458.034608000002</v>
      </c>
      <c r="F13" s="98">
        <f t="shared" si="2"/>
        <v>31458.034608000002</v>
      </c>
      <c r="G13" s="98">
        <f t="shared" si="2"/>
        <v>31458.034608000002</v>
      </c>
      <c r="H13" s="98">
        <f t="shared" si="2"/>
        <v>31458.034608000002</v>
      </c>
      <c r="I13" s="100"/>
      <c r="J13" s="98">
        <f>SUM(D13:H13)</f>
        <v>157290.17304000002</v>
      </c>
    </row>
    <row r="14" spans="2:39" x14ac:dyDescent="0.35">
      <c r="B14" s="19"/>
      <c r="C14" s="97" t="s">
        <v>152</v>
      </c>
      <c r="D14" s="98">
        <f>105476.939568/2</f>
        <v>52738.469784000001</v>
      </c>
      <c r="E14" s="98">
        <f t="shared" ref="E14:H14" si="3">105476.939568/2</f>
        <v>52738.469784000001</v>
      </c>
      <c r="F14" s="98">
        <f t="shared" si="3"/>
        <v>52738.469784000001</v>
      </c>
      <c r="G14" s="98">
        <f t="shared" si="3"/>
        <v>52738.469784000001</v>
      </c>
      <c r="H14" s="98">
        <f t="shared" si="3"/>
        <v>52738.469784000001</v>
      </c>
      <c r="I14" s="100"/>
      <c r="J14" s="98">
        <f t="shared" ref="J14:J15" si="4">SUM(D14:H14)</f>
        <v>263692.34892000002</v>
      </c>
    </row>
    <row r="15" spans="2:39" x14ac:dyDescent="0.35">
      <c r="B15" s="19"/>
      <c r="C15" s="105"/>
      <c r="D15" s="98"/>
      <c r="E15" s="101"/>
      <c r="F15" s="101"/>
      <c r="G15" s="101"/>
      <c r="H15" s="101"/>
      <c r="I15" s="100"/>
      <c r="J15" s="98">
        <f t="shared" si="4"/>
        <v>0</v>
      </c>
    </row>
    <row r="16" spans="2:39" x14ac:dyDescent="0.35">
      <c r="B16" s="19"/>
      <c r="C16" s="116" t="s">
        <v>13</v>
      </c>
      <c r="D16" s="103">
        <f>SUM(D13:D15)</f>
        <v>84196.504392000003</v>
      </c>
      <c r="E16" s="103">
        <f t="shared" ref="E16:J16" si="5">SUM(E13:E15)</f>
        <v>84196.504392000003</v>
      </c>
      <c r="F16" s="103">
        <f t="shared" si="5"/>
        <v>84196.504392000003</v>
      </c>
      <c r="G16" s="103">
        <f t="shared" si="5"/>
        <v>84196.504392000003</v>
      </c>
      <c r="H16" s="103">
        <f t="shared" si="5"/>
        <v>84196.504392000003</v>
      </c>
      <c r="I16" s="100">
        <f t="shared" si="5"/>
        <v>0</v>
      </c>
      <c r="J16" s="103">
        <f t="shared" si="5"/>
        <v>420982.52196000004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1"/>
      <c r="E18" s="8"/>
      <c r="F18" s="8"/>
      <c r="G18" s="8"/>
      <c r="H18" s="8"/>
      <c r="J18" s="13">
        <f>SUM(D18:H18)</f>
        <v>0</v>
      </c>
    </row>
    <row r="19" spans="2:10" x14ac:dyDescent="0.35">
      <c r="B19" s="19"/>
      <c r="C19" s="25"/>
      <c r="D19" s="13"/>
      <c r="E19" s="9"/>
      <c r="F19" s="9"/>
      <c r="G19" s="9"/>
      <c r="H19" s="9"/>
      <c r="J19" s="13">
        <f>SUM(D19:H19)</f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>
        <v>2000</v>
      </c>
      <c r="J20" s="13">
        <f>SUM(D20:H20)</f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250</v>
      </c>
      <c r="J21" s="13">
        <f t="shared" ref="J21:J26" si="6">SUM(D21:H21)</f>
        <v>0</v>
      </c>
    </row>
    <row r="22" spans="2:10" x14ac:dyDescent="0.35">
      <c r="B22" s="19"/>
      <c r="C22" s="21"/>
      <c r="D22" s="13"/>
      <c r="E22" s="13"/>
      <c r="F22" s="13"/>
      <c r="G22" s="13"/>
      <c r="H22" s="13"/>
      <c r="I22" s="28">
        <v>2250</v>
      </c>
      <c r="J22" s="13">
        <f t="shared" si="6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>
        <v>1243</v>
      </c>
      <c r="J23" s="13">
        <f t="shared" si="6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225</v>
      </c>
      <c r="J24" s="13">
        <f t="shared" si="6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400</v>
      </c>
      <c r="J25" s="13">
        <f t="shared" si="6"/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1638</v>
      </c>
      <c r="J26" s="13">
        <f t="shared" si="6"/>
        <v>0</v>
      </c>
    </row>
    <row r="27" spans="2:10" x14ac:dyDescent="0.35">
      <c r="B27" s="19"/>
      <c r="C27" s="7" t="s">
        <v>14</v>
      </c>
      <c r="D27" s="14">
        <f>SUM(D20:D26)</f>
        <v>0</v>
      </c>
      <c r="E27" s="14">
        <f t="shared" ref="E27:H27" si="7">SUM(E20:E26)</f>
        <v>0</v>
      </c>
      <c r="F27" s="14">
        <f t="shared" si="7"/>
        <v>0</v>
      </c>
      <c r="G27" s="14">
        <f t="shared" si="7"/>
        <v>0</v>
      </c>
      <c r="H27" s="14">
        <f t="shared" si="7"/>
        <v>0</v>
      </c>
      <c r="J27" s="14">
        <f>SUM(J18:J26)</f>
        <v>0</v>
      </c>
    </row>
    <row r="28" spans="2:10" x14ac:dyDescent="0.35">
      <c r="B28" s="19"/>
      <c r="C28" s="12" t="s">
        <v>34</v>
      </c>
      <c r="D28" s="13"/>
      <c r="E28" s="8"/>
      <c r="F28" s="8"/>
      <c r="G28" s="8"/>
      <c r="H28" s="8"/>
      <c r="J28" s="13" t="s">
        <v>20</v>
      </c>
    </row>
    <row r="29" spans="2:10" x14ac:dyDescent="0.35">
      <c r="B29" s="19"/>
      <c r="C29" s="21"/>
      <c r="D29" s="13"/>
      <c r="E29" s="8"/>
      <c r="F29" s="8"/>
      <c r="G29" s="8"/>
      <c r="H29" s="8"/>
      <c r="J29" s="13">
        <f>SUM(D29:H29)</f>
        <v>0</v>
      </c>
    </row>
    <row r="30" spans="2:10" x14ac:dyDescent="0.35">
      <c r="B30" s="19" t="s">
        <v>35</v>
      </c>
      <c r="C30" s="24" t="s">
        <v>35</v>
      </c>
      <c r="D30" s="11" t="s">
        <v>31</v>
      </c>
      <c r="E30" s="8"/>
      <c r="F30" s="8"/>
      <c r="G30" s="8"/>
      <c r="H30" s="8"/>
      <c r="J30" s="13">
        <f t="shared" ref="J30:J51" si="8">SUM(D30:H30)</f>
        <v>0</v>
      </c>
    </row>
    <row r="31" spans="2:10" x14ac:dyDescent="0.35">
      <c r="B31" s="19"/>
      <c r="C31" s="7" t="s">
        <v>15</v>
      </c>
      <c r="D31" s="10">
        <f>SUM(D29:D30)</f>
        <v>0</v>
      </c>
      <c r="E31" s="10">
        <f t="shared" ref="E31:H31" si="9">SUM(E29:E30)</f>
        <v>0</v>
      </c>
      <c r="F31" s="10">
        <f t="shared" si="9"/>
        <v>0</v>
      </c>
      <c r="G31" s="10">
        <f t="shared" si="9"/>
        <v>0</v>
      </c>
      <c r="H31" s="10">
        <f t="shared" si="9"/>
        <v>0</v>
      </c>
      <c r="J31" s="14">
        <f>SUM(J29:J30)</f>
        <v>0</v>
      </c>
    </row>
    <row r="32" spans="2:10" x14ac:dyDescent="0.35">
      <c r="B32" s="19"/>
      <c r="C32" s="12" t="s">
        <v>36</v>
      </c>
      <c r="D32" s="11" t="s">
        <v>31</v>
      </c>
      <c r="E32" s="8"/>
      <c r="F32" s="8"/>
      <c r="G32" s="8"/>
      <c r="H32" s="8"/>
      <c r="J32" s="13"/>
    </row>
    <row r="33" spans="2:10" x14ac:dyDescent="0.35">
      <c r="B33" s="19"/>
      <c r="C33" s="21"/>
      <c r="D33" s="13"/>
      <c r="E33" s="13"/>
      <c r="F33" s="13"/>
      <c r="G33" s="13"/>
      <c r="H33" s="13"/>
      <c r="I33" s="28">
        <v>5000</v>
      </c>
      <c r="J33" s="13">
        <f t="shared" si="8"/>
        <v>0</v>
      </c>
    </row>
    <row r="34" spans="2:10" x14ac:dyDescent="0.35">
      <c r="B34" s="19"/>
      <c r="C34" s="21"/>
      <c r="D34" s="13"/>
      <c r="E34" s="9"/>
      <c r="F34" s="9"/>
      <c r="G34" s="9"/>
      <c r="H34" s="9"/>
      <c r="J34" s="13">
        <f t="shared" si="8"/>
        <v>0</v>
      </c>
    </row>
    <row r="35" spans="2:10" x14ac:dyDescent="0.35">
      <c r="B35" s="19"/>
      <c r="C35" s="7" t="s">
        <v>16</v>
      </c>
      <c r="D35" s="14">
        <f>SUM(D33:D34)</f>
        <v>0</v>
      </c>
      <c r="E35" s="14">
        <f t="shared" ref="E35:H35" si="10">SUM(E33:E34)</f>
        <v>0</v>
      </c>
      <c r="F35" s="14">
        <f t="shared" si="10"/>
        <v>0</v>
      </c>
      <c r="G35" s="14">
        <f t="shared" si="10"/>
        <v>0</v>
      </c>
      <c r="H35" s="14">
        <f t="shared" si="10"/>
        <v>0</v>
      </c>
      <c r="J35" s="14">
        <f>SUM(J33:J34)</f>
        <v>0</v>
      </c>
    </row>
    <row r="36" spans="2:10" x14ac:dyDescent="0.35">
      <c r="B36" s="19"/>
      <c r="C36" s="12" t="s">
        <v>38</v>
      </c>
      <c r="D36" s="11" t="s">
        <v>31</v>
      </c>
      <c r="E36" s="8"/>
      <c r="F36" s="8"/>
      <c r="G36" s="8"/>
      <c r="H36" s="8"/>
      <c r="J36" s="13"/>
    </row>
    <row r="37" spans="2:10" x14ac:dyDescent="0.35">
      <c r="B37" s="19"/>
      <c r="C37" s="104" t="s">
        <v>113</v>
      </c>
      <c r="D37" s="98">
        <v>200000</v>
      </c>
      <c r="E37" s="98">
        <v>200000</v>
      </c>
      <c r="F37" s="98">
        <v>200000</v>
      </c>
      <c r="G37" s="98">
        <v>200000</v>
      </c>
      <c r="H37" s="98">
        <v>200000</v>
      </c>
      <c r="I37" s="99"/>
      <c r="J37" s="98">
        <f t="shared" si="8"/>
        <v>1000000</v>
      </c>
    </row>
    <row r="38" spans="2:10" x14ac:dyDescent="0.35">
      <c r="B38" s="19"/>
      <c r="C38" s="104"/>
      <c r="D38" s="98"/>
      <c r="E38" s="98"/>
      <c r="F38" s="98"/>
      <c r="G38" s="98"/>
      <c r="H38" s="98"/>
      <c r="I38" s="99"/>
      <c r="J38" s="98">
        <f t="shared" si="8"/>
        <v>0</v>
      </c>
    </row>
    <row r="39" spans="2:10" x14ac:dyDescent="0.35">
      <c r="B39" s="19"/>
      <c r="C39" s="104"/>
      <c r="D39" s="98"/>
      <c r="E39" s="98"/>
      <c r="F39" s="98"/>
      <c r="G39" s="98"/>
      <c r="H39" s="98"/>
      <c r="I39" s="99"/>
      <c r="J39" s="98">
        <f t="shared" si="8"/>
        <v>0</v>
      </c>
    </row>
    <row r="40" spans="2:10" x14ac:dyDescent="0.35">
      <c r="B40" s="19"/>
      <c r="C40" s="117"/>
      <c r="D40" s="98"/>
      <c r="E40" s="98"/>
      <c r="F40" s="98"/>
      <c r="G40" s="98"/>
      <c r="H40" s="98"/>
      <c r="I40" s="99"/>
      <c r="J40" s="98">
        <f t="shared" si="8"/>
        <v>0</v>
      </c>
    </row>
    <row r="41" spans="2:10" x14ac:dyDescent="0.35">
      <c r="B41" s="19"/>
      <c r="C41" s="97"/>
      <c r="D41" s="98"/>
      <c r="E41" s="101"/>
      <c r="F41" s="101"/>
      <c r="G41" s="101"/>
      <c r="H41" s="101"/>
      <c r="I41" s="100"/>
      <c r="J41" s="98">
        <f t="shared" si="8"/>
        <v>0</v>
      </c>
    </row>
    <row r="42" spans="2:10" x14ac:dyDescent="0.35">
      <c r="B42" s="19"/>
      <c r="C42" s="116" t="s">
        <v>17</v>
      </c>
      <c r="D42" s="103">
        <f>SUM(D37:D41)</f>
        <v>200000</v>
      </c>
      <c r="E42" s="103">
        <f t="shared" ref="E42:H42" si="11">SUM(E37:E41)</f>
        <v>200000</v>
      </c>
      <c r="F42" s="103">
        <f t="shared" si="11"/>
        <v>200000</v>
      </c>
      <c r="G42" s="103">
        <f t="shared" si="11"/>
        <v>200000</v>
      </c>
      <c r="H42" s="103">
        <f t="shared" si="11"/>
        <v>200000</v>
      </c>
      <c r="I42" s="100"/>
      <c r="J42" s="103">
        <f>SUM(J37:J41)</f>
        <v>1000000</v>
      </c>
    </row>
    <row r="43" spans="2:10" x14ac:dyDescent="0.35">
      <c r="B43" s="19"/>
      <c r="C43" s="12" t="s">
        <v>39</v>
      </c>
      <c r="D43" s="11" t="s">
        <v>31</v>
      </c>
      <c r="E43" s="8"/>
      <c r="F43" s="8"/>
      <c r="G43" s="8"/>
      <c r="H43" s="8"/>
      <c r="J43" s="13"/>
    </row>
    <row r="44" spans="2:10" x14ac:dyDescent="0.35">
      <c r="B44" s="19"/>
      <c r="C44" s="21"/>
      <c r="D44" s="13"/>
      <c r="E44" s="13"/>
      <c r="F44" s="13"/>
      <c r="G44" s="13"/>
      <c r="H44" s="13"/>
      <c r="I44" s="28">
        <v>375000</v>
      </c>
      <c r="J44" s="13">
        <f t="shared" si="8"/>
        <v>0</v>
      </c>
    </row>
    <row r="45" spans="2:10" x14ac:dyDescent="0.35">
      <c r="B45" s="19"/>
      <c r="C45" s="21"/>
      <c r="D45" s="13"/>
      <c r="E45" s="13"/>
      <c r="F45" s="13"/>
      <c r="G45" s="13"/>
      <c r="H45" s="13"/>
      <c r="I45" s="28">
        <v>781250</v>
      </c>
      <c r="J45" s="13">
        <f t="shared" si="8"/>
        <v>0</v>
      </c>
    </row>
    <row r="46" spans="2:10" x14ac:dyDescent="0.35">
      <c r="B46" s="19"/>
      <c r="C46" s="21"/>
      <c r="D46" s="13"/>
      <c r="E46" s="13"/>
      <c r="F46" s="13"/>
      <c r="G46" s="13"/>
      <c r="H46" s="13"/>
      <c r="I46" s="28">
        <v>2083335</v>
      </c>
      <c r="J46" s="13">
        <f t="shared" si="8"/>
        <v>0</v>
      </c>
    </row>
    <row r="47" spans="2:10" x14ac:dyDescent="0.35">
      <c r="B47" s="19"/>
      <c r="C47" s="21"/>
      <c r="D47" s="13"/>
      <c r="E47" s="9"/>
      <c r="F47" s="9"/>
      <c r="G47" s="9"/>
      <c r="H47" s="9"/>
      <c r="J47" s="13">
        <f t="shared" si="8"/>
        <v>0</v>
      </c>
    </row>
    <row r="48" spans="2:10" x14ac:dyDescent="0.35">
      <c r="B48" s="19"/>
      <c r="C48" s="21"/>
      <c r="D48" s="13"/>
      <c r="E48" s="9"/>
      <c r="F48" s="9"/>
      <c r="G48" s="9"/>
      <c r="H48" s="9"/>
      <c r="J48" s="13">
        <f t="shared" si="8"/>
        <v>0</v>
      </c>
    </row>
    <row r="49" spans="2:11" x14ac:dyDescent="0.35">
      <c r="B49" s="19"/>
      <c r="C49" s="8"/>
      <c r="D49" s="13"/>
      <c r="E49" s="9"/>
      <c r="F49" s="9"/>
      <c r="G49" s="9"/>
      <c r="H49" s="9"/>
      <c r="J49" s="13">
        <f t="shared" si="8"/>
        <v>0</v>
      </c>
    </row>
    <row r="50" spans="2:11" x14ac:dyDescent="0.35">
      <c r="B50" s="20"/>
      <c r="C50" s="7" t="s">
        <v>18</v>
      </c>
      <c r="D50" s="14">
        <f>SUM(D44:D49)</f>
        <v>0</v>
      </c>
      <c r="E50" s="14">
        <f t="shared" ref="E50:H50" si="12">SUM(E44:E49)</f>
        <v>0</v>
      </c>
      <c r="F50" s="14">
        <f t="shared" si="12"/>
        <v>0</v>
      </c>
      <c r="G50" s="14">
        <f t="shared" si="12"/>
        <v>0</v>
      </c>
      <c r="H50" s="14">
        <f t="shared" si="12"/>
        <v>0</v>
      </c>
      <c r="J50" s="14">
        <f>SUM(J44:J49)</f>
        <v>0</v>
      </c>
    </row>
    <row r="51" spans="2:11" x14ac:dyDescent="0.35">
      <c r="B51" s="20"/>
      <c r="C51" s="116" t="s">
        <v>19</v>
      </c>
      <c r="D51" s="103">
        <f>SUM(D50,D42,D35,D31,D27,D16,D11)</f>
        <v>358215.50439200003</v>
      </c>
      <c r="E51" s="103">
        <f t="shared" ref="E51:H51" si="13">SUM(E50,E42,E35,E31,E27,E16,E11)</f>
        <v>358215.50439200003</v>
      </c>
      <c r="F51" s="103">
        <f t="shared" si="13"/>
        <v>358215.50439200003</v>
      </c>
      <c r="G51" s="103">
        <f t="shared" si="13"/>
        <v>358215.50439200003</v>
      </c>
      <c r="H51" s="103">
        <f t="shared" si="13"/>
        <v>358215.50439200003</v>
      </c>
      <c r="I51" s="100"/>
      <c r="J51" s="103">
        <f t="shared" si="8"/>
        <v>1791077.52196</v>
      </c>
      <c r="K51" s="27"/>
    </row>
    <row r="52" spans="2:11" x14ac:dyDescent="0.35">
      <c r="B52" s="4"/>
      <c r="D52"/>
      <c r="E52"/>
      <c r="H52"/>
      <c r="I52"/>
      <c r="J52" t="s">
        <v>20</v>
      </c>
    </row>
    <row r="53" spans="2:11" x14ac:dyDescent="0.35">
      <c r="B53" s="18" t="s">
        <v>40</v>
      </c>
      <c r="C53" s="15" t="s">
        <v>40</v>
      </c>
      <c r="D53" s="16"/>
      <c r="E53" s="16"/>
      <c r="F53" s="16"/>
      <c r="G53" s="16"/>
      <c r="H53" s="16"/>
      <c r="I53"/>
      <c r="J53" s="16" t="s">
        <v>20</v>
      </c>
    </row>
    <row r="54" spans="2:11" x14ac:dyDescent="0.35">
      <c r="B54" s="19"/>
      <c r="C54" s="21"/>
      <c r="D54" s="11"/>
      <c r="E54" s="8"/>
      <c r="F54" s="8"/>
      <c r="G54" s="8"/>
      <c r="H54" s="8"/>
      <c r="J54" s="13">
        <f>SUM(D54:H54)</f>
        <v>0</v>
      </c>
    </row>
    <row r="55" spans="2:11" x14ac:dyDescent="0.35">
      <c r="B55" s="19"/>
      <c r="C55" s="21"/>
      <c r="D55" s="11"/>
      <c r="E55" s="8"/>
      <c r="F55" s="8"/>
      <c r="G55" s="8"/>
      <c r="H55" s="8"/>
      <c r="J55" s="13">
        <f t="shared" ref="J55:J56" si="14">SUM(D55:H55)</f>
        <v>0</v>
      </c>
    </row>
    <row r="56" spans="2:11" x14ac:dyDescent="0.35">
      <c r="B56" s="20"/>
      <c r="C56" s="7" t="s">
        <v>21</v>
      </c>
      <c r="D56" s="14">
        <f>SUM(D54:D55)</f>
        <v>0</v>
      </c>
      <c r="E56" s="14">
        <f t="shared" ref="E56:H56" si="15">SUM(E54:E55)</f>
        <v>0</v>
      </c>
      <c r="F56" s="14">
        <f t="shared" si="15"/>
        <v>0</v>
      </c>
      <c r="G56" s="14">
        <f t="shared" si="15"/>
        <v>0</v>
      </c>
      <c r="H56" s="14">
        <f t="shared" si="15"/>
        <v>0</v>
      </c>
      <c r="J56" s="14">
        <f t="shared" si="14"/>
        <v>0</v>
      </c>
    </row>
    <row r="57" spans="2:11" ht="15" thickBot="1" x14ac:dyDescent="0.4">
      <c r="B57" s="4"/>
      <c r="D57"/>
      <c r="E57"/>
      <c r="H57"/>
      <c r="I57"/>
      <c r="J57" t="s">
        <v>20</v>
      </c>
    </row>
    <row r="58" spans="2:11" s="1" customFormat="1" ht="29.5" thickBot="1" x14ac:dyDescent="0.4">
      <c r="B58" s="95" t="s">
        <v>22</v>
      </c>
      <c r="C58" s="95"/>
      <c r="D58" s="96">
        <f>SUM(D56,D51)</f>
        <v>358215.50439200003</v>
      </c>
      <c r="E58" s="96">
        <f t="shared" ref="E58:J58" si="16">SUM(E56,E51)</f>
        <v>358215.50439200003</v>
      </c>
      <c r="F58" s="96">
        <f t="shared" si="16"/>
        <v>358215.50439200003</v>
      </c>
      <c r="G58" s="96">
        <f t="shared" si="16"/>
        <v>358215.50439200003</v>
      </c>
      <c r="H58" s="96">
        <f t="shared" si="16"/>
        <v>358215.50439200003</v>
      </c>
      <c r="I58" s="100">
        <f>SUM(I56,I51)</f>
        <v>0</v>
      </c>
      <c r="J58" s="96">
        <f t="shared" si="16"/>
        <v>1791077.52196</v>
      </c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EF061-994A-491E-9E6F-D4F79E80F3BF}">
  <sheetPr codeName="Sheet11">
    <tabColor theme="9" tint="0.39997558519241921"/>
    <pageSetUpPr fitToPage="1"/>
  </sheetPr>
  <dimension ref="B2:AM68"/>
  <sheetViews>
    <sheetView showGridLines="0" zoomScaleNormal="100" workbookViewId="0">
      <selection activeCell="C6" sqref="C6"/>
    </sheetView>
  </sheetViews>
  <sheetFormatPr defaultColWidth="9.26953125" defaultRowHeight="14.5" x14ac:dyDescent="0.35"/>
  <cols>
    <col min="1" max="1" width="3.26953125" customWidth="1"/>
    <col min="2" max="2" width="10.26953125" customWidth="1"/>
    <col min="3" max="3" width="35.453125" customWidth="1"/>
    <col min="4" max="4" width="12.453125" style="4" customWidth="1"/>
    <col min="5" max="5" width="12.54296875" style="2" customWidth="1"/>
    <col min="6" max="6" width="12.453125" customWidth="1"/>
    <col min="7" max="7" width="13" customWidth="1"/>
    <col min="8" max="8" width="12.453125" style="2" customWidth="1"/>
    <col min="9" max="9" width="1.7265625" style="5" customWidth="1"/>
    <col min="10" max="10" width="12.7265625" customWidth="1"/>
    <col min="11" max="11" width="10.26953125" customWidth="1"/>
  </cols>
  <sheetData>
    <row r="2" spans="2:39" ht="23.5" x14ac:dyDescent="0.55000000000000004">
      <c r="B2" s="26" t="s">
        <v>156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ht="29" x14ac:dyDescent="0.35">
      <c r="B7" s="72" t="s">
        <v>11</v>
      </c>
      <c r="C7" s="73" t="s">
        <v>30</v>
      </c>
      <c r="D7" s="79" t="s">
        <v>31</v>
      </c>
      <c r="E7" s="79" t="s">
        <v>31</v>
      </c>
      <c r="F7" s="79" t="s">
        <v>31</v>
      </c>
      <c r="G7" s="79" t="s">
        <v>31</v>
      </c>
      <c r="H7" s="79" t="s">
        <v>31</v>
      </c>
      <c r="I7" s="58"/>
      <c r="J7" s="75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14.5" customHeight="1" x14ac:dyDescent="0.35">
      <c r="B8" s="60" t="s">
        <v>31</v>
      </c>
      <c r="C8" s="57" t="s">
        <v>124</v>
      </c>
      <c r="D8" s="61">
        <v>10000</v>
      </c>
      <c r="E8" s="61">
        <v>10000</v>
      </c>
      <c r="F8" s="61">
        <v>10000</v>
      </c>
      <c r="G8" s="61">
        <v>10000</v>
      </c>
      <c r="H8" s="61">
        <v>10000</v>
      </c>
      <c r="I8" s="58"/>
      <c r="J8" s="62">
        <v>50000</v>
      </c>
    </row>
    <row r="9" spans="2:39" x14ac:dyDescent="0.35">
      <c r="B9" s="60" t="s">
        <v>31</v>
      </c>
      <c r="C9" s="57" t="s">
        <v>119</v>
      </c>
      <c r="D9" s="61">
        <v>67500</v>
      </c>
      <c r="E9" s="61">
        <v>67500</v>
      </c>
      <c r="F9" s="57" t="s">
        <v>31</v>
      </c>
      <c r="G9" s="57" t="s">
        <v>31</v>
      </c>
      <c r="H9" s="57" t="s">
        <v>31</v>
      </c>
      <c r="I9" s="58"/>
      <c r="J9" s="62">
        <v>135000</v>
      </c>
    </row>
    <row r="10" spans="2:39" ht="29" x14ac:dyDescent="0.35">
      <c r="B10" s="60" t="s">
        <v>31</v>
      </c>
      <c r="C10" s="57" t="s">
        <v>114</v>
      </c>
      <c r="D10" s="63" t="s">
        <v>31</v>
      </c>
      <c r="E10" s="57" t="s">
        <v>31</v>
      </c>
      <c r="F10" s="61">
        <v>180000</v>
      </c>
      <c r="G10" s="61">
        <v>180000</v>
      </c>
      <c r="H10" s="57" t="s">
        <v>31</v>
      </c>
      <c r="I10" s="58"/>
      <c r="J10" s="62">
        <v>360000</v>
      </c>
    </row>
    <row r="11" spans="2:39" x14ac:dyDescent="0.35">
      <c r="B11" s="60" t="s">
        <v>31</v>
      </c>
      <c r="C11" s="64" t="s">
        <v>12</v>
      </c>
      <c r="D11" s="65">
        <v>77500</v>
      </c>
      <c r="E11" s="65">
        <v>77500</v>
      </c>
      <c r="F11" s="65">
        <v>190000</v>
      </c>
      <c r="G11" s="65">
        <v>190000</v>
      </c>
      <c r="H11" s="65">
        <v>10000</v>
      </c>
      <c r="I11" s="58"/>
      <c r="J11" s="66">
        <f>SUM(J8:J10)</f>
        <v>545000</v>
      </c>
    </row>
    <row r="12" spans="2:39" x14ac:dyDescent="0.35">
      <c r="B12" s="60" t="s">
        <v>31</v>
      </c>
      <c r="C12" s="67" t="s">
        <v>32</v>
      </c>
      <c r="D12" s="63" t="s">
        <v>31</v>
      </c>
      <c r="E12" s="57" t="s">
        <v>31</v>
      </c>
      <c r="F12" s="57" t="s">
        <v>31</v>
      </c>
      <c r="G12" s="57" t="s">
        <v>31</v>
      </c>
      <c r="H12" s="57" t="s">
        <v>31</v>
      </c>
      <c r="I12" s="58"/>
      <c r="J12" s="59" t="s">
        <v>31</v>
      </c>
    </row>
    <row r="13" spans="2:39" x14ac:dyDescent="0.35">
      <c r="B13" s="60" t="s">
        <v>31</v>
      </c>
      <c r="C13" s="63" t="s">
        <v>31</v>
      </c>
      <c r="D13" s="68" t="s">
        <v>31</v>
      </c>
      <c r="E13" s="68" t="s">
        <v>31</v>
      </c>
      <c r="F13" s="68" t="s">
        <v>31</v>
      </c>
      <c r="G13" s="68" t="s">
        <v>31</v>
      </c>
      <c r="H13" s="68" t="s">
        <v>31</v>
      </c>
      <c r="I13" s="58"/>
      <c r="J13" s="70">
        <v>0</v>
      </c>
    </row>
    <row r="14" spans="2:39" x14ac:dyDescent="0.35">
      <c r="B14" s="60" t="s">
        <v>31</v>
      </c>
      <c r="C14" s="63" t="s">
        <v>31</v>
      </c>
      <c r="D14" s="68" t="s">
        <v>31</v>
      </c>
      <c r="E14" s="68" t="s">
        <v>31</v>
      </c>
      <c r="F14" s="68" t="s">
        <v>31</v>
      </c>
      <c r="G14" s="68" t="s">
        <v>31</v>
      </c>
      <c r="H14" s="68" t="s">
        <v>31</v>
      </c>
      <c r="I14" s="58"/>
      <c r="J14" s="70">
        <v>0</v>
      </c>
    </row>
    <row r="15" spans="2:39" x14ac:dyDescent="0.35">
      <c r="B15" s="60" t="s">
        <v>31</v>
      </c>
      <c r="C15" s="57" t="s">
        <v>31</v>
      </c>
      <c r="D15" s="68" t="s">
        <v>31</v>
      </c>
      <c r="E15" s="57" t="s">
        <v>31</v>
      </c>
      <c r="F15" s="57" t="s">
        <v>31</v>
      </c>
      <c r="G15" s="57" t="s">
        <v>31</v>
      </c>
      <c r="H15" s="57" t="s">
        <v>31</v>
      </c>
      <c r="I15" s="58"/>
      <c r="J15" s="70">
        <v>0</v>
      </c>
    </row>
    <row r="16" spans="2:39" x14ac:dyDescent="0.35">
      <c r="B16" s="60" t="s">
        <v>31</v>
      </c>
      <c r="C16" s="64" t="s">
        <v>13</v>
      </c>
      <c r="D16" s="65">
        <v>0</v>
      </c>
      <c r="E16" s="65">
        <v>0</v>
      </c>
      <c r="F16" s="65">
        <v>0</v>
      </c>
      <c r="G16" s="65">
        <v>0</v>
      </c>
      <c r="H16" s="65">
        <v>0</v>
      </c>
      <c r="I16" s="58"/>
      <c r="J16" s="66">
        <v>0</v>
      </c>
    </row>
    <row r="17" spans="2:10" x14ac:dyDescent="0.35">
      <c r="B17" s="60" t="s">
        <v>31</v>
      </c>
      <c r="C17" s="67" t="s">
        <v>33</v>
      </c>
      <c r="D17" s="68" t="s">
        <v>31</v>
      </c>
      <c r="E17" s="57" t="s">
        <v>31</v>
      </c>
      <c r="F17" s="57" t="s">
        <v>31</v>
      </c>
      <c r="G17" s="57" t="s">
        <v>31</v>
      </c>
      <c r="H17" s="57" t="s">
        <v>31</v>
      </c>
      <c r="I17" s="58"/>
      <c r="J17" s="59" t="s">
        <v>31</v>
      </c>
    </row>
    <row r="18" spans="2:10" x14ac:dyDescent="0.35">
      <c r="B18" s="60" t="s">
        <v>31</v>
      </c>
      <c r="C18" s="63" t="s">
        <v>31</v>
      </c>
      <c r="D18" s="68" t="s">
        <v>31</v>
      </c>
      <c r="E18" s="57" t="s">
        <v>31</v>
      </c>
      <c r="F18" s="57" t="s">
        <v>31</v>
      </c>
      <c r="G18" s="57" t="s">
        <v>31</v>
      </c>
      <c r="H18" s="57" t="s">
        <v>31</v>
      </c>
      <c r="I18" s="58"/>
      <c r="J18" s="70">
        <v>0</v>
      </c>
    </row>
    <row r="19" spans="2:10" x14ac:dyDescent="0.35">
      <c r="B19" s="60" t="s">
        <v>31</v>
      </c>
      <c r="C19" s="63" t="s">
        <v>31</v>
      </c>
      <c r="D19" s="68" t="s">
        <v>31</v>
      </c>
      <c r="E19" s="68" t="s">
        <v>31</v>
      </c>
      <c r="F19" s="68" t="s">
        <v>31</v>
      </c>
      <c r="G19" s="68" t="s">
        <v>31</v>
      </c>
      <c r="H19" s="68" t="s">
        <v>31</v>
      </c>
      <c r="I19" s="58"/>
      <c r="J19" s="70">
        <v>0</v>
      </c>
    </row>
    <row r="20" spans="2:10" x14ac:dyDescent="0.35">
      <c r="B20" s="60" t="s">
        <v>31</v>
      </c>
      <c r="C20" s="63" t="s">
        <v>31</v>
      </c>
      <c r="D20" s="68" t="s">
        <v>31</v>
      </c>
      <c r="E20" s="68" t="s">
        <v>31</v>
      </c>
      <c r="F20" s="68" t="s">
        <v>31</v>
      </c>
      <c r="G20" s="68" t="s">
        <v>31</v>
      </c>
      <c r="H20" s="68" t="s">
        <v>31</v>
      </c>
      <c r="I20" s="58"/>
      <c r="J20" s="70">
        <v>0</v>
      </c>
    </row>
    <row r="21" spans="2:10" x14ac:dyDescent="0.35">
      <c r="B21" s="60" t="s">
        <v>31</v>
      </c>
      <c r="C21" s="63" t="s">
        <v>31</v>
      </c>
      <c r="D21" s="68" t="s">
        <v>31</v>
      </c>
      <c r="E21" s="68" t="s">
        <v>31</v>
      </c>
      <c r="F21" s="68" t="s">
        <v>31</v>
      </c>
      <c r="G21" s="68" t="s">
        <v>31</v>
      </c>
      <c r="H21" s="68" t="s">
        <v>31</v>
      </c>
      <c r="I21" s="58"/>
      <c r="J21" s="70">
        <v>0</v>
      </c>
    </row>
    <row r="22" spans="2:10" x14ac:dyDescent="0.35">
      <c r="B22" s="60" t="s">
        <v>31</v>
      </c>
      <c r="C22" s="63" t="s">
        <v>31</v>
      </c>
      <c r="D22" s="68" t="s">
        <v>31</v>
      </c>
      <c r="E22" s="68" t="s">
        <v>31</v>
      </c>
      <c r="F22" s="68" t="s">
        <v>31</v>
      </c>
      <c r="G22" s="68" t="s">
        <v>31</v>
      </c>
      <c r="H22" s="68" t="s">
        <v>31</v>
      </c>
      <c r="I22" s="58"/>
      <c r="J22" s="70">
        <v>0</v>
      </c>
    </row>
    <row r="23" spans="2:10" x14ac:dyDescent="0.35">
      <c r="B23" s="60" t="s">
        <v>31</v>
      </c>
      <c r="C23" s="63" t="s">
        <v>31</v>
      </c>
      <c r="D23" s="68" t="s">
        <v>31</v>
      </c>
      <c r="E23" s="68" t="s">
        <v>31</v>
      </c>
      <c r="F23" s="68" t="s">
        <v>31</v>
      </c>
      <c r="G23" s="68" t="s">
        <v>31</v>
      </c>
      <c r="H23" s="68" t="s">
        <v>31</v>
      </c>
      <c r="I23" s="58"/>
      <c r="J23" s="70">
        <v>0</v>
      </c>
    </row>
    <row r="24" spans="2:10" x14ac:dyDescent="0.35">
      <c r="B24" s="60" t="s">
        <v>31</v>
      </c>
      <c r="C24" s="63" t="s">
        <v>31</v>
      </c>
      <c r="D24" s="68" t="s">
        <v>31</v>
      </c>
      <c r="E24" s="68" t="s">
        <v>31</v>
      </c>
      <c r="F24" s="68" t="s">
        <v>31</v>
      </c>
      <c r="G24" s="68" t="s">
        <v>31</v>
      </c>
      <c r="H24" s="68" t="s">
        <v>31</v>
      </c>
      <c r="I24" s="58"/>
      <c r="J24" s="70">
        <v>0</v>
      </c>
    </row>
    <row r="25" spans="2:10" x14ac:dyDescent="0.35">
      <c r="B25" s="60" t="s">
        <v>31</v>
      </c>
      <c r="C25" s="63" t="s">
        <v>31</v>
      </c>
      <c r="D25" s="68" t="s">
        <v>31</v>
      </c>
      <c r="E25" s="68" t="s">
        <v>31</v>
      </c>
      <c r="F25" s="68" t="s">
        <v>31</v>
      </c>
      <c r="G25" s="68" t="s">
        <v>31</v>
      </c>
      <c r="H25" s="68" t="s">
        <v>31</v>
      </c>
      <c r="I25" s="58"/>
      <c r="J25" s="70">
        <v>0</v>
      </c>
    </row>
    <row r="26" spans="2:10" x14ac:dyDescent="0.35">
      <c r="B26" s="60" t="s">
        <v>31</v>
      </c>
      <c r="C26" s="64" t="s">
        <v>14</v>
      </c>
      <c r="D26" s="65">
        <v>0</v>
      </c>
      <c r="E26" s="65">
        <v>0</v>
      </c>
      <c r="F26" s="65">
        <v>0</v>
      </c>
      <c r="G26" s="65">
        <v>0</v>
      </c>
      <c r="H26" s="65">
        <v>0</v>
      </c>
      <c r="I26" s="58"/>
      <c r="J26" s="66">
        <v>0</v>
      </c>
    </row>
    <row r="27" spans="2:10" x14ac:dyDescent="0.35">
      <c r="B27" s="60" t="s">
        <v>31</v>
      </c>
      <c r="C27" s="67" t="s">
        <v>34</v>
      </c>
      <c r="D27" s="68" t="s">
        <v>31</v>
      </c>
      <c r="E27" s="57" t="s">
        <v>31</v>
      </c>
      <c r="F27" s="57" t="s">
        <v>31</v>
      </c>
      <c r="G27" s="57" t="s">
        <v>31</v>
      </c>
      <c r="H27" s="57" t="s">
        <v>31</v>
      </c>
      <c r="I27" s="58"/>
      <c r="J27" s="69" t="s">
        <v>31</v>
      </c>
    </row>
    <row r="28" spans="2:10" x14ac:dyDescent="0.35">
      <c r="B28" s="60" t="s">
        <v>31</v>
      </c>
      <c r="C28" s="68" t="s">
        <v>37</v>
      </c>
      <c r="D28" s="71">
        <v>495000</v>
      </c>
      <c r="E28" s="68" t="s">
        <v>31</v>
      </c>
      <c r="F28" s="68" t="s">
        <v>31</v>
      </c>
      <c r="G28" s="68" t="s">
        <v>31</v>
      </c>
      <c r="H28" s="68" t="s">
        <v>31</v>
      </c>
      <c r="I28" s="58"/>
      <c r="J28" s="70">
        <v>495000</v>
      </c>
    </row>
    <row r="29" spans="2:10" x14ac:dyDescent="0.35">
      <c r="B29" s="60" t="s">
        <v>35</v>
      </c>
      <c r="C29" s="68" t="s">
        <v>121</v>
      </c>
      <c r="D29" s="68" t="s">
        <v>31</v>
      </c>
      <c r="E29" s="57" t="s">
        <v>31</v>
      </c>
      <c r="F29" s="61">
        <v>180000</v>
      </c>
      <c r="G29" s="61">
        <v>180000</v>
      </c>
      <c r="H29" s="57" t="s">
        <v>31</v>
      </c>
      <c r="I29" s="58"/>
      <c r="J29" s="70">
        <v>360000</v>
      </c>
    </row>
    <row r="30" spans="2:10" x14ac:dyDescent="0.35">
      <c r="B30" s="60" t="s">
        <v>31</v>
      </c>
      <c r="C30" s="64" t="s">
        <v>15</v>
      </c>
      <c r="D30" s="65">
        <v>495000</v>
      </c>
      <c r="E30" s="65">
        <v>0</v>
      </c>
      <c r="F30" s="65">
        <v>180000</v>
      </c>
      <c r="G30" s="65">
        <v>180000</v>
      </c>
      <c r="H30" s="65">
        <v>0</v>
      </c>
      <c r="I30" s="58"/>
      <c r="J30" s="66">
        <f>SUM(J28:J29)</f>
        <v>855000</v>
      </c>
    </row>
    <row r="31" spans="2:10" x14ac:dyDescent="0.35">
      <c r="B31" s="60" t="s">
        <v>31</v>
      </c>
      <c r="C31" s="67" t="s">
        <v>36</v>
      </c>
      <c r="D31" s="68" t="s">
        <v>31</v>
      </c>
      <c r="E31" s="57" t="s">
        <v>31</v>
      </c>
      <c r="F31" s="57" t="s">
        <v>31</v>
      </c>
      <c r="G31" s="57" t="s">
        <v>31</v>
      </c>
      <c r="H31" s="57" t="s">
        <v>31</v>
      </c>
      <c r="I31" s="58"/>
      <c r="J31" s="69" t="s">
        <v>31</v>
      </c>
    </row>
    <row r="32" spans="2:10" x14ac:dyDescent="0.35">
      <c r="B32" s="60" t="s">
        <v>31</v>
      </c>
      <c r="C32" s="68"/>
      <c r="D32" s="71"/>
      <c r="E32" s="68"/>
      <c r="F32" s="68"/>
      <c r="G32" s="68"/>
      <c r="H32" s="68"/>
      <c r="I32" s="58"/>
      <c r="J32" s="70"/>
    </row>
    <row r="33" spans="2:10" x14ac:dyDescent="0.35">
      <c r="B33" s="60" t="s">
        <v>31</v>
      </c>
      <c r="C33" s="68"/>
      <c r="D33" s="68"/>
      <c r="E33" s="57"/>
      <c r="F33" s="61"/>
      <c r="G33" s="61"/>
      <c r="H33" s="57"/>
      <c r="I33" s="58"/>
      <c r="J33" s="70"/>
    </row>
    <row r="34" spans="2:10" x14ac:dyDescent="0.35">
      <c r="B34" s="60" t="s">
        <v>31</v>
      </c>
      <c r="C34" s="64" t="s">
        <v>16</v>
      </c>
      <c r="D34" s="65"/>
      <c r="E34" s="65"/>
      <c r="F34" s="65"/>
      <c r="G34" s="65"/>
      <c r="H34" s="65"/>
      <c r="I34" s="58"/>
      <c r="J34" s="66"/>
    </row>
    <row r="35" spans="2:10" x14ac:dyDescent="0.35">
      <c r="B35" s="60" t="s">
        <v>31</v>
      </c>
      <c r="C35" s="67" t="s">
        <v>38</v>
      </c>
      <c r="D35" s="68" t="s">
        <v>31</v>
      </c>
      <c r="E35" s="57" t="s">
        <v>31</v>
      </c>
      <c r="F35" s="57" t="s">
        <v>31</v>
      </c>
      <c r="G35" s="57" t="s">
        <v>31</v>
      </c>
      <c r="H35" s="57" t="s">
        <v>31</v>
      </c>
      <c r="I35" s="58"/>
      <c r="J35" s="69" t="s">
        <v>31</v>
      </c>
    </row>
    <row r="36" spans="2:10" x14ac:dyDescent="0.35">
      <c r="B36" s="60" t="s">
        <v>31</v>
      </c>
      <c r="C36" s="68" t="s">
        <v>123</v>
      </c>
      <c r="D36" s="68" t="s">
        <v>31</v>
      </c>
      <c r="E36" s="71">
        <v>875000</v>
      </c>
      <c r="F36" s="57" t="s">
        <v>31</v>
      </c>
      <c r="G36" s="57" t="s">
        <v>31</v>
      </c>
      <c r="H36" s="57" t="s">
        <v>31</v>
      </c>
      <c r="I36" s="58"/>
      <c r="J36" s="70">
        <v>875000</v>
      </c>
    </row>
    <row r="37" spans="2:10" x14ac:dyDescent="0.35">
      <c r="B37" s="60" t="s">
        <v>31</v>
      </c>
      <c r="C37" s="68" t="s">
        <v>120</v>
      </c>
      <c r="D37" s="68" t="s">
        <v>31</v>
      </c>
      <c r="E37" s="71">
        <v>300000</v>
      </c>
      <c r="F37" s="68" t="s">
        <v>31</v>
      </c>
      <c r="G37" s="68" t="s">
        <v>31</v>
      </c>
      <c r="H37" s="68" t="s">
        <v>31</v>
      </c>
      <c r="I37" s="58"/>
      <c r="J37" s="70">
        <v>300000</v>
      </c>
    </row>
    <row r="38" spans="2:10" x14ac:dyDescent="0.35">
      <c r="B38" s="60" t="s">
        <v>31</v>
      </c>
      <c r="C38" s="68" t="s">
        <v>125</v>
      </c>
      <c r="D38" s="68" t="s">
        <v>31</v>
      </c>
      <c r="E38" s="68" t="s">
        <v>31</v>
      </c>
      <c r="F38" s="71">
        <v>250000</v>
      </c>
      <c r="G38" s="71">
        <v>375000</v>
      </c>
      <c r="H38" s="71">
        <v>250000</v>
      </c>
      <c r="I38" s="58"/>
      <c r="J38" s="70">
        <v>875000</v>
      </c>
    </row>
    <row r="39" spans="2:10" x14ac:dyDescent="0.35">
      <c r="B39" s="60" t="s">
        <v>31</v>
      </c>
      <c r="C39" s="63" t="s">
        <v>31</v>
      </c>
      <c r="D39" s="68" t="s">
        <v>31</v>
      </c>
      <c r="E39" s="57" t="s">
        <v>31</v>
      </c>
      <c r="F39" s="57" t="s">
        <v>31</v>
      </c>
      <c r="G39" s="57" t="s">
        <v>31</v>
      </c>
      <c r="H39" s="57" t="s">
        <v>31</v>
      </c>
      <c r="I39" s="58"/>
      <c r="J39" s="70">
        <v>0</v>
      </c>
    </row>
    <row r="40" spans="2:10" x14ac:dyDescent="0.35">
      <c r="B40" s="60" t="s">
        <v>31</v>
      </c>
      <c r="C40" s="64" t="s">
        <v>17</v>
      </c>
      <c r="D40" s="65">
        <v>0</v>
      </c>
      <c r="E40" s="65">
        <v>1175000</v>
      </c>
      <c r="F40" s="65">
        <v>250000</v>
      </c>
      <c r="G40" s="65">
        <v>375000</v>
      </c>
      <c r="H40" s="65">
        <v>250000</v>
      </c>
      <c r="I40" s="58"/>
      <c r="J40" s="66">
        <f>SUM(J36:J39)</f>
        <v>2050000</v>
      </c>
    </row>
    <row r="41" spans="2:10" x14ac:dyDescent="0.35">
      <c r="B41" s="60" t="s">
        <v>31</v>
      </c>
      <c r="C41" s="67" t="s">
        <v>39</v>
      </c>
      <c r="D41" s="68" t="s">
        <v>31</v>
      </c>
      <c r="E41" s="57" t="s">
        <v>31</v>
      </c>
      <c r="F41" s="57" t="s">
        <v>31</v>
      </c>
      <c r="G41" s="57" t="s">
        <v>31</v>
      </c>
      <c r="H41" s="57" t="s">
        <v>31</v>
      </c>
      <c r="I41" s="58"/>
      <c r="J41" s="69" t="s">
        <v>31</v>
      </c>
    </row>
    <row r="42" spans="2:10" x14ac:dyDescent="0.35">
      <c r="B42" s="60" t="s">
        <v>31</v>
      </c>
      <c r="C42" s="63" t="s">
        <v>31</v>
      </c>
      <c r="D42" s="68" t="s">
        <v>31</v>
      </c>
      <c r="E42" s="57" t="s">
        <v>31</v>
      </c>
      <c r="F42" s="57" t="s">
        <v>31</v>
      </c>
      <c r="G42" s="57" t="s">
        <v>31</v>
      </c>
      <c r="H42" s="57" t="s">
        <v>31</v>
      </c>
      <c r="I42" s="58"/>
      <c r="J42" s="70">
        <v>0</v>
      </c>
    </row>
    <row r="43" spans="2:10" x14ac:dyDescent="0.35">
      <c r="B43" s="60" t="s">
        <v>31</v>
      </c>
      <c r="C43" s="63" t="s">
        <v>31</v>
      </c>
      <c r="D43" s="68" t="s">
        <v>31</v>
      </c>
      <c r="E43" s="57" t="s">
        <v>31</v>
      </c>
      <c r="F43" s="57" t="s">
        <v>31</v>
      </c>
      <c r="G43" s="57" t="s">
        <v>31</v>
      </c>
      <c r="H43" s="57" t="s">
        <v>31</v>
      </c>
      <c r="I43" s="58"/>
      <c r="J43" s="70">
        <v>0</v>
      </c>
    </row>
    <row r="44" spans="2:10" x14ac:dyDescent="0.35">
      <c r="B44" s="60" t="s">
        <v>31</v>
      </c>
      <c r="C44" s="57" t="s">
        <v>31</v>
      </c>
      <c r="D44" s="68" t="s">
        <v>31</v>
      </c>
      <c r="E44" s="57" t="s">
        <v>31</v>
      </c>
      <c r="F44" s="57" t="s">
        <v>31</v>
      </c>
      <c r="G44" s="57" t="s">
        <v>31</v>
      </c>
      <c r="H44" s="57" t="s">
        <v>31</v>
      </c>
      <c r="I44" s="58"/>
      <c r="J44" s="70">
        <v>0</v>
      </c>
    </row>
    <row r="45" spans="2:10" x14ac:dyDescent="0.35">
      <c r="B45" s="59" t="s">
        <v>31</v>
      </c>
      <c r="C45" s="64" t="s">
        <v>18</v>
      </c>
      <c r="D45" s="65">
        <v>0</v>
      </c>
      <c r="E45" s="65">
        <v>0</v>
      </c>
      <c r="F45" s="65">
        <v>0</v>
      </c>
      <c r="G45" s="65">
        <v>0</v>
      </c>
      <c r="H45" s="65">
        <v>0</v>
      </c>
      <c r="I45" s="58"/>
      <c r="J45" s="66">
        <v>0</v>
      </c>
    </row>
    <row r="46" spans="2:10" x14ac:dyDescent="0.35">
      <c r="B46" s="59" t="s">
        <v>31</v>
      </c>
      <c r="C46" s="64" t="s">
        <v>19</v>
      </c>
      <c r="D46" s="65">
        <v>572500</v>
      </c>
      <c r="E46" s="65">
        <v>1252500</v>
      </c>
      <c r="F46" s="65">
        <v>620000</v>
      </c>
      <c r="G46" s="65">
        <v>745000</v>
      </c>
      <c r="H46" s="65">
        <v>260000</v>
      </c>
      <c r="I46" s="58"/>
      <c r="J46" s="66">
        <f>J11+J16+J26+J30+J40</f>
        <v>3450000</v>
      </c>
    </row>
    <row r="47" spans="2:10" x14ac:dyDescent="0.35">
      <c r="B47" s="58"/>
      <c r="C47" s="58"/>
      <c r="D47" s="58"/>
      <c r="E47" s="58"/>
      <c r="F47" s="58"/>
      <c r="G47" s="58"/>
      <c r="H47" s="58"/>
      <c r="I47" s="58"/>
      <c r="J47" s="58"/>
    </row>
    <row r="48" spans="2:10" ht="29" x14ac:dyDescent="0.35">
      <c r="B48" s="72" t="s">
        <v>40</v>
      </c>
      <c r="C48" s="73" t="s">
        <v>40</v>
      </c>
      <c r="D48" s="74" t="s">
        <v>31</v>
      </c>
      <c r="E48" s="74" t="s">
        <v>31</v>
      </c>
      <c r="F48" s="74" t="s">
        <v>31</v>
      </c>
      <c r="G48" s="74" t="s">
        <v>31</v>
      </c>
      <c r="H48" s="74" t="s">
        <v>31</v>
      </c>
      <c r="I48" s="58"/>
      <c r="J48" s="75" t="s">
        <v>31</v>
      </c>
    </row>
    <row r="49" spans="2:10" x14ac:dyDescent="0.35">
      <c r="B49" s="60" t="s">
        <v>31</v>
      </c>
      <c r="C49" s="63" t="s">
        <v>31</v>
      </c>
      <c r="D49" s="68" t="s">
        <v>31</v>
      </c>
      <c r="E49" s="57" t="s">
        <v>31</v>
      </c>
      <c r="F49" s="57" t="s">
        <v>31</v>
      </c>
      <c r="G49" s="57" t="s">
        <v>31</v>
      </c>
      <c r="H49" s="57" t="s">
        <v>31</v>
      </c>
      <c r="I49" s="58"/>
      <c r="J49" s="70">
        <v>0</v>
      </c>
    </row>
    <row r="50" spans="2:10" x14ac:dyDescent="0.35">
      <c r="B50" s="60" t="s">
        <v>31</v>
      </c>
      <c r="C50" s="63" t="s">
        <v>31</v>
      </c>
      <c r="D50" s="68" t="s">
        <v>31</v>
      </c>
      <c r="E50" s="57" t="s">
        <v>31</v>
      </c>
      <c r="F50" s="57" t="s">
        <v>31</v>
      </c>
      <c r="G50" s="57" t="s">
        <v>31</v>
      </c>
      <c r="H50" s="57" t="s">
        <v>31</v>
      </c>
      <c r="I50" s="58"/>
      <c r="J50" s="70">
        <v>0</v>
      </c>
    </row>
    <row r="51" spans="2:10" x14ac:dyDescent="0.35">
      <c r="B51" s="59" t="s">
        <v>31</v>
      </c>
      <c r="C51" s="64" t="s">
        <v>21</v>
      </c>
      <c r="D51" s="65">
        <v>0</v>
      </c>
      <c r="E51" s="65">
        <v>0</v>
      </c>
      <c r="F51" s="65">
        <v>0</v>
      </c>
      <c r="G51" s="65">
        <v>0</v>
      </c>
      <c r="H51" s="65">
        <v>0</v>
      </c>
      <c r="I51" s="58"/>
      <c r="J51" s="66">
        <v>0</v>
      </c>
    </row>
    <row r="52" spans="2:10" x14ac:dyDescent="0.35">
      <c r="B52" s="58"/>
      <c r="C52" s="58"/>
      <c r="D52" s="58"/>
      <c r="E52" s="58"/>
      <c r="F52" s="58"/>
      <c r="G52" s="58"/>
      <c r="H52" s="58"/>
      <c r="I52" s="58"/>
      <c r="J52" s="58"/>
    </row>
    <row r="53" spans="2:10" s="1" customFormat="1" ht="29" x14ac:dyDescent="0.35">
      <c r="B53" s="76" t="s">
        <v>22</v>
      </c>
      <c r="C53" s="76" t="s">
        <v>31</v>
      </c>
      <c r="D53" s="77">
        <v>572500</v>
      </c>
      <c r="E53" s="77">
        <v>1252500</v>
      </c>
      <c r="F53" s="77">
        <v>620000</v>
      </c>
      <c r="G53" s="77">
        <v>745000</v>
      </c>
      <c r="H53" s="77">
        <v>260000</v>
      </c>
      <c r="I53" s="58"/>
      <c r="J53" s="78">
        <f>SUM(J46,J51)</f>
        <v>3450000</v>
      </c>
    </row>
    <row r="54" spans="2:10" x14ac:dyDescent="0.35">
      <c r="B54" s="4" t="s">
        <v>122</v>
      </c>
    </row>
    <row r="55" spans="2:10" x14ac:dyDescent="0.35">
      <c r="B55" s="4"/>
    </row>
    <row r="56" spans="2:10" x14ac:dyDescent="0.35">
      <c r="B56" s="4"/>
    </row>
    <row r="57" spans="2:10" x14ac:dyDescent="0.35">
      <c r="B57" s="4"/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</sheetData>
  <pageMargins left="0.7" right="0.7" top="0.75" bottom="0.75" header="0.3" footer="0.3"/>
  <pageSetup scale="9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57590D-4C23-44B0-B6B9-2EA12DF57FEF}">
  <sheetPr>
    <tabColor theme="9" tint="0.39997558519241921"/>
    <pageSetUpPr fitToPage="1"/>
  </sheetPr>
  <dimension ref="B2:AM73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1" sqref="C1"/>
    </sheetView>
  </sheetViews>
  <sheetFormatPr defaultColWidth="9.26953125" defaultRowHeight="14.5" x14ac:dyDescent="0.35"/>
  <cols>
    <col min="1" max="1" width="3.26953125" customWidth="1"/>
    <col min="2" max="2" width="9.7265625" customWidth="1"/>
    <col min="3" max="3" width="44.453125" customWidth="1"/>
    <col min="4" max="4" width="12.7265625" style="4" customWidth="1"/>
    <col min="5" max="5" width="12.453125" style="2" customWidth="1"/>
    <col min="6" max="7" width="12.7265625" customWidth="1"/>
    <col min="8" max="8" width="13.453125" style="2" customWidth="1"/>
    <col min="9" max="9" width="0.7265625" style="5" customWidth="1"/>
    <col min="10" max="10" width="14.453125" customWidth="1"/>
    <col min="11" max="11" width="13.08984375" customWidth="1"/>
  </cols>
  <sheetData>
    <row r="2" spans="2:39" ht="23.5" x14ac:dyDescent="0.55000000000000004">
      <c r="B2" s="26" t="s">
        <v>155</v>
      </c>
    </row>
    <row r="3" spans="2:39" x14ac:dyDescent="0.35">
      <c r="B3" s="3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ht="2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9" x14ac:dyDescent="0.35">
      <c r="B8" s="19"/>
      <c r="C8" s="97" t="s">
        <v>41</v>
      </c>
      <c r="D8" s="98">
        <v>94050</v>
      </c>
      <c r="E8" s="98">
        <v>97812</v>
      </c>
      <c r="F8" s="98">
        <v>101726</v>
      </c>
      <c r="G8" s="98"/>
      <c r="H8" s="98"/>
      <c r="I8" s="99">
        <v>450000</v>
      </c>
      <c r="J8" s="98">
        <f>SUM(D8:H8)</f>
        <v>293588</v>
      </c>
    </row>
    <row r="9" spans="2:39" x14ac:dyDescent="0.35">
      <c r="B9" s="19"/>
      <c r="C9" s="97"/>
      <c r="D9" s="98"/>
      <c r="E9" s="98"/>
      <c r="F9" s="98"/>
      <c r="G9" s="98"/>
      <c r="H9" s="98"/>
      <c r="I9" s="100"/>
      <c r="J9" s="98">
        <f>SUM(D9:H9)</f>
        <v>0</v>
      </c>
    </row>
    <row r="10" spans="2:39" x14ac:dyDescent="0.35">
      <c r="B10" s="19"/>
      <c r="C10" s="118"/>
      <c r="D10" s="98"/>
      <c r="E10" s="101"/>
      <c r="F10" s="101"/>
      <c r="G10" s="101"/>
      <c r="H10" s="101"/>
      <c r="I10" s="100"/>
      <c r="J10" s="98">
        <f>SUM(D10:H10)</f>
        <v>0</v>
      </c>
    </row>
    <row r="11" spans="2:39" x14ac:dyDescent="0.35">
      <c r="B11" s="19"/>
      <c r="C11" s="116" t="s">
        <v>12</v>
      </c>
      <c r="D11" s="103">
        <f>SUM(D8:D10)</f>
        <v>94050</v>
      </c>
      <c r="E11" s="103">
        <f t="shared" ref="E11:J11" si="0">SUM(E8:E10)</f>
        <v>97812</v>
      </c>
      <c r="F11" s="103">
        <f t="shared" si="0"/>
        <v>101726</v>
      </c>
      <c r="G11" s="103">
        <f t="shared" si="0"/>
        <v>0</v>
      </c>
      <c r="H11" s="103">
        <f t="shared" si="0"/>
        <v>0</v>
      </c>
      <c r="I11" s="100">
        <f t="shared" si="0"/>
        <v>450000</v>
      </c>
      <c r="J11" s="103">
        <f>SUM(J8:J10)</f>
        <v>293588</v>
      </c>
    </row>
    <row r="12" spans="2:39" x14ac:dyDescent="0.35">
      <c r="B12" s="19"/>
      <c r="C12" s="89" t="s">
        <v>32</v>
      </c>
      <c r="D12" s="104" t="s">
        <v>31</v>
      </c>
      <c r="E12" s="105"/>
      <c r="F12" s="105"/>
      <c r="G12" s="105"/>
      <c r="H12" s="105"/>
      <c r="I12" s="100"/>
      <c r="J12" s="106" t="s">
        <v>31</v>
      </c>
    </row>
    <row r="13" spans="2:39" x14ac:dyDescent="0.35">
      <c r="B13" s="19"/>
      <c r="C13" s="97"/>
      <c r="D13" s="98"/>
      <c r="E13" s="98"/>
      <c r="F13" s="98"/>
      <c r="G13" s="98"/>
      <c r="H13" s="98"/>
      <c r="I13" s="100"/>
      <c r="J13" s="98">
        <f>SUM(D13:H13)</f>
        <v>0</v>
      </c>
    </row>
    <row r="14" spans="2:39" x14ac:dyDescent="0.35">
      <c r="B14" s="19"/>
      <c r="C14" s="97"/>
      <c r="D14" s="98"/>
      <c r="E14" s="98"/>
      <c r="F14" s="98"/>
      <c r="G14" s="98"/>
      <c r="H14" s="98"/>
      <c r="I14" s="100"/>
      <c r="J14" s="98">
        <f t="shared" ref="J14:J15" si="1">SUM(D14:H14)</f>
        <v>0</v>
      </c>
    </row>
    <row r="15" spans="2:39" x14ac:dyDescent="0.35">
      <c r="B15" s="19"/>
      <c r="C15" s="105"/>
      <c r="D15" s="98"/>
      <c r="E15" s="101"/>
      <c r="F15" s="101"/>
      <c r="G15" s="101"/>
      <c r="H15" s="101"/>
      <c r="I15" s="100"/>
      <c r="J15" s="98">
        <f t="shared" si="1"/>
        <v>0</v>
      </c>
    </row>
    <row r="16" spans="2:39" x14ac:dyDescent="0.35">
      <c r="B16" s="19"/>
      <c r="C16" s="116" t="s">
        <v>13</v>
      </c>
      <c r="D16" s="103">
        <f>SUM(D13:D15)</f>
        <v>0</v>
      </c>
      <c r="E16" s="103">
        <f t="shared" ref="E16:J16" si="2">SUM(E13:E15)</f>
        <v>0</v>
      </c>
      <c r="F16" s="103">
        <f t="shared" si="2"/>
        <v>0</v>
      </c>
      <c r="G16" s="103">
        <f t="shared" si="2"/>
        <v>0</v>
      </c>
      <c r="H16" s="103">
        <f t="shared" si="2"/>
        <v>0</v>
      </c>
      <c r="I16" s="100">
        <f t="shared" si="2"/>
        <v>0</v>
      </c>
      <c r="J16" s="103">
        <f t="shared" si="2"/>
        <v>0</v>
      </c>
      <c r="K16" s="27"/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1"/>
      <c r="E18" s="8"/>
      <c r="F18" s="8"/>
      <c r="G18" s="8"/>
      <c r="H18" s="8"/>
      <c r="J18" s="13">
        <f>SUM(D18:H18)</f>
        <v>0</v>
      </c>
    </row>
    <row r="19" spans="2:10" x14ac:dyDescent="0.35">
      <c r="B19" s="19"/>
      <c r="C19" s="25"/>
      <c r="D19" s="13"/>
      <c r="E19" s="9"/>
      <c r="F19" s="9"/>
      <c r="G19" s="9"/>
      <c r="H19" s="9"/>
      <c r="J19" s="13">
        <f>SUM(D19:H19)</f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>
        <v>2000</v>
      </c>
      <c r="J20" s="13">
        <f>SUM(D20:H20)</f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250</v>
      </c>
      <c r="J21" s="13">
        <f t="shared" ref="J21:J26" si="3">SUM(D21:H21)</f>
        <v>0</v>
      </c>
    </row>
    <row r="22" spans="2:10" x14ac:dyDescent="0.35">
      <c r="B22" s="19"/>
      <c r="C22" s="21"/>
      <c r="D22" s="13"/>
      <c r="E22" s="13"/>
      <c r="F22" s="13"/>
      <c r="G22" s="13"/>
      <c r="H22" s="13"/>
      <c r="I22" s="28">
        <v>2250</v>
      </c>
      <c r="J22" s="13">
        <f t="shared" si="3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>
        <v>1243</v>
      </c>
      <c r="J23" s="13">
        <f t="shared" si="3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225</v>
      </c>
      <c r="J24" s="13">
        <f t="shared" si="3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400</v>
      </c>
      <c r="J25" s="13">
        <f t="shared" si="3"/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1638</v>
      </c>
      <c r="J26" s="13">
        <f t="shared" si="3"/>
        <v>0</v>
      </c>
    </row>
    <row r="27" spans="2:10" x14ac:dyDescent="0.35">
      <c r="B27" s="19"/>
      <c r="C27" s="7" t="s">
        <v>14</v>
      </c>
      <c r="D27" s="14">
        <f>SUM(D20:D26)</f>
        <v>0</v>
      </c>
      <c r="E27" s="14">
        <f t="shared" ref="E27:H27" si="4">SUM(E20:E26)</f>
        <v>0</v>
      </c>
      <c r="F27" s="14">
        <f t="shared" si="4"/>
        <v>0</v>
      </c>
      <c r="G27" s="14">
        <f t="shared" si="4"/>
        <v>0</v>
      </c>
      <c r="H27" s="14">
        <f t="shared" si="4"/>
        <v>0</v>
      </c>
      <c r="J27" s="14">
        <f>SUM(J18:J26)</f>
        <v>0</v>
      </c>
    </row>
    <row r="28" spans="2:10" x14ac:dyDescent="0.35">
      <c r="B28" s="19"/>
      <c r="C28" s="89" t="s">
        <v>34</v>
      </c>
      <c r="D28" s="98"/>
      <c r="E28" s="105"/>
      <c r="F28" s="105"/>
      <c r="G28" s="105"/>
      <c r="H28" s="105"/>
      <c r="I28" s="100"/>
      <c r="J28" s="98" t="s">
        <v>20</v>
      </c>
    </row>
    <row r="29" spans="2:10" x14ac:dyDescent="0.35">
      <c r="B29" s="19"/>
      <c r="C29" s="97" t="s">
        <v>42</v>
      </c>
      <c r="D29" s="98">
        <v>2880000</v>
      </c>
      <c r="E29" s="105"/>
      <c r="F29" s="105"/>
      <c r="G29" s="105"/>
      <c r="H29" s="105"/>
      <c r="I29" s="100"/>
      <c r="J29" s="98">
        <f>SUM(D29:H29)</f>
        <v>2880000</v>
      </c>
    </row>
    <row r="30" spans="2:10" x14ac:dyDescent="0.35">
      <c r="B30" s="19" t="s">
        <v>35</v>
      </c>
      <c r="C30" s="97" t="s">
        <v>43</v>
      </c>
      <c r="D30" s="98">
        <v>500000</v>
      </c>
      <c r="E30" s="98">
        <v>500000</v>
      </c>
      <c r="F30" s="98">
        <v>250000</v>
      </c>
      <c r="G30" s="98"/>
      <c r="H30" s="98"/>
      <c r="I30" s="100"/>
      <c r="J30" s="98">
        <f t="shared" ref="J30:J51" si="5">SUM(D30:H30)</f>
        <v>1250000</v>
      </c>
    </row>
    <row r="31" spans="2:10" x14ac:dyDescent="0.35">
      <c r="B31" s="19"/>
      <c r="C31" s="116" t="s">
        <v>15</v>
      </c>
      <c r="D31" s="107">
        <f>SUM(D29:D30)</f>
        <v>3380000</v>
      </c>
      <c r="E31" s="107">
        <f t="shared" ref="E31:H31" si="6">SUM(E29:E30)</f>
        <v>500000</v>
      </c>
      <c r="F31" s="107">
        <f t="shared" si="6"/>
        <v>250000</v>
      </c>
      <c r="G31" s="107">
        <f t="shared" si="6"/>
        <v>0</v>
      </c>
      <c r="H31" s="107">
        <f t="shared" si="6"/>
        <v>0</v>
      </c>
      <c r="I31" s="100"/>
      <c r="J31" s="103">
        <f>SUM(J29:J30)</f>
        <v>4130000</v>
      </c>
    </row>
    <row r="32" spans="2:10" x14ac:dyDescent="0.35">
      <c r="B32" s="19"/>
      <c r="C32" s="89" t="s">
        <v>36</v>
      </c>
      <c r="D32" s="104" t="s">
        <v>31</v>
      </c>
      <c r="E32" s="105"/>
      <c r="F32" s="105"/>
      <c r="G32" s="105"/>
      <c r="H32" s="105"/>
      <c r="I32" s="100"/>
      <c r="J32" s="98"/>
    </row>
    <row r="33" spans="2:10" x14ac:dyDescent="0.35">
      <c r="B33" s="19"/>
      <c r="C33" s="97"/>
      <c r="D33" s="98"/>
      <c r="E33" s="98"/>
      <c r="F33" s="98"/>
      <c r="G33" s="98"/>
      <c r="H33" s="98"/>
      <c r="I33" s="99">
        <v>5000</v>
      </c>
      <c r="J33" s="98">
        <f t="shared" si="5"/>
        <v>0</v>
      </c>
    </row>
    <row r="34" spans="2:10" x14ac:dyDescent="0.35">
      <c r="B34" s="19"/>
      <c r="C34" s="97"/>
      <c r="D34" s="98"/>
      <c r="E34" s="101"/>
      <c r="F34" s="101"/>
      <c r="G34" s="101"/>
      <c r="H34" s="101"/>
      <c r="I34" s="100"/>
      <c r="J34" s="98">
        <f t="shared" si="5"/>
        <v>0</v>
      </c>
    </row>
    <row r="35" spans="2:10" x14ac:dyDescent="0.35">
      <c r="B35" s="19"/>
      <c r="C35" s="116" t="s">
        <v>16</v>
      </c>
      <c r="D35" s="103">
        <f>SUM(D33:D34)</f>
        <v>0</v>
      </c>
      <c r="E35" s="103">
        <f t="shared" ref="E35:H35" si="7">SUM(E33:E34)</f>
        <v>0</v>
      </c>
      <c r="F35" s="103">
        <f t="shared" si="7"/>
        <v>0</v>
      </c>
      <c r="G35" s="103">
        <f t="shared" si="7"/>
        <v>0</v>
      </c>
      <c r="H35" s="103">
        <f t="shared" si="7"/>
        <v>0</v>
      </c>
      <c r="I35" s="100"/>
      <c r="J35" s="103">
        <f>SUM(J33:J34)</f>
        <v>0</v>
      </c>
    </row>
    <row r="36" spans="2:10" x14ac:dyDescent="0.35">
      <c r="B36" s="19"/>
      <c r="C36" s="89" t="s">
        <v>38</v>
      </c>
      <c r="D36" s="104" t="s">
        <v>31</v>
      </c>
      <c r="E36" s="105"/>
      <c r="F36" s="105"/>
      <c r="G36" s="105"/>
      <c r="H36" s="105"/>
      <c r="I36" s="100"/>
      <c r="J36" s="98"/>
    </row>
    <row r="37" spans="2:10" ht="29" x14ac:dyDescent="0.35">
      <c r="B37" s="19"/>
      <c r="C37" s="104" t="s">
        <v>44</v>
      </c>
      <c r="D37" s="98">
        <v>1470000</v>
      </c>
      <c r="E37" s="98">
        <v>1470000</v>
      </c>
      <c r="F37" s="98">
        <v>735000</v>
      </c>
      <c r="G37" s="98"/>
      <c r="H37" s="98"/>
      <c r="I37" s="99"/>
      <c r="J37" s="98">
        <f t="shared" si="5"/>
        <v>3675000</v>
      </c>
    </row>
    <row r="38" spans="2:10" x14ac:dyDescent="0.35">
      <c r="B38" s="19"/>
      <c r="C38" s="104" t="s">
        <v>112</v>
      </c>
      <c r="D38" s="98">
        <f>75000*20</f>
        <v>1500000</v>
      </c>
      <c r="E38" s="98"/>
      <c r="F38" s="98"/>
      <c r="G38" s="98"/>
      <c r="H38" s="98"/>
      <c r="I38" s="99"/>
      <c r="J38" s="98">
        <f t="shared" si="5"/>
        <v>1500000</v>
      </c>
    </row>
    <row r="39" spans="2:10" x14ac:dyDescent="0.35">
      <c r="B39" s="19"/>
      <c r="C39" s="104"/>
      <c r="D39" s="98"/>
      <c r="E39" s="98"/>
      <c r="F39" s="98"/>
      <c r="G39" s="98"/>
      <c r="H39" s="98"/>
      <c r="I39" s="99"/>
      <c r="J39" s="98">
        <f t="shared" si="5"/>
        <v>0</v>
      </c>
    </row>
    <row r="40" spans="2:10" x14ac:dyDescent="0.35">
      <c r="B40" s="19"/>
      <c r="C40" s="117"/>
      <c r="D40" s="98"/>
      <c r="E40" s="98"/>
      <c r="F40" s="98"/>
      <c r="G40" s="98"/>
      <c r="H40" s="98"/>
      <c r="I40" s="99"/>
      <c r="J40" s="98">
        <f t="shared" si="5"/>
        <v>0</v>
      </c>
    </row>
    <row r="41" spans="2:10" x14ac:dyDescent="0.35">
      <c r="B41" s="19"/>
      <c r="C41" s="97"/>
      <c r="D41" s="98"/>
      <c r="E41" s="101"/>
      <c r="F41" s="101"/>
      <c r="G41" s="101"/>
      <c r="H41" s="101"/>
      <c r="I41" s="100"/>
      <c r="J41" s="98">
        <f t="shared" si="5"/>
        <v>0</v>
      </c>
    </row>
    <row r="42" spans="2:10" x14ac:dyDescent="0.35">
      <c r="B42" s="19"/>
      <c r="C42" s="116" t="s">
        <v>17</v>
      </c>
      <c r="D42" s="103">
        <f>SUM(D37:D41)</f>
        <v>2970000</v>
      </c>
      <c r="E42" s="103">
        <f t="shared" ref="E42:H42" si="8">SUM(E37:E41)</f>
        <v>1470000</v>
      </c>
      <c r="F42" s="103">
        <f t="shared" si="8"/>
        <v>735000</v>
      </c>
      <c r="G42" s="103">
        <f t="shared" si="8"/>
        <v>0</v>
      </c>
      <c r="H42" s="103">
        <f t="shared" si="8"/>
        <v>0</v>
      </c>
      <c r="I42" s="100"/>
      <c r="J42" s="103">
        <f>SUM(J37:J41)</f>
        <v>5175000</v>
      </c>
    </row>
    <row r="43" spans="2:10" x14ac:dyDescent="0.35">
      <c r="B43" s="19"/>
      <c r="C43" s="12" t="s">
        <v>39</v>
      </c>
      <c r="D43" s="11" t="s">
        <v>31</v>
      </c>
      <c r="E43" s="8"/>
      <c r="F43" s="8"/>
      <c r="G43" s="8"/>
      <c r="H43" s="8"/>
      <c r="J43" s="13"/>
    </row>
    <row r="44" spans="2:10" x14ac:dyDescent="0.35">
      <c r="B44" s="19"/>
      <c r="C44" s="21"/>
      <c r="D44" s="13"/>
      <c r="E44" s="13"/>
      <c r="F44" s="13"/>
      <c r="G44" s="13"/>
      <c r="H44" s="13"/>
      <c r="I44" s="28">
        <v>375000</v>
      </c>
      <c r="J44" s="13">
        <f t="shared" si="5"/>
        <v>0</v>
      </c>
    </row>
    <row r="45" spans="2:10" x14ac:dyDescent="0.35">
      <c r="B45" s="19"/>
      <c r="C45" s="21"/>
      <c r="D45" s="13"/>
      <c r="E45" s="13"/>
      <c r="F45" s="13"/>
      <c r="G45" s="13"/>
      <c r="H45" s="13"/>
      <c r="I45" s="28">
        <v>781250</v>
      </c>
      <c r="J45" s="13">
        <f t="shared" si="5"/>
        <v>0</v>
      </c>
    </row>
    <row r="46" spans="2:10" x14ac:dyDescent="0.35">
      <c r="B46" s="19"/>
      <c r="C46" s="21"/>
      <c r="D46" s="13"/>
      <c r="E46" s="13"/>
      <c r="F46" s="13"/>
      <c r="G46" s="13"/>
      <c r="H46" s="13"/>
      <c r="I46" s="28">
        <v>2083335</v>
      </c>
      <c r="J46" s="13">
        <f t="shared" si="5"/>
        <v>0</v>
      </c>
    </row>
    <row r="47" spans="2:10" x14ac:dyDescent="0.35">
      <c r="B47" s="19"/>
      <c r="C47" s="21"/>
      <c r="D47" s="13"/>
      <c r="E47" s="9"/>
      <c r="F47" s="9"/>
      <c r="G47" s="9"/>
      <c r="H47" s="9"/>
      <c r="J47" s="13">
        <f t="shared" si="5"/>
        <v>0</v>
      </c>
    </row>
    <row r="48" spans="2:10" x14ac:dyDescent="0.35">
      <c r="B48" s="19"/>
      <c r="C48" s="21"/>
      <c r="D48" s="13"/>
      <c r="E48" s="9"/>
      <c r="F48" s="9"/>
      <c r="G48" s="9"/>
      <c r="H48" s="9"/>
      <c r="J48" s="13">
        <f t="shared" si="5"/>
        <v>0</v>
      </c>
    </row>
    <row r="49" spans="2:11" x14ac:dyDescent="0.35">
      <c r="B49" s="19"/>
      <c r="C49" s="8"/>
      <c r="D49" s="13"/>
      <c r="E49" s="9"/>
      <c r="F49" s="9"/>
      <c r="G49" s="9"/>
      <c r="H49" s="9"/>
      <c r="J49" s="13">
        <f t="shared" si="5"/>
        <v>0</v>
      </c>
    </row>
    <row r="50" spans="2:11" x14ac:dyDescent="0.35">
      <c r="B50" s="20"/>
      <c r="C50" s="7" t="s">
        <v>18</v>
      </c>
      <c r="D50" s="14">
        <f>SUM(D44:D49)</f>
        <v>0</v>
      </c>
      <c r="E50" s="14">
        <f t="shared" ref="E50:H50" si="9">SUM(E44:E49)</f>
        <v>0</v>
      </c>
      <c r="F50" s="14">
        <f t="shared" si="9"/>
        <v>0</v>
      </c>
      <c r="G50" s="14">
        <f t="shared" si="9"/>
        <v>0</v>
      </c>
      <c r="H50" s="14">
        <f t="shared" si="9"/>
        <v>0</v>
      </c>
      <c r="J50" s="14">
        <f>SUM(J44:J49)</f>
        <v>0</v>
      </c>
    </row>
    <row r="51" spans="2:11" x14ac:dyDescent="0.35">
      <c r="B51" s="20"/>
      <c r="C51" s="116" t="s">
        <v>19</v>
      </c>
      <c r="D51" s="103">
        <f>SUM(D50,D42,D35,D31,D27,D16,D11)</f>
        <v>6444050</v>
      </c>
      <c r="E51" s="103">
        <f t="shared" ref="E51:H51" si="10">SUM(E50,E42,E35,E31,E27,E16,E11)</f>
        <v>2067812</v>
      </c>
      <c r="F51" s="103">
        <f t="shared" si="10"/>
        <v>1086726</v>
      </c>
      <c r="G51" s="103">
        <f t="shared" si="10"/>
        <v>0</v>
      </c>
      <c r="H51" s="103">
        <f t="shared" si="10"/>
        <v>0</v>
      </c>
      <c r="I51" s="100"/>
      <c r="J51" s="103">
        <f>SUM(D51:H51)</f>
        <v>9598588</v>
      </c>
      <c r="K51" s="27"/>
    </row>
    <row r="52" spans="2:11" x14ac:dyDescent="0.35">
      <c r="B52" s="4"/>
      <c r="D52"/>
      <c r="E52"/>
      <c r="H52"/>
      <c r="I52"/>
      <c r="J52" t="s">
        <v>20</v>
      </c>
    </row>
    <row r="53" spans="2:11" x14ac:dyDescent="0.35">
      <c r="B53" s="18" t="s">
        <v>40</v>
      </c>
      <c r="C53" s="15" t="s">
        <v>40</v>
      </c>
      <c r="D53" s="16"/>
      <c r="E53" s="16"/>
      <c r="F53" s="16"/>
      <c r="G53" s="16"/>
      <c r="H53" s="16"/>
      <c r="I53"/>
      <c r="J53" s="16" t="s">
        <v>20</v>
      </c>
    </row>
    <row r="54" spans="2:11" x14ac:dyDescent="0.35">
      <c r="B54" s="19"/>
      <c r="C54" s="21"/>
      <c r="D54" s="11"/>
      <c r="E54" s="8"/>
      <c r="F54" s="8"/>
      <c r="G54" s="8"/>
      <c r="H54" s="8"/>
      <c r="J54" s="13">
        <f>SUM(D54:H54)</f>
        <v>0</v>
      </c>
    </row>
    <row r="55" spans="2:11" x14ac:dyDescent="0.35">
      <c r="B55" s="19"/>
      <c r="C55" s="21"/>
      <c r="D55" s="11"/>
      <c r="E55" s="8"/>
      <c r="F55" s="8"/>
      <c r="G55" s="8"/>
      <c r="H55" s="8"/>
      <c r="J55" s="13">
        <f t="shared" ref="J55:J56" si="11">SUM(D55:H55)</f>
        <v>0</v>
      </c>
    </row>
    <row r="56" spans="2:11" x14ac:dyDescent="0.35">
      <c r="B56" s="20"/>
      <c r="C56" s="7" t="s">
        <v>21</v>
      </c>
      <c r="D56" s="14">
        <f>SUM(D54:D55)</f>
        <v>0</v>
      </c>
      <c r="E56" s="14">
        <f t="shared" ref="E56:H56" si="12">SUM(E54:E55)</f>
        <v>0</v>
      </c>
      <c r="F56" s="14">
        <f t="shared" si="12"/>
        <v>0</v>
      </c>
      <c r="G56" s="14">
        <f t="shared" si="12"/>
        <v>0</v>
      </c>
      <c r="H56" s="14">
        <f t="shared" si="12"/>
        <v>0</v>
      </c>
      <c r="J56" s="14">
        <f t="shared" si="11"/>
        <v>0</v>
      </c>
    </row>
    <row r="57" spans="2:11" ht="15" thickBot="1" x14ac:dyDescent="0.4">
      <c r="B57" s="4"/>
      <c r="D57"/>
      <c r="E57"/>
      <c r="H57"/>
      <c r="I57"/>
      <c r="J57" t="s">
        <v>20</v>
      </c>
    </row>
    <row r="58" spans="2:11" s="1" customFormat="1" ht="29.5" thickBot="1" x14ac:dyDescent="0.4">
      <c r="B58" s="17" t="s">
        <v>22</v>
      </c>
      <c r="C58" s="95"/>
      <c r="D58" s="96">
        <f>SUM(D56,D51)</f>
        <v>6444050</v>
      </c>
      <c r="E58" s="96">
        <f t="shared" ref="E58:J58" si="13">SUM(E56,E51)</f>
        <v>2067812</v>
      </c>
      <c r="F58" s="96">
        <f t="shared" si="13"/>
        <v>1086726</v>
      </c>
      <c r="G58" s="96">
        <f t="shared" si="13"/>
        <v>0</v>
      </c>
      <c r="H58" s="96">
        <f t="shared" si="13"/>
        <v>0</v>
      </c>
      <c r="I58" s="100">
        <f>SUM(I56,I51)</f>
        <v>0</v>
      </c>
      <c r="J58" s="96">
        <f t="shared" si="13"/>
        <v>9598588</v>
      </c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</sheetData>
  <pageMargins left="0.7" right="0.7" top="0.75" bottom="0.75" header="0.3" footer="0.3"/>
  <pageSetup scale="89" fitToHeight="0" orientation="landscape" r:id="rId1"/>
  <ignoredErrors>
    <ignoredError sqref="J8 J20:J26 J33 J44:J46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634C37-1548-4AC3-B53B-961AC359D6B3}">
  <sheetPr>
    <tabColor theme="9" tint="0.39997558519241921"/>
    <pageSetUpPr fitToPage="1"/>
  </sheetPr>
  <dimension ref="B2:AM73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C3" sqref="C3"/>
    </sheetView>
  </sheetViews>
  <sheetFormatPr defaultColWidth="9.26953125" defaultRowHeight="14.5" x14ac:dyDescent="0.35"/>
  <cols>
    <col min="1" max="1" width="3.26953125" customWidth="1"/>
    <col min="2" max="2" width="10" customWidth="1"/>
    <col min="3" max="3" width="49.54296875" customWidth="1"/>
    <col min="4" max="4" width="12.7265625" style="4" customWidth="1"/>
    <col min="5" max="5" width="12.453125" style="2" customWidth="1"/>
    <col min="6" max="6" width="12.7265625" customWidth="1"/>
    <col min="7" max="7" width="12.453125" customWidth="1"/>
    <col min="8" max="8" width="12.7265625" style="2" customWidth="1"/>
    <col min="9" max="9" width="0.7265625" style="5" customWidth="1"/>
    <col min="10" max="10" width="12.7265625" bestFit="1" customWidth="1"/>
    <col min="11" max="11" width="17.6328125" customWidth="1"/>
  </cols>
  <sheetData>
    <row r="2" spans="2:39" ht="23.5" x14ac:dyDescent="0.55000000000000004">
      <c r="B2" s="26" t="s">
        <v>154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ht="28" customHeight="1" x14ac:dyDescent="0.35">
      <c r="B8" s="19"/>
      <c r="C8" s="97" t="s">
        <v>115</v>
      </c>
      <c r="D8" s="98">
        <v>100000</v>
      </c>
      <c r="E8" s="98">
        <v>100000</v>
      </c>
      <c r="F8" s="98">
        <v>100000</v>
      </c>
      <c r="G8" s="98">
        <v>100000</v>
      </c>
      <c r="H8" s="98">
        <v>50000</v>
      </c>
      <c r="I8" s="99">
        <v>450000</v>
      </c>
      <c r="J8" s="98">
        <f>SUM(D8:H8)</f>
        <v>450000</v>
      </c>
    </row>
    <row r="9" spans="2:39" ht="14.25" customHeight="1" x14ac:dyDescent="0.35">
      <c r="B9" s="19"/>
      <c r="C9" s="97" t="s">
        <v>116</v>
      </c>
      <c r="D9" s="98">
        <v>100000</v>
      </c>
      <c r="E9" s="98">
        <v>100000</v>
      </c>
      <c r="F9" s="98">
        <v>100000</v>
      </c>
      <c r="G9" s="98">
        <v>100000</v>
      </c>
      <c r="H9" s="98">
        <v>50000</v>
      </c>
      <c r="I9" s="100"/>
      <c r="J9" s="98">
        <f>SUM(D9:H9)</f>
        <v>450000</v>
      </c>
    </row>
    <row r="10" spans="2:39" ht="14.25" customHeight="1" x14ac:dyDescent="0.35">
      <c r="B10" s="19"/>
      <c r="C10" s="97" t="s">
        <v>117</v>
      </c>
      <c r="D10" s="98">
        <v>450000</v>
      </c>
      <c r="E10" s="98">
        <v>100000</v>
      </c>
      <c r="F10" s="98">
        <v>50000</v>
      </c>
      <c r="G10" s="98">
        <v>100000</v>
      </c>
      <c r="H10" s="98"/>
      <c r="I10" s="100"/>
      <c r="J10" s="98">
        <f>SUM(D10:H10)</f>
        <v>700000</v>
      </c>
    </row>
    <row r="11" spans="2:39" ht="14.25" customHeight="1" x14ac:dyDescent="0.35">
      <c r="B11" s="19"/>
      <c r="C11" s="97" t="s">
        <v>118</v>
      </c>
      <c r="D11" s="98">
        <v>350000</v>
      </c>
      <c r="E11" s="98">
        <v>750000</v>
      </c>
      <c r="F11" s="98">
        <v>750000</v>
      </c>
      <c r="G11" s="98">
        <v>750000</v>
      </c>
      <c r="H11" s="101"/>
      <c r="I11" s="100"/>
      <c r="J11" s="98">
        <f>SUM(D11:H11)</f>
        <v>2600000</v>
      </c>
    </row>
    <row r="12" spans="2:39" x14ac:dyDescent="0.35">
      <c r="B12" s="19"/>
      <c r="C12" s="116" t="s">
        <v>12</v>
      </c>
      <c r="D12" s="103">
        <f>SUM(D8:D11)</f>
        <v>1000000</v>
      </c>
      <c r="E12" s="103">
        <f t="shared" ref="E12:J12" si="0">SUM(E8:E11)</f>
        <v>1050000</v>
      </c>
      <c r="F12" s="103">
        <f t="shared" si="0"/>
        <v>1000000</v>
      </c>
      <c r="G12" s="103">
        <f t="shared" si="0"/>
        <v>1050000</v>
      </c>
      <c r="H12" s="103">
        <f t="shared" si="0"/>
        <v>100000</v>
      </c>
      <c r="I12" s="100">
        <f t="shared" si="0"/>
        <v>450000</v>
      </c>
      <c r="J12" s="103">
        <f>SUM(J8:J11)</f>
        <v>4200000</v>
      </c>
    </row>
    <row r="13" spans="2:39" x14ac:dyDescent="0.35">
      <c r="B13" s="19"/>
      <c r="C13" s="12" t="s">
        <v>32</v>
      </c>
      <c r="D13" s="11" t="s">
        <v>31</v>
      </c>
      <c r="E13" s="8"/>
      <c r="F13" s="8"/>
      <c r="G13" s="8"/>
      <c r="H13" s="8"/>
      <c r="J13" s="6" t="s">
        <v>31</v>
      </c>
    </row>
    <row r="14" spans="2:39" x14ac:dyDescent="0.35">
      <c r="B14" s="19"/>
      <c r="C14" s="21"/>
      <c r="D14" s="13"/>
      <c r="E14" s="13"/>
      <c r="F14" s="13"/>
      <c r="G14" s="13"/>
      <c r="H14" s="13"/>
      <c r="J14" s="13">
        <f>SUM(D14:H14)</f>
        <v>0</v>
      </c>
    </row>
    <row r="15" spans="2:39" x14ac:dyDescent="0.35">
      <c r="B15" s="19"/>
      <c r="C15" s="21"/>
      <c r="D15" s="13"/>
      <c r="E15" s="13"/>
      <c r="F15" s="13"/>
      <c r="G15" s="13"/>
      <c r="H15" s="13"/>
      <c r="J15" s="13">
        <f t="shared" ref="J15:J16" si="1">SUM(D15:H15)</f>
        <v>0</v>
      </c>
    </row>
    <row r="16" spans="2:39" x14ac:dyDescent="0.35">
      <c r="B16" s="19"/>
      <c r="C16" s="8"/>
      <c r="D16" s="13"/>
      <c r="E16" s="9"/>
      <c r="F16" s="9"/>
      <c r="G16" s="9"/>
      <c r="H16" s="9"/>
      <c r="J16" s="13">
        <f t="shared" si="1"/>
        <v>0</v>
      </c>
    </row>
    <row r="17" spans="2:10" x14ac:dyDescent="0.35">
      <c r="B17" s="19"/>
      <c r="C17" s="7" t="s">
        <v>13</v>
      </c>
      <c r="D17" s="14">
        <f>SUM(D14:D16)</f>
        <v>0</v>
      </c>
      <c r="E17" s="14">
        <f t="shared" ref="E17:J17" si="2">SUM(E14:E16)</f>
        <v>0</v>
      </c>
      <c r="F17" s="14">
        <f t="shared" si="2"/>
        <v>0</v>
      </c>
      <c r="G17" s="14">
        <f t="shared" si="2"/>
        <v>0</v>
      </c>
      <c r="H17" s="14">
        <f t="shared" si="2"/>
        <v>0</v>
      </c>
      <c r="I17" s="5">
        <f t="shared" si="2"/>
        <v>0</v>
      </c>
      <c r="J17" s="14">
        <f t="shared" si="2"/>
        <v>0</v>
      </c>
    </row>
    <row r="18" spans="2:10" x14ac:dyDescent="0.35">
      <c r="B18" s="19"/>
      <c r="C18" s="12" t="s">
        <v>33</v>
      </c>
      <c r="D18" s="11" t="s">
        <v>31</v>
      </c>
      <c r="E18" s="8"/>
      <c r="F18" s="8"/>
      <c r="G18" s="8"/>
      <c r="H18" s="8"/>
      <c r="J18" s="6" t="s">
        <v>31</v>
      </c>
    </row>
    <row r="19" spans="2:10" x14ac:dyDescent="0.35">
      <c r="B19" s="19"/>
      <c r="C19" s="21"/>
      <c r="D19" s="11"/>
      <c r="E19" s="8"/>
      <c r="F19" s="8"/>
      <c r="G19" s="8"/>
      <c r="H19" s="8"/>
      <c r="J19" s="13">
        <f t="shared" ref="J19:J20" si="3">SUM(D19:H19)</f>
        <v>0</v>
      </c>
    </row>
    <row r="20" spans="2:10" x14ac:dyDescent="0.35">
      <c r="B20" s="19"/>
      <c r="C20" s="25"/>
      <c r="D20" s="13" t="s">
        <v>35</v>
      </c>
      <c r="E20" s="9" t="s">
        <v>35</v>
      </c>
      <c r="F20" s="9" t="s">
        <v>35</v>
      </c>
      <c r="G20" s="9"/>
      <c r="H20" s="9"/>
      <c r="J20" s="13">
        <f t="shared" si="3"/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2000</v>
      </c>
      <c r="J21" s="13">
        <f>SUM(D21:H21)</f>
        <v>0</v>
      </c>
    </row>
    <row r="22" spans="2:10" x14ac:dyDescent="0.35">
      <c r="B22" s="19"/>
      <c r="C22" s="25"/>
      <c r="D22" s="13"/>
      <c r="E22" s="13"/>
      <c r="F22" s="13"/>
      <c r="G22" s="13"/>
      <c r="H22" s="13"/>
      <c r="I22" s="28">
        <v>250</v>
      </c>
      <c r="J22" s="13">
        <f t="shared" ref="J22:J27" si="4">SUM(D22:H22)</f>
        <v>0</v>
      </c>
    </row>
    <row r="23" spans="2:10" x14ac:dyDescent="0.35">
      <c r="B23" s="19"/>
      <c r="C23" s="21"/>
      <c r="D23" s="13"/>
      <c r="E23" s="13"/>
      <c r="F23" s="13"/>
      <c r="G23" s="13"/>
      <c r="H23" s="13"/>
      <c r="I23" s="28">
        <v>2250</v>
      </c>
      <c r="J23" s="13">
        <f t="shared" si="4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1243</v>
      </c>
      <c r="J24" s="13">
        <f t="shared" si="4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225</v>
      </c>
      <c r="J25" s="13">
        <f t="shared" si="4"/>
        <v>0</v>
      </c>
    </row>
    <row r="26" spans="2:10" x14ac:dyDescent="0.35">
      <c r="B26" s="19"/>
      <c r="C26" s="25"/>
      <c r="D26" s="13"/>
      <c r="E26" s="13"/>
      <c r="F26" s="13"/>
      <c r="G26" s="13"/>
      <c r="H26" s="13"/>
      <c r="I26" s="28">
        <v>400</v>
      </c>
      <c r="J26" s="13">
        <f t="shared" si="4"/>
        <v>0</v>
      </c>
    </row>
    <row r="27" spans="2:10" x14ac:dyDescent="0.35">
      <c r="B27" s="19"/>
      <c r="C27" s="21"/>
      <c r="D27" s="13"/>
      <c r="E27" s="13"/>
      <c r="F27" s="13"/>
      <c r="G27" s="13"/>
      <c r="H27" s="13"/>
      <c r="I27" s="28">
        <v>1638</v>
      </c>
      <c r="J27" s="13">
        <f t="shared" si="4"/>
        <v>0</v>
      </c>
    </row>
    <row r="28" spans="2:10" x14ac:dyDescent="0.35">
      <c r="B28" s="19"/>
      <c r="C28" s="7" t="s">
        <v>14</v>
      </c>
      <c r="D28" s="14">
        <f>SUM(D21:D27)</f>
        <v>0</v>
      </c>
      <c r="E28" s="14">
        <f t="shared" ref="E28:H28" si="5">SUM(E21:E27)</f>
        <v>0</v>
      </c>
      <c r="F28" s="14">
        <f t="shared" si="5"/>
        <v>0</v>
      </c>
      <c r="G28" s="14">
        <f t="shared" si="5"/>
        <v>0</v>
      </c>
      <c r="H28" s="14">
        <f t="shared" si="5"/>
        <v>0</v>
      </c>
      <c r="J28" s="14">
        <f>SUM(D28:H28)</f>
        <v>0</v>
      </c>
    </row>
    <row r="29" spans="2:10" x14ac:dyDescent="0.35">
      <c r="B29" s="19"/>
      <c r="C29" s="12" t="s">
        <v>34</v>
      </c>
      <c r="D29" s="13"/>
      <c r="E29" s="8"/>
      <c r="F29" s="8"/>
      <c r="G29" s="8"/>
      <c r="H29" s="8"/>
      <c r="J29" s="13" t="s">
        <v>20</v>
      </c>
    </row>
    <row r="30" spans="2:10" x14ac:dyDescent="0.35">
      <c r="B30" s="19"/>
      <c r="C30" s="21"/>
      <c r="D30" s="13"/>
      <c r="E30" s="8"/>
      <c r="F30" s="8"/>
      <c r="G30" s="8"/>
      <c r="H30" s="8"/>
      <c r="J30" s="13">
        <f>SUM(D30:H30)</f>
        <v>0</v>
      </c>
    </row>
    <row r="31" spans="2:10" x14ac:dyDescent="0.35">
      <c r="B31" s="19" t="s">
        <v>35</v>
      </c>
      <c r="C31" s="24" t="s">
        <v>35</v>
      </c>
      <c r="D31" s="11" t="s">
        <v>31</v>
      </c>
      <c r="E31" s="8"/>
      <c r="F31" s="8"/>
      <c r="G31" s="8"/>
      <c r="H31" s="8"/>
      <c r="J31" s="13">
        <f t="shared" ref="J31:J51" si="6">SUM(D31:H31)</f>
        <v>0</v>
      </c>
    </row>
    <row r="32" spans="2:10" x14ac:dyDescent="0.35">
      <c r="B32" s="19"/>
      <c r="C32" s="7" t="s">
        <v>15</v>
      </c>
      <c r="D32" s="10">
        <f>SUM(D30:D31)</f>
        <v>0</v>
      </c>
      <c r="E32" s="10">
        <f t="shared" ref="E32:H32" si="7">SUM(E30:E31)</f>
        <v>0</v>
      </c>
      <c r="F32" s="10">
        <f t="shared" si="7"/>
        <v>0</v>
      </c>
      <c r="G32" s="10">
        <f t="shared" si="7"/>
        <v>0</v>
      </c>
      <c r="H32" s="10">
        <f t="shared" si="7"/>
        <v>0</v>
      </c>
      <c r="J32" s="14">
        <f t="shared" si="6"/>
        <v>0</v>
      </c>
    </row>
    <row r="33" spans="2:10" x14ac:dyDescent="0.35">
      <c r="B33" s="19"/>
      <c r="C33" s="12" t="s">
        <v>36</v>
      </c>
      <c r="D33" s="11" t="s">
        <v>31</v>
      </c>
      <c r="E33" s="8"/>
      <c r="F33" s="8"/>
      <c r="G33" s="8"/>
      <c r="H33" s="8"/>
      <c r="J33" s="13"/>
    </row>
    <row r="34" spans="2:10" x14ac:dyDescent="0.35">
      <c r="B34" s="19"/>
      <c r="C34" s="21"/>
      <c r="D34" s="13"/>
      <c r="E34" s="13"/>
      <c r="F34" s="13"/>
      <c r="G34" s="13"/>
      <c r="H34" s="13"/>
      <c r="I34" s="28">
        <v>5000</v>
      </c>
      <c r="J34" s="13">
        <f t="shared" si="6"/>
        <v>0</v>
      </c>
    </row>
    <row r="35" spans="2:10" x14ac:dyDescent="0.35">
      <c r="B35" s="19"/>
      <c r="C35" s="21"/>
      <c r="D35" s="13"/>
      <c r="E35" s="9"/>
      <c r="F35" s="9"/>
      <c r="G35" s="9"/>
      <c r="H35" s="9"/>
      <c r="J35" s="13">
        <f t="shared" si="6"/>
        <v>0</v>
      </c>
    </row>
    <row r="36" spans="2:10" x14ac:dyDescent="0.35">
      <c r="B36" s="19"/>
      <c r="C36" s="7" t="s">
        <v>16</v>
      </c>
      <c r="D36" s="14">
        <f>SUM(D34:D35)</f>
        <v>0</v>
      </c>
      <c r="E36" s="14">
        <f t="shared" ref="E36:H36" si="8">SUM(E34:E35)</f>
        <v>0</v>
      </c>
      <c r="F36" s="14">
        <f t="shared" si="8"/>
        <v>0</v>
      </c>
      <c r="G36" s="14">
        <f t="shared" si="8"/>
        <v>0</v>
      </c>
      <c r="H36" s="14">
        <f t="shared" si="8"/>
        <v>0</v>
      </c>
      <c r="J36" s="14">
        <f t="shared" si="6"/>
        <v>0</v>
      </c>
    </row>
    <row r="37" spans="2:10" x14ac:dyDescent="0.35">
      <c r="B37" s="19"/>
      <c r="C37" s="12" t="s">
        <v>38</v>
      </c>
      <c r="D37" s="11" t="s">
        <v>31</v>
      </c>
      <c r="E37" s="8"/>
      <c r="F37" s="8"/>
      <c r="G37" s="8"/>
      <c r="H37" s="8"/>
      <c r="J37" s="13"/>
    </row>
    <row r="38" spans="2:10" ht="27.5" customHeight="1" x14ac:dyDescent="0.35">
      <c r="B38" s="19"/>
      <c r="C38" s="97" t="s">
        <v>126</v>
      </c>
      <c r="D38" s="98"/>
      <c r="E38" s="98">
        <v>1000000</v>
      </c>
      <c r="F38" s="98">
        <v>1000000</v>
      </c>
      <c r="G38" s="98">
        <v>750000</v>
      </c>
      <c r="H38" s="98">
        <v>40000</v>
      </c>
      <c r="I38" s="99">
        <v>5106000</v>
      </c>
      <c r="J38" s="98">
        <f>SUM(D38:H38)</f>
        <v>2790000</v>
      </c>
    </row>
    <row r="39" spans="2:10" ht="14.25" customHeight="1" x14ac:dyDescent="0.35">
      <c r="B39" s="19"/>
      <c r="C39" s="97" t="s">
        <v>45</v>
      </c>
      <c r="D39" s="98"/>
      <c r="E39" s="98">
        <v>1000000</v>
      </c>
      <c r="F39" s="98">
        <v>1000000</v>
      </c>
      <c r="G39" s="98">
        <v>750000</v>
      </c>
      <c r="H39" s="98">
        <v>75000</v>
      </c>
      <c r="I39" s="99">
        <v>22500000</v>
      </c>
      <c r="J39" s="98">
        <f>SUM(D39:H39)</f>
        <v>2825000</v>
      </c>
    </row>
    <row r="40" spans="2:10" x14ac:dyDescent="0.35">
      <c r="B40" s="19"/>
      <c r="C40" s="21"/>
      <c r="D40" s="13"/>
      <c r="E40" s="13"/>
      <c r="F40" s="13"/>
      <c r="G40" s="13"/>
      <c r="H40" s="13"/>
      <c r="I40" s="28">
        <v>75000000</v>
      </c>
      <c r="J40" s="13">
        <f t="shared" si="6"/>
        <v>0</v>
      </c>
    </row>
    <row r="41" spans="2:10" x14ac:dyDescent="0.35">
      <c r="B41" s="19"/>
      <c r="C41" s="21"/>
      <c r="D41" s="13"/>
      <c r="E41" s="9"/>
      <c r="F41" s="9"/>
      <c r="G41" s="9"/>
      <c r="H41" s="9"/>
      <c r="J41" s="13">
        <f t="shared" si="6"/>
        <v>0</v>
      </c>
    </row>
    <row r="42" spans="2:10" x14ac:dyDescent="0.35">
      <c r="B42" s="19"/>
      <c r="C42" s="116" t="s">
        <v>46</v>
      </c>
      <c r="D42" s="103">
        <f>SUM(D38:D41)</f>
        <v>0</v>
      </c>
      <c r="E42" s="103">
        <f t="shared" ref="E42:H42" si="9">SUM(E38:E41)</f>
        <v>2000000</v>
      </c>
      <c r="F42" s="103">
        <f t="shared" si="9"/>
        <v>2000000</v>
      </c>
      <c r="G42" s="103">
        <f t="shared" si="9"/>
        <v>1500000</v>
      </c>
      <c r="H42" s="103">
        <f t="shared" si="9"/>
        <v>115000</v>
      </c>
      <c r="I42" s="100"/>
      <c r="J42" s="103">
        <f t="shared" si="6"/>
        <v>5615000</v>
      </c>
    </row>
    <row r="43" spans="2:10" x14ac:dyDescent="0.35">
      <c r="B43" s="19"/>
      <c r="C43" s="12" t="s">
        <v>47</v>
      </c>
      <c r="D43" s="11" t="s">
        <v>31</v>
      </c>
      <c r="E43" s="8"/>
      <c r="F43" s="8"/>
      <c r="G43" s="8"/>
      <c r="H43" s="8"/>
      <c r="J43" s="13"/>
    </row>
    <row r="44" spans="2:10" x14ac:dyDescent="0.35">
      <c r="B44" s="19"/>
      <c r="C44" s="21"/>
      <c r="D44" s="13"/>
      <c r="E44" s="13"/>
      <c r="F44" s="13"/>
      <c r="G44" s="13"/>
      <c r="H44" s="13"/>
      <c r="I44" s="28">
        <v>375000</v>
      </c>
      <c r="J44" s="13">
        <f t="shared" si="6"/>
        <v>0</v>
      </c>
    </row>
    <row r="45" spans="2:10" x14ac:dyDescent="0.35">
      <c r="B45" s="19"/>
      <c r="C45" s="21"/>
      <c r="D45" s="13"/>
      <c r="E45" s="13"/>
      <c r="F45" s="13"/>
      <c r="G45" s="13"/>
      <c r="H45" s="13"/>
      <c r="I45" s="28">
        <v>781250</v>
      </c>
      <c r="J45" s="13">
        <f t="shared" si="6"/>
        <v>0</v>
      </c>
    </row>
    <row r="46" spans="2:10" x14ac:dyDescent="0.35">
      <c r="B46" s="19"/>
      <c r="C46" s="21"/>
      <c r="D46" s="13"/>
      <c r="E46" s="13"/>
      <c r="F46" s="13"/>
      <c r="G46" s="13"/>
      <c r="H46" s="13"/>
      <c r="I46" s="28">
        <v>2083335</v>
      </c>
      <c r="J46" s="13">
        <f t="shared" si="6"/>
        <v>0</v>
      </c>
    </row>
    <row r="47" spans="2:10" x14ac:dyDescent="0.35">
      <c r="B47" s="19"/>
      <c r="C47" s="21"/>
      <c r="D47" s="13"/>
      <c r="E47" s="9"/>
      <c r="F47" s="9"/>
      <c r="G47" s="9"/>
      <c r="H47" s="9"/>
      <c r="J47" s="13">
        <f t="shared" si="6"/>
        <v>0</v>
      </c>
    </row>
    <row r="48" spans="2:10" x14ac:dyDescent="0.35">
      <c r="B48" s="19"/>
      <c r="C48" s="21"/>
      <c r="D48" s="13"/>
      <c r="E48" s="9"/>
      <c r="F48" s="9"/>
      <c r="G48" s="9"/>
      <c r="H48" s="9"/>
      <c r="J48" s="13">
        <f t="shared" si="6"/>
        <v>0</v>
      </c>
    </row>
    <row r="49" spans="2:11" x14ac:dyDescent="0.35">
      <c r="B49" s="19"/>
      <c r="C49" s="8"/>
      <c r="D49" s="13"/>
      <c r="E49" s="9"/>
      <c r="F49" s="9"/>
      <c r="G49" s="9"/>
      <c r="H49" s="9"/>
      <c r="J49" s="13">
        <f t="shared" si="6"/>
        <v>0</v>
      </c>
    </row>
    <row r="50" spans="2:11" x14ac:dyDescent="0.35">
      <c r="B50" s="20"/>
      <c r="C50" s="7" t="s">
        <v>18</v>
      </c>
      <c r="D50" s="14">
        <f>SUM(D44:D49)</f>
        <v>0</v>
      </c>
      <c r="E50" s="14">
        <f t="shared" ref="E50:H50" si="10">SUM(E44:E49)</f>
        <v>0</v>
      </c>
      <c r="F50" s="14">
        <f t="shared" si="10"/>
        <v>0</v>
      </c>
      <c r="G50" s="14">
        <f t="shared" si="10"/>
        <v>0</v>
      </c>
      <c r="H50" s="14">
        <f t="shared" si="10"/>
        <v>0</v>
      </c>
      <c r="J50" s="14">
        <f t="shared" si="6"/>
        <v>0</v>
      </c>
    </row>
    <row r="51" spans="2:11" x14ac:dyDescent="0.35">
      <c r="B51" s="20"/>
      <c r="C51" s="116" t="s">
        <v>19</v>
      </c>
      <c r="D51" s="103">
        <f>SUM(D50,D42,D36,D32,D28,D17,D12)</f>
        <v>1000000</v>
      </c>
      <c r="E51" s="103">
        <f t="shared" ref="E51:H51" si="11">SUM(E50,E42,E36,E32,E28,E17,E12)</f>
        <v>3050000</v>
      </c>
      <c r="F51" s="103">
        <f t="shared" si="11"/>
        <v>3000000</v>
      </c>
      <c r="G51" s="103">
        <f t="shared" si="11"/>
        <v>2550000</v>
      </c>
      <c r="H51" s="103">
        <f t="shared" si="11"/>
        <v>215000</v>
      </c>
      <c r="I51" s="100"/>
      <c r="J51" s="103">
        <f t="shared" si="6"/>
        <v>9815000</v>
      </c>
      <c r="K51" s="27"/>
    </row>
    <row r="52" spans="2:11" x14ac:dyDescent="0.35">
      <c r="B52" s="4"/>
      <c r="D52"/>
      <c r="E52"/>
      <c r="H52"/>
      <c r="I52"/>
      <c r="J52" t="s">
        <v>20</v>
      </c>
    </row>
    <row r="53" spans="2:11" ht="29" x14ac:dyDescent="0.35">
      <c r="B53" s="56" t="s">
        <v>40</v>
      </c>
      <c r="C53" s="15" t="s">
        <v>40</v>
      </c>
      <c r="D53" s="16"/>
      <c r="E53" s="16"/>
      <c r="F53" s="16"/>
      <c r="G53" s="16"/>
      <c r="H53" s="16"/>
      <c r="I53"/>
      <c r="J53" s="16" t="s">
        <v>20</v>
      </c>
    </row>
    <row r="54" spans="2:11" x14ac:dyDescent="0.35">
      <c r="B54" s="19"/>
      <c r="C54" s="21"/>
      <c r="D54" s="11"/>
      <c r="E54" s="8"/>
      <c r="F54" s="8"/>
      <c r="G54" s="8"/>
      <c r="H54" s="8"/>
      <c r="J54" s="13">
        <f>SUM(D54:H54)</f>
        <v>0</v>
      </c>
    </row>
    <row r="55" spans="2:11" x14ac:dyDescent="0.35">
      <c r="B55" s="19"/>
      <c r="C55" s="21"/>
      <c r="D55" s="11"/>
      <c r="E55" s="8"/>
      <c r="F55" s="8"/>
      <c r="G55" s="8"/>
      <c r="H55" s="8"/>
      <c r="J55" s="13">
        <f t="shared" ref="J55:J56" si="12">SUM(D55:H55)</f>
        <v>0</v>
      </c>
    </row>
    <row r="56" spans="2:11" x14ac:dyDescent="0.35">
      <c r="B56" s="20"/>
      <c r="C56" s="7" t="s">
        <v>21</v>
      </c>
      <c r="D56" s="14">
        <f>SUM(D54:D55)</f>
        <v>0</v>
      </c>
      <c r="E56" s="14">
        <f t="shared" ref="E56:H56" si="13">SUM(E54:E55)</f>
        <v>0</v>
      </c>
      <c r="F56" s="14">
        <f t="shared" si="13"/>
        <v>0</v>
      </c>
      <c r="G56" s="14">
        <f t="shared" si="13"/>
        <v>0</v>
      </c>
      <c r="H56" s="14">
        <f t="shared" si="13"/>
        <v>0</v>
      </c>
      <c r="J56" s="14">
        <f t="shared" si="12"/>
        <v>0</v>
      </c>
    </row>
    <row r="57" spans="2:11" ht="15" thickBot="1" x14ac:dyDescent="0.4">
      <c r="B57" s="4"/>
      <c r="D57"/>
      <c r="E57"/>
      <c r="H57"/>
      <c r="I57"/>
      <c r="J57" t="s">
        <v>20</v>
      </c>
    </row>
    <row r="58" spans="2:11" s="1" customFormat="1" ht="29.5" thickBot="1" x14ac:dyDescent="0.4">
      <c r="B58" s="95" t="s">
        <v>22</v>
      </c>
      <c r="C58" s="95"/>
      <c r="D58" s="96">
        <f>SUM(D56,D51)</f>
        <v>1000000</v>
      </c>
      <c r="E58" s="96">
        <f t="shared" ref="E58:J58" si="14">SUM(E56,E51)</f>
        <v>3050000</v>
      </c>
      <c r="F58" s="96">
        <f t="shared" si="14"/>
        <v>3000000</v>
      </c>
      <c r="G58" s="96">
        <f t="shared" si="14"/>
        <v>2550000</v>
      </c>
      <c r="H58" s="96">
        <f t="shared" si="14"/>
        <v>215000</v>
      </c>
      <c r="I58" s="100">
        <f>SUM(I56,I51)</f>
        <v>0</v>
      </c>
      <c r="J58" s="96">
        <f t="shared" si="14"/>
        <v>9815000</v>
      </c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</sheetData>
  <pageMargins left="0.7" right="0.7" top="0.75" bottom="0.75" header="0.3" footer="0.3"/>
  <pageSetup scale="89" fitToHeight="0" orientation="landscape" r:id="rId1"/>
  <ignoredErrors>
    <ignoredError sqref="J21:J27 J34 J40 J44:J46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2F6B-0E17-4DEC-91FE-233D04B5BDA4}">
  <sheetPr>
    <tabColor theme="9" tint="0.39997558519241921"/>
    <pageSetUpPr fitToPage="1"/>
  </sheetPr>
  <dimension ref="B2:AM79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 activeCell="B2" sqref="B2"/>
    </sheetView>
  </sheetViews>
  <sheetFormatPr defaultColWidth="9.26953125" defaultRowHeight="14.5" x14ac:dyDescent="0.35"/>
  <cols>
    <col min="1" max="1" width="3.26953125" customWidth="1"/>
    <col min="2" max="2" width="10.7265625" customWidth="1"/>
    <col min="3" max="3" width="45.54296875" customWidth="1"/>
    <col min="4" max="4" width="12.7265625" style="4" customWidth="1"/>
    <col min="5" max="5" width="12.54296875" style="2" customWidth="1"/>
    <col min="6" max="7" width="12.453125" customWidth="1"/>
    <col min="8" max="8" width="12.54296875" style="2" customWidth="1"/>
    <col min="9" max="9" width="0.7265625" style="5" customWidth="1"/>
    <col min="10" max="10" width="13.54296875" customWidth="1"/>
    <col min="11" max="11" width="17.7265625" customWidth="1"/>
  </cols>
  <sheetData>
    <row r="2" spans="2:39" ht="23.5" x14ac:dyDescent="0.55000000000000004">
      <c r="B2" s="26" t="s">
        <v>157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120" t="s">
        <v>48</v>
      </c>
      <c r="D8" s="98">
        <f>304696/2*1.5+1000000</f>
        <v>1228522</v>
      </c>
      <c r="E8" s="98">
        <f>304696/2*1.5+1000000</f>
        <v>1228522</v>
      </c>
      <c r="F8" s="98"/>
      <c r="G8" s="98"/>
      <c r="H8" s="98"/>
      <c r="I8" s="99">
        <v>450000</v>
      </c>
      <c r="J8" s="98">
        <f>SUM(D8:H8)</f>
        <v>2457044</v>
      </c>
    </row>
    <row r="9" spans="2:39" x14ac:dyDescent="0.35">
      <c r="B9" s="19"/>
      <c r="C9" s="97" t="s">
        <v>49</v>
      </c>
      <c r="D9" s="121"/>
      <c r="E9" s="121"/>
      <c r="F9" s="121">
        <f>2437571/3*1.5</f>
        <v>1218785.5</v>
      </c>
      <c r="G9" s="121">
        <f>2437571/3*1.5</f>
        <v>1218785.5</v>
      </c>
      <c r="H9" s="121">
        <f>2437571/3*1.5</f>
        <v>1218785.5</v>
      </c>
      <c r="I9" s="100"/>
      <c r="J9" s="98">
        <f>SUM(D9:H9)</f>
        <v>3656356.5</v>
      </c>
    </row>
    <row r="10" spans="2:39" ht="29" x14ac:dyDescent="0.35">
      <c r="B10" s="19"/>
      <c r="C10" s="97" t="s">
        <v>138</v>
      </c>
      <c r="D10" s="121"/>
      <c r="E10" s="121"/>
      <c r="F10" s="121">
        <v>1553000</v>
      </c>
      <c r="G10" s="121">
        <v>1553000</v>
      </c>
      <c r="H10" s="121">
        <v>777000</v>
      </c>
      <c r="I10" s="100"/>
      <c r="J10" s="98">
        <f>SUM(D10:H10)</f>
        <v>3883000</v>
      </c>
    </row>
    <row r="11" spans="2:39" x14ac:dyDescent="0.35">
      <c r="B11" s="19"/>
      <c r="C11" s="97"/>
      <c r="D11" s="121"/>
      <c r="E11" s="121"/>
      <c r="F11" s="121"/>
      <c r="G11" s="121"/>
      <c r="H11" s="121"/>
      <c r="I11" s="100"/>
      <c r="J11" s="98"/>
    </row>
    <row r="12" spans="2:39" x14ac:dyDescent="0.35">
      <c r="B12" s="19"/>
      <c r="C12" s="97" t="s">
        <v>139</v>
      </c>
      <c r="D12" s="121">
        <v>675000</v>
      </c>
      <c r="E12" s="121">
        <v>1018000</v>
      </c>
      <c r="F12" s="121"/>
      <c r="G12" s="121"/>
      <c r="H12" s="121"/>
      <c r="I12" s="100"/>
      <c r="J12" s="98">
        <f>SUM(D12:H12)</f>
        <v>1693000</v>
      </c>
    </row>
    <row r="13" spans="2:39" ht="29" x14ac:dyDescent="0.35">
      <c r="B13" s="19"/>
      <c r="C13" s="97" t="s">
        <v>140</v>
      </c>
      <c r="D13" s="98"/>
      <c r="E13" s="98"/>
      <c r="F13" s="98">
        <v>593000</v>
      </c>
      <c r="G13" s="98">
        <v>623000</v>
      </c>
      <c r="H13" s="98">
        <v>612000</v>
      </c>
      <c r="I13" s="99">
        <v>450000</v>
      </c>
      <c r="J13" s="98">
        <f>SUM(D13:H13)</f>
        <v>1828000</v>
      </c>
    </row>
    <row r="14" spans="2:39" x14ac:dyDescent="0.35">
      <c r="B14" s="19"/>
      <c r="C14" s="118"/>
      <c r="D14" s="98"/>
      <c r="E14" s="101"/>
      <c r="F14" s="101"/>
      <c r="G14" s="101"/>
      <c r="H14" s="101"/>
      <c r="I14" s="100"/>
      <c r="J14" s="98">
        <f>SUM(D14:H14)</f>
        <v>0</v>
      </c>
    </row>
    <row r="15" spans="2:39" x14ac:dyDescent="0.35">
      <c r="B15" s="19"/>
      <c r="C15" s="116" t="s">
        <v>12</v>
      </c>
      <c r="D15" s="103">
        <f>SUM(D8:D14)</f>
        <v>1903522</v>
      </c>
      <c r="E15" s="103">
        <f t="shared" ref="E15:J15" si="0">SUM(E8:E14)</f>
        <v>2246522</v>
      </c>
      <c r="F15" s="103">
        <f t="shared" si="0"/>
        <v>3364785.5</v>
      </c>
      <c r="G15" s="103">
        <f t="shared" si="0"/>
        <v>3394785.5</v>
      </c>
      <c r="H15" s="103">
        <f t="shared" si="0"/>
        <v>2607785.5</v>
      </c>
      <c r="I15" s="100">
        <f t="shared" si="0"/>
        <v>900000</v>
      </c>
      <c r="J15" s="103">
        <f t="shared" si="0"/>
        <v>13517400.5</v>
      </c>
    </row>
    <row r="16" spans="2:39" x14ac:dyDescent="0.35">
      <c r="B16" s="19"/>
      <c r="C16" s="12" t="s">
        <v>32</v>
      </c>
      <c r="D16" s="11" t="s">
        <v>31</v>
      </c>
      <c r="E16" s="8"/>
      <c r="F16" s="8"/>
      <c r="G16" s="8"/>
      <c r="H16" s="8"/>
      <c r="J16" s="6" t="s">
        <v>31</v>
      </c>
    </row>
    <row r="17" spans="2:10" x14ac:dyDescent="0.35">
      <c r="B17" s="19"/>
      <c r="C17" s="21"/>
      <c r="D17" s="13"/>
      <c r="E17" s="13"/>
      <c r="F17" s="13"/>
      <c r="G17" s="13"/>
      <c r="H17" s="13"/>
      <c r="J17" s="13">
        <f>SUM(D17:H17)</f>
        <v>0</v>
      </c>
    </row>
    <row r="18" spans="2:10" x14ac:dyDescent="0.35">
      <c r="B18" s="19"/>
      <c r="C18" s="21"/>
      <c r="D18" s="13"/>
      <c r="E18" s="13"/>
      <c r="F18" s="13"/>
      <c r="G18" s="13"/>
      <c r="H18" s="13"/>
      <c r="J18" s="13">
        <f t="shared" ref="J18:J19" si="1">SUM(D18:H18)</f>
        <v>0</v>
      </c>
    </row>
    <row r="19" spans="2:10" x14ac:dyDescent="0.35">
      <c r="B19" s="19"/>
      <c r="C19" s="8"/>
      <c r="D19" s="13"/>
      <c r="E19" s="9"/>
      <c r="F19" s="9"/>
      <c r="G19" s="9"/>
      <c r="H19" s="9"/>
      <c r="J19" s="13">
        <f t="shared" si="1"/>
        <v>0</v>
      </c>
    </row>
    <row r="20" spans="2:10" x14ac:dyDescent="0.35">
      <c r="B20" s="19"/>
      <c r="C20" s="7" t="s">
        <v>13</v>
      </c>
      <c r="D20" s="14">
        <f>SUM(D17:D19)</f>
        <v>0</v>
      </c>
      <c r="E20" s="14">
        <f t="shared" ref="E20:J20" si="2">SUM(E17:E19)</f>
        <v>0</v>
      </c>
      <c r="F20" s="14">
        <f t="shared" si="2"/>
        <v>0</v>
      </c>
      <c r="G20" s="14">
        <f t="shared" si="2"/>
        <v>0</v>
      </c>
      <c r="H20" s="14">
        <f t="shared" si="2"/>
        <v>0</v>
      </c>
      <c r="I20" s="5">
        <f t="shared" si="2"/>
        <v>0</v>
      </c>
      <c r="J20" s="14">
        <f t="shared" si="2"/>
        <v>0</v>
      </c>
    </row>
    <row r="21" spans="2:10" x14ac:dyDescent="0.35">
      <c r="B21" s="19"/>
      <c r="C21" s="12" t="s">
        <v>33</v>
      </c>
      <c r="D21" s="11" t="s">
        <v>31</v>
      </c>
      <c r="E21" s="8"/>
      <c r="F21" s="8"/>
      <c r="G21" s="8"/>
      <c r="H21" s="8"/>
      <c r="J21" s="6" t="s">
        <v>31</v>
      </c>
    </row>
    <row r="22" spans="2:10" x14ac:dyDescent="0.35">
      <c r="B22" s="19"/>
      <c r="C22" s="21"/>
      <c r="D22" s="11"/>
      <c r="E22" s="8"/>
      <c r="F22" s="8"/>
      <c r="G22" s="8"/>
      <c r="H22" s="8"/>
      <c r="J22" s="13">
        <f t="shared" ref="J22:J23" si="3">SUM(D22:H22)</f>
        <v>0</v>
      </c>
    </row>
    <row r="23" spans="2:10" x14ac:dyDescent="0.35">
      <c r="B23" s="19"/>
      <c r="C23" s="25"/>
      <c r="D23" s="13"/>
      <c r="E23" s="9"/>
      <c r="F23" s="9"/>
      <c r="G23" s="9"/>
      <c r="H23" s="9"/>
      <c r="J23" s="13">
        <f t="shared" si="3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2000</v>
      </c>
      <c r="J24" s="13">
        <f>SUM(D24:H24)</f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250</v>
      </c>
      <c r="J25" s="13">
        <f t="shared" ref="J25:J30" si="4">SUM(D25:H25)</f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2250</v>
      </c>
      <c r="J26" s="13">
        <f t="shared" si="4"/>
        <v>0</v>
      </c>
    </row>
    <row r="27" spans="2:10" x14ac:dyDescent="0.35">
      <c r="B27" s="19"/>
      <c r="C27" s="25"/>
      <c r="D27" s="13"/>
      <c r="E27" s="13"/>
      <c r="F27" s="13"/>
      <c r="G27" s="13"/>
      <c r="H27" s="13"/>
      <c r="I27" s="28">
        <v>1243</v>
      </c>
      <c r="J27" s="13">
        <f t="shared" si="4"/>
        <v>0</v>
      </c>
    </row>
    <row r="28" spans="2:10" x14ac:dyDescent="0.35">
      <c r="B28" s="19"/>
      <c r="C28" s="25"/>
      <c r="D28" s="13"/>
      <c r="E28" s="13"/>
      <c r="F28" s="13"/>
      <c r="G28" s="13"/>
      <c r="H28" s="13"/>
      <c r="I28" s="28">
        <v>225</v>
      </c>
      <c r="J28" s="13">
        <f t="shared" si="4"/>
        <v>0</v>
      </c>
    </row>
    <row r="29" spans="2:10" x14ac:dyDescent="0.35">
      <c r="B29" s="19"/>
      <c r="C29" s="25"/>
      <c r="D29" s="13"/>
      <c r="E29" s="13"/>
      <c r="F29" s="13"/>
      <c r="G29" s="13"/>
      <c r="H29" s="13"/>
      <c r="I29" s="28">
        <v>400</v>
      </c>
      <c r="J29" s="13">
        <f t="shared" si="4"/>
        <v>0</v>
      </c>
    </row>
    <row r="30" spans="2:10" x14ac:dyDescent="0.35">
      <c r="B30" s="19"/>
      <c r="C30" s="21"/>
      <c r="D30" s="13"/>
      <c r="E30" s="13"/>
      <c r="F30" s="13"/>
      <c r="G30" s="13"/>
      <c r="H30" s="13"/>
      <c r="I30" s="28">
        <v>1638</v>
      </c>
      <c r="J30" s="13">
        <f t="shared" si="4"/>
        <v>0</v>
      </c>
    </row>
    <row r="31" spans="2:10" x14ac:dyDescent="0.35">
      <c r="B31" s="19"/>
      <c r="C31" s="7" t="s">
        <v>14</v>
      </c>
      <c r="D31" s="14">
        <f>SUM(D24:D30)</f>
        <v>0</v>
      </c>
      <c r="E31" s="14">
        <f t="shared" ref="E31:H31" si="5">SUM(E24:E30)</f>
        <v>0</v>
      </c>
      <c r="F31" s="14">
        <f t="shared" si="5"/>
        <v>0</v>
      </c>
      <c r="G31" s="14">
        <f t="shared" si="5"/>
        <v>0</v>
      </c>
      <c r="H31" s="14">
        <f t="shared" si="5"/>
        <v>0</v>
      </c>
      <c r="J31" s="14">
        <f>SUM(D31:H31)</f>
        <v>0</v>
      </c>
    </row>
    <row r="32" spans="2:10" x14ac:dyDescent="0.35">
      <c r="B32" s="19"/>
      <c r="C32" s="12" t="s">
        <v>34</v>
      </c>
      <c r="D32" s="13"/>
      <c r="E32" s="8"/>
      <c r="F32" s="8"/>
      <c r="G32" s="8"/>
      <c r="H32" s="8"/>
      <c r="J32" s="13" t="s">
        <v>20</v>
      </c>
    </row>
    <row r="33" spans="2:10" x14ac:dyDescent="0.35">
      <c r="B33" s="19"/>
      <c r="C33" s="21"/>
      <c r="D33" s="13"/>
      <c r="E33" s="8"/>
      <c r="F33" s="8"/>
      <c r="G33" s="8"/>
      <c r="H33" s="8"/>
      <c r="J33" s="13">
        <f>SUM(D33:H33)</f>
        <v>0</v>
      </c>
    </row>
    <row r="34" spans="2:10" x14ac:dyDescent="0.35">
      <c r="B34" s="19" t="s">
        <v>35</v>
      </c>
      <c r="C34" s="24" t="s">
        <v>35</v>
      </c>
      <c r="D34" s="11" t="s">
        <v>31</v>
      </c>
      <c r="E34" s="8"/>
      <c r="F34" s="8"/>
      <c r="G34" s="8"/>
      <c r="H34" s="8"/>
      <c r="J34" s="13">
        <f t="shared" ref="J34:J57" si="6">SUM(D34:H34)</f>
        <v>0</v>
      </c>
    </row>
    <row r="35" spans="2:10" x14ac:dyDescent="0.35">
      <c r="B35" s="19"/>
      <c r="C35" s="7" t="s">
        <v>15</v>
      </c>
      <c r="D35" s="10">
        <f>SUM(D33:D34)</f>
        <v>0</v>
      </c>
      <c r="E35" s="10">
        <f t="shared" ref="E35:H35" si="7">SUM(E33:E34)</f>
        <v>0</v>
      </c>
      <c r="F35" s="10">
        <f t="shared" si="7"/>
        <v>0</v>
      </c>
      <c r="G35" s="10">
        <f t="shared" si="7"/>
        <v>0</v>
      </c>
      <c r="H35" s="10">
        <f t="shared" si="7"/>
        <v>0</v>
      </c>
      <c r="J35" s="14">
        <f t="shared" si="6"/>
        <v>0</v>
      </c>
    </row>
    <row r="36" spans="2:10" x14ac:dyDescent="0.35">
      <c r="B36" s="19"/>
      <c r="C36" s="12" t="s">
        <v>36</v>
      </c>
      <c r="D36" s="11" t="s">
        <v>31</v>
      </c>
      <c r="E36" s="8"/>
      <c r="F36" s="8"/>
      <c r="G36" s="8"/>
      <c r="H36" s="8"/>
      <c r="J36" s="13"/>
    </row>
    <row r="37" spans="2:10" x14ac:dyDescent="0.35">
      <c r="B37" s="19"/>
      <c r="C37" s="21"/>
      <c r="D37" s="13"/>
      <c r="E37" s="13"/>
      <c r="F37" s="13"/>
      <c r="G37" s="13"/>
      <c r="H37" s="13"/>
      <c r="I37" s="28">
        <v>5000</v>
      </c>
      <c r="J37" s="13">
        <f t="shared" si="6"/>
        <v>0</v>
      </c>
    </row>
    <row r="38" spans="2:10" x14ac:dyDescent="0.35">
      <c r="B38" s="19"/>
      <c r="C38" s="21"/>
      <c r="D38" s="13"/>
      <c r="E38" s="9"/>
      <c r="F38" s="9"/>
      <c r="G38" s="9"/>
      <c r="H38" s="9"/>
      <c r="J38" s="13">
        <f t="shared" si="6"/>
        <v>0</v>
      </c>
    </row>
    <row r="39" spans="2:10" x14ac:dyDescent="0.35">
      <c r="B39" s="19"/>
      <c r="C39" s="7" t="s">
        <v>16</v>
      </c>
      <c r="D39" s="14">
        <f>SUM(D37:D38)</f>
        <v>0</v>
      </c>
      <c r="E39" s="14">
        <f t="shared" ref="E39:H39" si="8">SUM(E37:E38)</f>
        <v>0</v>
      </c>
      <c r="F39" s="14">
        <f t="shared" si="8"/>
        <v>0</v>
      </c>
      <c r="G39" s="14">
        <f t="shared" si="8"/>
        <v>0</v>
      </c>
      <c r="H39" s="14">
        <f t="shared" si="8"/>
        <v>0</v>
      </c>
      <c r="J39" s="14">
        <f t="shared" si="6"/>
        <v>0</v>
      </c>
    </row>
    <row r="40" spans="2:10" x14ac:dyDescent="0.35">
      <c r="B40" s="19"/>
      <c r="C40" s="12" t="s">
        <v>38</v>
      </c>
      <c r="D40" s="11" t="s">
        <v>31</v>
      </c>
      <c r="E40" s="8"/>
      <c r="F40" s="8"/>
      <c r="G40" s="8"/>
      <c r="H40" s="8"/>
      <c r="J40" s="13"/>
    </row>
    <row r="41" spans="2:10" ht="16.5" customHeight="1" x14ac:dyDescent="0.35">
      <c r="B41" s="19"/>
      <c r="C41" s="97" t="s">
        <v>50</v>
      </c>
      <c r="D41" s="98">
        <f>914089/2*1.5+1131000</f>
        <v>1816566.75</v>
      </c>
      <c r="E41" s="98">
        <f>914089/2*1.5+1131000</f>
        <v>1816566.75</v>
      </c>
      <c r="F41" s="98"/>
      <c r="G41" s="98"/>
      <c r="H41" s="98"/>
      <c r="I41" s="99"/>
      <c r="J41" s="98">
        <f t="shared" ref="J41:J47" si="9">SUM(D41:H41)</f>
        <v>3633133.5</v>
      </c>
    </row>
    <row r="42" spans="2:10" x14ac:dyDescent="0.35">
      <c r="B42" s="19"/>
      <c r="C42" s="97" t="s">
        <v>51</v>
      </c>
      <c r="D42" s="98"/>
      <c r="E42" s="98"/>
      <c r="F42" s="98">
        <f>6093927/3*1.5+6031000</f>
        <v>9077963.5</v>
      </c>
      <c r="G42" s="98">
        <f>6093927/3*1.5+6031000</f>
        <v>9077963.5</v>
      </c>
      <c r="H42" s="98">
        <f>6093927/3*1.5+3015000</f>
        <v>6061963.5</v>
      </c>
      <c r="I42" s="99">
        <v>22500000</v>
      </c>
      <c r="J42" s="98">
        <f t="shared" si="9"/>
        <v>24217890.5</v>
      </c>
    </row>
    <row r="43" spans="2:10" x14ac:dyDescent="0.35">
      <c r="B43" s="19"/>
      <c r="C43" s="97" t="s">
        <v>52</v>
      </c>
      <c r="D43" s="98"/>
      <c r="E43" s="98"/>
      <c r="F43" s="98">
        <f>600000/3*1.5+603000</f>
        <v>903000</v>
      </c>
      <c r="G43" s="98">
        <f>600000/3*1.5+603000</f>
        <v>903000</v>
      </c>
      <c r="H43" s="98">
        <f>600000/3*1.5+302000</f>
        <v>602000</v>
      </c>
      <c r="I43" s="99">
        <v>75000000</v>
      </c>
      <c r="J43" s="98">
        <f t="shared" si="9"/>
        <v>2408000</v>
      </c>
    </row>
    <row r="44" spans="2:10" x14ac:dyDescent="0.35">
      <c r="B44" s="19"/>
      <c r="C44" s="97"/>
      <c r="D44" s="98"/>
      <c r="E44" s="98"/>
      <c r="F44" s="98"/>
      <c r="G44" s="98"/>
      <c r="H44" s="98"/>
      <c r="I44" s="99"/>
      <c r="J44" s="98">
        <f t="shared" si="9"/>
        <v>0</v>
      </c>
    </row>
    <row r="45" spans="2:10" x14ac:dyDescent="0.35">
      <c r="B45" s="19"/>
      <c r="C45" s="97" t="s">
        <v>141</v>
      </c>
      <c r="D45" s="98">
        <v>1291000</v>
      </c>
      <c r="E45" s="98">
        <v>1355000</v>
      </c>
      <c r="F45" s="98"/>
      <c r="G45" s="98"/>
      <c r="H45" s="98"/>
      <c r="I45" s="99"/>
      <c r="J45" s="98">
        <f t="shared" si="9"/>
        <v>2646000</v>
      </c>
    </row>
    <row r="46" spans="2:10" x14ac:dyDescent="0.35">
      <c r="B46" s="19"/>
      <c r="C46" s="97" t="s">
        <v>142</v>
      </c>
      <c r="D46" s="98"/>
      <c r="E46" s="98"/>
      <c r="F46" s="98">
        <v>2194000</v>
      </c>
      <c r="G46" s="98">
        <v>2304000</v>
      </c>
      <c r="H46" s="98">
        <v>1210000</v>
      </c>
      <c r="I46" s="99"/>
      <c r="J46" s="98">
        <f t="shared" si="9"/>
        <v>5708000</v>
      </c>
    </row>
    <row r="47" spans="2:10" ht="29" x14ac:dyDescent="0.35">
      <c r="B47" s="19"/>
      <c r="C47" s="97" t="s">
        <v>143</v>
      </c>
      <c r="D47" s="98"/>
      <c r="E47" s="98"/>
      <c r="F47" s="98">
        <v>1176000</v>
      </c>
      <c r="G47" s="98">
        <v>1236000</v>
      </c>
      <c r="H47" s="98">
        <v>648000</v>
      </c>
      <c r="I47" s="100"/>
      <c r="J47" s="98">
        <f t="shared" si="9"/>
        <v>3060000</v>
      </c>
    </row>
    <row r="48" spans="2:10" x14ac:dyDescent="0.35">
      <c r="B48" s="19"/>
      <c r="C48" s="116" t="s">
        <v>17</v>
      </c>
      <c r="D48" s="103">
        <f>SUM(D41:D47)</f>
        <v>3107566.75</v>
      </c>
      <c r="E48" s="103">
        <f t="shared" ref="E48:H48" si="10">SUM(E41:E47)</f>
        <v>3171566.75</v>
      </c>
      <c r="F48" s="103">
        <f t="shared" si="10"/>
        <v>13350963.5</v>
      </c>
      <c r="G48" s="103">
        <f t="shared" si="10"/>
        <v>13520963.5</v>
      </c>
      <c r="H48" s="103">
        <f t="shared" si="10"/>
        <v>8521963.5</v>
      </c>
      <c r="I48" s="100"/>
      <c r="J48" s="103">
        <f t="shared" si="6"/>
        <v>41673024</v>
      </c>
    </row>
    <row r="49" spans="2:11" x14ac:dyDescent="0.35">
      <c r="B49" s="19"/>
      <c r="C49" s="12" t="s">
        <v>39</v>
      </c>
      <c r="D49" s="11" t="s">
        <v>31</v>
      </c>
      <c r="E49" s="8"/>
      <c r="F49" s="8"/>
      <c r="G49" s="8"/>
      <c r="H49" s="8"/>
      <c r="J49" s="13"/>
    </row>
    <row r="50" spans="2:11" x14ac:dyDescent="0.35">
      <c r="B50" s="19"/>
      <c r="C50" s="21"/>
      <c r="D50" s="13"/>
      <c r="E50" s="13"/>
      <c r="F50" s="13"/>
      <c r="G50" s="13"/>
      <c r="H50" s="13"/>
      <c r="I50" s="28">
        <v>375000</v>
      </c>
      <c r="J50" s="13">
        <f t="shared" si="6"/>
        <v>0</v>
      </c>
    </row>
    <row r="51" spans="2:11" x14ac:dyDescent="0.35">
      <c r="B51" s="19"/>
      <c r="C51" s="21"/>
      <c r="D51" s="13"/>
      <c r="E51" s="13"/>
      <c r="F51" s="13"/>
      <c r="G51" s="13"/>
      <c r="H51" s="13"/>
      <c r="I51" s="28">
        <v>781250</v>
      </c>
      <c r="J51" s="13">
        <f t="shared" si="6"/>
        <v>0</v>
      </c>
    </row>
    <row r="52" spans="2:11" x14ac:dyDescent="0.35">
      <c r="B52" s="19"/>
      <c r="C52" s="21"/>
      <c r="D52" s="13"/>
      <c r="E52" s="13"/>
      <c r="F52" s="13"/>
      <c r="G52" s="13"/>
      <c r="H52" s="13"/>
      <c r="I52" s="28">
        <v>2083335</v>
      </c>
      <c r="J52" s="13">
        <f t="shared" si="6"/>
        <v>0</v>
      </c>
    </row>
    <row r="53" spans="2:11" x14ac:dyDescent="0.35">
      <c r="B53" s="19"/>
      <c r="C53" s="21"/>
      <c r="D53" s="13"/>
      <c r="E53" s="9"/>
      <c r="F53" s="9"/>
      <c r="G53" s="9"/>
      <c r="H53" s="9"/>
      <c r="J53" s="13">
        <f t="shared" si="6"/>
        <v>0</v>
      </c>
    </row>
    <row r="54" spans="2:11" x14ac:dyDescent="0.35">
      <c r="B54" s="19"/>
      <c r="C54" s="21"/>
      <c r="D54" s="13"/>
      <c r="E54" s="9"/>
      <c r="F54" s="9"/>
      <c r="G54" s="9"/>
      <c r="H54" s="9"/>
      <c r="J54" s="13">
        <f t="shared" si="6"/>
        <v>0</v>
      </c>
    </row>
    <row r="55" spans="2:11" x14ac:dyDescent="0.35">
      <c r="B55" s="19"/>
      <c r="C55" s="8"/>
      <c r="D55" s="13"/>
      <c r="E55" s="9"/>
      <c r="F55" s="9"/>
      <c r="G55" s="9"/>
      <c r="H55" s="9"/>
      <c r="J55" s="13">
        <f t="shared" si="6"/>
        <v>0</v>
      </c>
    </row>
    <row r="56" spans="2:11" x14ac:dyDescent="0.35">
      <c r="B56" s="20"/>
      <c r="C56" s="7" t="s">
        <v>18</v>
      </c>
      <c r="D56" s="14">
        <f>SUM(D50:D55)</f>
        <v>0</v>
      </c>
      <c r="E56" s="14">
        <f t="shared" ref="E56:H56" si="11">SUM(E50:E55)</f>
        <v>0</v>
      </c>
      <c r="F56" s="14">
        <f t="shared" si="11"/>
        <v>0</v>
      </c>
      <c r="G56" s="14">
        <f t="shared" si="11"/>
        <v>0</v>
      </c>
      <c r="H56" s="14">
        <f t="shared" si="11"/>
        <v>0</v>
      </c>
      <c r="J56" s="14">
        <f t="shared" si="6"/>
        <v>0</v>
      </c>
    </row>
    <row r="57" spans="2:11" x14ac:dyDescent="0.35">
      <c r="B57" s="20"/>
      <c r="C57" s="7" t="s">
        <v>19</v>
      </c>
      <c r="D57" s="103">
        <f>SUM(D56,D48,D39,D35,D31,D20,D15)</f>
        <v>5011088.75</v>
      </c>
      <c r="E57" s="103">
        <f t="shared" ref="E57:H57" si="12">SUM(E56,E48,E39,E35,E31,E20,E15)</f>
        <v>5418088.75</v>
      </c>
      <c r="F57" s="103">
        <f t="shared" si="12"/>
        <v>16715749</v>
      </c>
      <c r="G57" s="103">
        <f t="shared" si="12"/>
        <v>16915749</v>
      </c>
      <c r="H57" s="103">
        <f t="shared" si="12"/>
        <v>11129749</v>
      </c>
      <c r="I57" s="100"/>
      <c r="J57" s="103">
        <f>SUM(D57:H57)</f>
        <v>55190424.5</v>
      </c>
      <c r="K57" s="27"/>
    </row>
    <row r="58" spans="2:11" x14ac:dyDescent="0.35">
      <c r="B58" s="4"/>
      <c r="D58"/>
      <c r="E58"/>
      <c r="H58"/>
      <c r="I58"/>
      <c r="J58" t="s">
        <v>20</v>
      </c>
    </row>
    <row r="59" spans="2:11" ht="29" x14ac:dyDescent="0.35">
      <c r="B59" s="56" t="s">
        <v>40</v>
      </c>
      <c r="C59" s="15" t="s">
        <v>40</v>
      </c>
      <c r="D59" s="16"/>
      <c r="E59" s="16"/>
      <c r="F59" s="16"/>
      <c r="G59" s="16"/>
      <c r="H59" s="16"/>
      <c r="I59"/>
      <c r="J59" s="16" t="s">
        <v>20</v>
      </c>
    </row>
    <row r="60" spans="2:11" x14ac:dyDescent="0.35">
      <c r="B60" s="19"/>
      <c r="C60" s="21"/>
      <c r="D60" s="11"/>
      <c r="E60" s="8"/>
      <c r="F60" s="8"/>
      <c r="G60" s="8"/>
      <c r="H60" s="8"/>
      <c r="J60" s="13">
        <f>SUM(D60:H60)</f>
        <v>0</v>
      </c>
    </row>
    <row r="61" spans="2:11" x14ac:dyDescent="0.35">
      <c r="B61" s="19"/>
      <c r="C61" s="21"/>
      <c r="D61" s="11"/>
      <c r="E61" s="8"/>
      <c r="F61" s="8"/>
      <c r="G61" s="8"/>
      <c r="H61" s="8"/>
      <c r="J61" s="13">
        <f t="shared" ref="J61:J62" si="13">SUM(D61:H61)</f>
        <v>0</v>
      </c>
    </row>
    <row r="62" spans="2:11" x14ac:dyDescent="0.35">
      <c r="B62" s="20"/>
      <c r="C62" s="7" t="s">
        <v>21</v>
      </c>
      <c r="D62" s="14">
        <f>SUM(D60:D61)</f>
        <v>0</v>
      </c>
      <c r="E62" s="14">
        <f t="shared" ref="E62:H62" si="14">SUM(E60:E61)</f>
        <v>0</v>
      </c>
      <c r="F62" s="14">
        <f t="shared" si="14"/>
        <v>0</v>
      </c>
      <c r="G62" s="14">
        <f t="shared" si="14"/>
        <v>0</v>
      </c>
      <c r="H62" s="14">
        <f t="shared" si="14"/>
        <v>0</v>
      </c>
      <c r="J62" s="14">
        <f t="shared" si="13"/>
        <v>0</v>
      </c>
    </row>
    <row r="63" spans="2:11" ht="15" thickBot="1" x14ac:dyDescent="0.4">
      <c r="B63" s="4"/>
      <c r="D63"/>
      <c r="E63"/>
      <c r="H63"/>
      <c r="I63"/>
      <c r="J63" t="s">
        <v>20</v>
      </c>
    </row>
    <row r="64" spans="2:11" s="1" customFormat="1" ht="29.5" thickBot="1" x14ac:dyDescent="0.4">
      <c r="B64" s="17" t="s">
        <v>22</v>
      </c>
      <c r="C64" s="95"/>
      <c r="D64" s="96">
        <f>SUM(D62,D57)</f>
        <v>5011088.75</v>
      </c>
      <c r="E64" s="96">
        <f t="shared" ref="E64:J64" si="15">SUM(E62,E57)</f>
        <v>5418088.75</v>
      </c>
      <c r="F64" s="96">
        <f t="shared" si="15"/>
        <v>16715749</v>
      </c>
      <c r="G64" s="96">
        <f t="shared" si="15"/>
        <v>16915749</v>
      </c>
      <c r="H64" s="96">
        <f t="shared" si="15"/>
        <v>11129749</v>
      </c>
      <c r="I64" s="100">
        <f>SUM(I62,I57)</f>
        <v>0</v>
      </c>
      <c r="J64" s="96">
        <f t="shared" si="15"/>
        <v>55190424.5</v>
      </c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  <row r="74" spans="2:2" x14ac:dyDescent="0.35">
      <c r="B74" s="4"/>
    </row>
    <row r="75" spans="2:2" x14ac:dyDescent="0.35">
      <c r="B75" s="4"/>
    </row>
    <row r="76" spans="2:2" x14ac:dyDescent="0.35">
      <c r="B76" s="4"/>
    </row>
    <row r="77" spans="2:2" x14ac:dyDescent="0.35">
      <c r="B77" s="4"/>
    </row>
    <row r="78" spans="2:2" x14ac:dyDescent="0.35">
      <c r="B78" s="4"/>
    </row>
    <row r="79" spans="2:2" x14ac:dyDescent="0.35">
      <c r="B79" s="4"/>
    </row>
  </sheetData>
  <pageMargins left="0.7" right="0.7" top="0.75" bottom="0.75" header="0.3" footer="0.3"/>
  <pageSetup scale="89" fitToHeight="0" orientation="landscape" r:id="rId1"/>
  <ignoredErrors>
    <ignoredError sqref="J50:J52 J37 J24:J3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F9BCA6-00E8-466E-B7CB-7CE5A657A5FA}">
  <sheetPr>
    <tabColor theme="9" tint="0.39997558519241921"/>
    <pageSetUpPr fitToPage="1"/>
  </sheetPr>
  <dimension ref="B2:AM72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1796875" defaultRowHeight="14.5" x14ac:dyDescent="0.35"/>
  <cols>
    <col min="1" max="1" width="3.26953125" customWidth="1"/>
    <col min="2" max="2" width="11.26953125" customWidth="1"/>
    <col min="3" max="3" width="33.453125" customWidth="1"/>
    <col min="4" max="4" width="13.26953125" style="4" customWidth="1"/>
    <col min="5" max="5" width="13.26953125" style="2" customWidth="1"/>
    <col min="6" max="7" width="13.26953125" customWidth="1"/>
    <col min="8" max="8" width="12.7265625" style="2" customWidth="1"/>
    <col min="9" max="9" width="0.7265625" style="5" customWidth="1"/>
    <col min="10" max="10" width="14.54296875" customWidth="1"/>
    <col min="11" max="11" width="17.08984375" customWidth="1"/>
    <col min="12" max="16" width="9.26953125"/>
    <col min="17" max="17" width="23.54296875" customWidth="1"/>
  </cols>
  <sheetData>
    <row r="2" spans="2:39" ht="23.5" x14ac:dyDescent="0.55000000000000004">
      <c r="B2" s="26" t="s">
        <v>153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119" t="s">
        <v>30</v>
      </c>
      <c r="D7" s="105" t="s">
        <v>31</v>
      </c>
      <c r="E7" s="105" t="s">
        <v>31</v>
      </c>
      <c r="F7" s="105" t="s">
        <v>31</v>
      </c>
      <c r="G7" s="105"/>
      <c r="H7" s="105" t="s">
        <v>31</v>
      </c>
      <c r="I7" s="100"/>
      <c r="J7" s="10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97" t="s">
        <v>53</v>
      </c>
      <c r="D8" s="98">
        <v>25000</v>
      </c>
      <c r="E8" s="98">
        <v>20000</v>
      </c>
      <c r="F8" s="98"/>
      <c r="G8" s="98"/>
      <c r="H8" s="98"/>
      <c r="I8" s="99">
        <v>450000</v>
      </c>
      <c r="J8" s="98">
        <f>SUM(D8:H8)</f>
        <v>45000</v>
      </c>
    </row>
    <row r="9" spans="2:39" x14ac:dyDescent="0.35">
      <c r="B9" s="19"/>
      <c r="C9" s="97" t="s">
        <v>54</v>
      </c>
      <c r="D9" s="98">
        <v>85000</v>
      </c>
      <c r="E9" s="98">
        <v>35000</v>
      </c>
      <c r="F9" s="98"/>
      <c r="G9" s="98"/>
      <c r="H9" s="98"/>
      <c r="I9" s="100"/>
      <c r="J9" s="98">
        <f>SUM(D9:H9)</f>
        <v>120000</v>
      </c>
    </row>
    <row r="10" spans="2:39" x14ac:dyDescent="0.35">
      <c r="B10" s="19"/>
      <c r="C10" s="97" t="s">
        <v>55</v>
      </c>
      <c r="D10" s="98">
        <v>150000</v>
      </c>
      <c r="E10" s="98">
        <v>85000</v>
      </c>
      <c r="F10" s="101"/>
      <c r="G10" s="101"/>
      <c r="H10" s="101"/>
      <c r="I10" s="100"/>
      <c r="J10" s="98">
        <f>SUM(D10:H10)</f>
        <v>235000</v>
      </c>
    </row>
    <row r="11" spans="2:39" x14ac:dyDescent="0.35">
      <c r="B11" s="19"/>
      <c r="C11" s="116" t="s">
        <v>12</v>
      </c>
      <c r="D11" s="103">
        <f>SUM(D8:D10)</f>
        <v>260000</v>
      </c>
      <c r="E11" s="103">
        <f t="shared" ref="E11:J11" si="0">SUM(E8:E10)</f>
        <v>140000</v>
      </c>
      <c r="F11" s="103">
        <f t="shared" si="0"/>
        <v>0</v>
      </c>
      <c r="G11" s="103">
        <f t="shared" si="0"/>
        <v>0</v>
      </c>
      <c r="H11" s="103">
        <f t="shared" si="0"/>
        <v>0</v>
      </c>
      <c r="I11" s="100">
        <f t="shared" si="0"/>
        <v>450000</v>
      </c>
      <c r="J11" s="103">
        <f t="shared" si="0"/>
        <v>400000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3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3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3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I16" s="5">
        <f t="shared" si="2"/>
        <v>0</v>
      </c>
      <c r="J16" s="14">
        <f t="shared" si="2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1"/>
      <c r="E18" s="8"/>
      <c r="F18" s="8"/>
      <c r="G18" s="8"/>
      <c r="H18" s="8"/>
      <c r="J18" s="13">
        <f t="shared" ref="J18:J19" si="3">SUM(D18:H18)</f>
        <v>0</v>
      </c>
    </row>
    <row r="19" spans="2:10" x14ac:dyDescent="0.35">
      <c r="B19" s="19"/>
      <c r="C19" s="25"/>
      <c r="D19" s="13"/>
      <c r="E19" s="9"/>
      <c r="F19" s="9"/>
      <c r="G19" s="9"/>
      <c r="H19" s="9"/>
      <c r="J19" s="13">
        <f t="shared" si="3"/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>
        <v>2000</v>
      </c>
      <c r="J20" s="13">
        <f>SUM(D20:H20)</f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250</v>
      </c>
      <c r="J21" s="13">
        <f t="shared" ref="J21:J26" si="4">SUM(D21:H21)</f>
        <v>0</v>
      </c>
    </row>
    <row r="22" spans="2:10" x14ac:dyDescent="0.35">
      <c r="B22" s="19"/>
      <c r="C22" s="21"/>
      <c r="D22" s="13"/>
      <c r="E22" s="13"/>
      <c r="F22" s="13"/>
      <c r="G22" s="13"/>
      <c r="H22" s="13"/>
      <c r="I22" s="28">
        <v>2250</v>
      </c>
      <c r="J22" s="13">
        <f t="shared" si="4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>
        <v>1243</v>
      </c>
      <c r="J23" s="13">
        <f t="shared" si="4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225</v>
      </c>
      <c r="J24" s="13">
        <f t="shared" si="4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400</v>
      </c>
      <c r="J25" s="13">
        <f t="shared" si="4"/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1638</v>
      </c>
      <c r="J26" s="13">
        <f t="shared" si="4"/>
        <v>0</v>
      </c>
    </row>
    <row r="27" spans="2:10" x14ac:dyDescent="0.35">
      <c r="B27" s="19"/>
      <c r="C27" s="7" t="s">
        <v>14</v>
      </c>
      <c r="D27" s="14">
        <f>SUM(D20:D26)</f>
        <v>0</v>
      </c>
      <c r="E27" s="14">
        <f t="shared" ref="E27:H27" si="5">SUM(E20:E26)</f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J27" s="14">
        <f>SUM(D27:H27)</f>
        <v>0</v>
      </c>
    </row>
    <row r="28" spans="2:10" x14ac:dyDescent="0.35">
      <c r="B28" s="19"/>
      <c r="C28" s="89" t="s">
        <v>34</v>
      </c>
      <c r="D28" s="98"/>
      <c r="E28" s="105"/>
      <c r="F28" s="105"/>
      <c r="G28" s="105"/>
      <c r="H28" s="105"/>
      <c r="I28" s="100"/>
      <c r="J28" s="98" t="s">
        <v>20</v>
      </c>
    </row>
    <row r="29" spans="2:10" x14ac:dyDescent="0.35">
      <c r="B29" s="19"/>
      <c r="C29" s="97" t="s">
        <v>132</v>
      </c>
      <c r="D29" s="98">
        <v>300000</v>
      </c>
      <c r="E29" s="130">
        <v>100000</v>
      </c>
      <c r="F29" s="105"/>
      <c r="G29" s="105"/>
      <c r="H29" s="105"/>
      <c r="I29" s="100"/>
      <c r="J29" s="98">
        <f>SUM(D29:H29)</f>
        <v>400000</v>
      </c>
    </row>
    <row r="30" spans="2:10" x14ac:dyDescent="0.35">
      <c r="B30" s="19" t="s">
        <v>35</v>
      </c>
      <c r="C30" s="104" t="s">
        <v>35</v>
      </c>
      <c r="D30" s="104" t="s">
        <v>31</v>
      </c>
      <c r="E30" s="105"/>
      <c r="F30" s="105"/>
      <c r="G30" s="105"/>
      <c r="H30" s="105"/>
      <c r="I30" s="100"/>
      <c r="J30" s="98">
        <f t="shared" ref="J30:J50" si="6">SUM(D30:H30)</f>
        <v>0</v>
      </c>
    </row>
    <row r="31" spans="2:10" x14ac:dyDescent="0.35">
      <c r="B31" s="19"/>
      <c r="C31" s="116" t="s">
        <v>15</v>
      </c>
      <c r="D31" s="107">
        <f>SUM(D29:D30)</f>
        <v>300000</v>
      </c>
      <c r="E31" s="107">
        <f t="shared" ref="E31:H31" si="7">SUM(E29:E30)</f>
        <v>100000</v>
      </c>
      <c r="F31" s="107">
        <f t="shared" si="7"/>
        <v>0</v>
      </c>
      <c r="G31" s="107">
        <f t="shared" si="7"/>
        <v>0</v>
      </c>
      <c r="H31" s="107">
        <f t="shared" si="7"/>
        <v>0</v>
      </c>
      <c r="I31" s="100"/>
      <c r="J31" s="103">
        <f t="shared" si="6"/>
        <v>400000</v>
      </c>
    </row>
    <row r="32" spans="2:10" x14ac:dyDescent="0.35">
      <c r="B32" s="19"/>
      <c r="C32" s="12" t="s">
        <v>36</v>
      </c>
      <c r="D32" s="11" t="s">
        <v>31</v>
      </c>
      <c r="E32" s="8"/>
      <c r="F32" s="8"/>
      <c r="G32" s="8"/>
      <c r="H32" s="8"/>
      <c r="J32" s="13"/>
    </row>
    <row r="33" spans="2:10" x14ac:dyDescent="0.35">
      <c r="B33" s="19"/>
      <c r="C33" s="21"/>
      <c r="D33" s="13"/>
      <c r="E33" s="13"/>
      <c r="F33" s="13"/>
      <c r="G33" s="13"/>
      <c r="H33" s="13"/>
      <c r="I33" s="28">
        <v>5000</v>
      </c>
      <c r="J33" s="13">
        <f t="shared" si="6"/>
        <v>0</v>
      </c>
    </row>
    <row r="34" spans="2:10" x14ac:dyDescent="0.35">
      <c r="B34" s="19"/>
      <c r="C34" s="21"/>
      <c r="D34" s="13"/>
      <c r="E34" s="9"/>
      <c r="F34" s="9"/>
      <c r="G34" s="9"/>
      <c r="H34" s="9"/>
      <c r="J34" s="13">
        <f t="shared" si="6"/>
        <v>0</v>
      </c>
    </row>
    <row r="35" spans="2:10" x14ac:dyDescent="0.35">
      <c r="B35" s="19"/>
      <c r="C35" s="7" t="s">
        <v>16</v>
      </c>
      <c r="D35" s="14">
        <f>SUM(D33:D34)</f>
        <v>0</v>
      </c>
      <c r="E35" s="14">
        <f t="shared" ref="E35:H35" si="8">SUM(E33:E34)</f>
        <v>0</v>
      </c>
      <c r="F35" s="14">
        <f t="shared" si="8"/>
        <v>0</v>
      </c>
      <c r="G35" s="14">
        <f t="shared" si="8"/>
        <v>0</v>
      </c>
      <c r="H35" s="14">
        <f t="shared" si="8"/>
        <v>0</v>
      </c>
      <c r="J35" s="14">
        <f t="shared" si="6"/>
        <v>0</v>
      </c>
    </row>
    <row r="36" spans="2:10" x14ac:dyDescent="0.35">
      <c r="B36" s="19"/>
      <c r="C36" s="12" t="s">
        <v>38</v>
      </c>
      <c r="D36" s="11" t="s">
        <v>31</v>
      </c>
      <c r="E36" s="8"/>
      <c r="F36" s="8"/>
      <c r="G36" s="8"/>
      <c r="H36" s="8"/>
      <c r="J36" s="13"/>
    </row>
    <row r="37" spans="2:10" x14ac:dyDescent="0.35">
      <c r="B37" s="19"/>
      <c r="C37" s="97" t="s">
        <v>56</v>
      </c>
      <c r="D37" s="98">
        <v>420000</v>
      </c>
      <c r="E37" s="98">
        <v>140000</v>
      </c>
      <c r="F37" s="98"/>
      <c r="G37" s="98"/>
      <c r="H37" s="98"/>
      <c r="I37" s="99">
        <v>5106000</v>
      </c>
      <c r="J37" s="98">
        <f t="shared" si="6"/>
        <v>560000</v>
      </c>
    </row>
    <row r="38" spans="2:10" x14ac:dyDescent="0.35">
      <c r="B38" s="19"/>
      <c r="C38" s="97"/>
      <c r="D38" s="98"/>
      <c r="E38" s="98"/>
      <c r="F38" s="98"/>
      <c r="G38" s="98"/>
      <c r="H38" s="98"/>
      <c r="I38" s="99">
        <v>22500000</v>
      </c>
      <c r="J38" s="98">
        <f t="shared" si="6"/>
        <v>0</v>
      </c>
    </row>
    <row r="39" spans="2:10" x14ac:dyDescent="0.35">
      <c r="B39" s="19"/>
      <c r="C39" s="97"/>
      <c r="D39" s="98"/>
      <c r="E39" s="98"/>
      <c r="F39" s="98"/>
      <c r="G39" s="98"/>
      <c r="H39" s="98"/>
      <c r="I39" s="99">
        <v>75000000</v>
      </c>
      <c r="J39" s="98">
        <f t="shared" si="6"/>
        <v>0</v>
      </c>
    </row>
    <row r="40" spans="2:10" x14ac:dyDescent="0.35">
      <c r="B40" s="19"/>
      <c r="C40" s="97"/>
      <c r="D40" s="98"/>
      <c r="E40" s="101"/>
      <c r="F40" s="101"/>
      <c r="G40" s="101"/>
      <c r="H40" s="101"/>
      <c r="I40" s="100"/>
      <c r="J40" s="98">
        <f t="shared" si="6"/>
        <v>0</v>
      </c>
    </row>
    <row r="41" spans="2:10" x14ac:dyDescent="0.35">
      <c r="B41" s="19"/>
      <c r="C41" s="116" t="s">
        <v>17</v>
      </c>
      <c r="D41" s="103">
        <f>SUM(D37:D40)</f>
        <v>420000</v>
      </c>
      <c r="E41" s="103">
        <f t="shared" ref="E41:H41" si="9">SUM(E37:E40)</f>
        <v>140000</v>
      </c>
      <c r="F41" s="103">
        <f t="shared" si="9"/>
        <v>0</v>
      </c>
      <c r="G41" s="103">
        <f t="shared" si="9"/>
        <v>0</v>
      </c>
      <c r="H41" s="103">
        <f t="shared" si="9"/>
        <v>0</v>
      </c>
      <c r="I41" s="100"/>
      <c r="J41" s="103">
        <f t="shared" si="6"/>
        <v>560000</v>
      </c>
    </row>
    <row r="42" spans="2:10" x14ac:dyDescent="0.35">
      <c r="B42" s="19"/>
      <c r="C42" s="12" t="s">
        <v>39</v>
      </c>
      <c r="D42" s="11" t="s">
        <v>31</v>
      </c>
      <c r="E42" s="8"/>
      <c r="F42" s="8"/>
      <c r="G42" s="8"/>
      <c r="H42" s="8"/>
      <c r="J42" s="13"/>
    </row>
    <row r="43" spans="2:10" x14ac:dyDescent="0.35">
      <c r="B43" s="19"/>
      <c r="C43" s="21"/>
      <c r="D43" s="13"/>
      <c r="E43" s="13"/>
      <c r="F43" s="13"/>
      <c r="G43" s="13"/>
      <c r="H43" s="13"/>
      <c r="I43" s="28">
        <v>375000</v>
      </c>
      <c r="J43" s="13">
        <f t="shared" si="6"/>
        <v>0</v>
      </c>
    </row>
    <row r="44" spans="2:10" x14ac:dyDescent="0.35">
      <c r="B44" s="19"/>
      <c r="C44" s="21"/>
      <c r="D44" s="13"/>
      <c r="E44" s="13"/>
      <c r="F44" s="13"/>
      <c r="G44" s="13"/>
      <c r="H44" s="13"/>
      <c r="I44" s="28">
        <v>781250</v>
      </c>
      <c r="J44" s="13">
        <f t="shared" si="6"/>
        <v>0</v>
      </c>
    </row>
    <row r="45" spans="2:10" x14ac:dyDescent="0.35">
      <c r="B45" s="19"/>
      <c r="C45" s="21"/>
      <c r="D45" s="13"/>
      <c r="E45" s="13"/>
      <c r="F45" s="13"/>
      <c r="G45" s="13"/>
      <c r="H45" s="13"/>
      <c r="I45" s="28">
        <v>2083335</v>
      </c>
      <c r="J45" s="13">
        <f t="shared" si="6"/>
        <v>0</v>
      </c>
    </row>
    <row r="46" spans="2:10" x14ac:dyDescent="0.35">
      <c r="B46" s="19"/>
      <c r="C46" s="21"/>
      <c r="D46" s="13"/>
      <c r="E46" s="9"/>
      <c r="F46" s="9"/>
      <c r="G46" s="9"/>
      <c r="H46" s="9"/>
      <c r="J46" s="13">
        <f t="shared" si="6"/>
        <v>0</v>
      </c>
    </row>
    <row r="47" spans="2:10" x14ac:dyDescent="0.35">
      <c r="B47" s="19"/>
      <c r="C47" s="21"/>
      <c r="D47" s="13"/>
      <c r="E47" s="9"/>
      <c r="F47" s="9"/>
      <c r="G47" s="9"/>
      <c r="H47" s="9"/>
      <c r="J47" s="13">
        <f t="shared" si="6"/>
        <v>0</v>
      </c>
    </row>
    <row r="48" spans="2:10" x14ac:dyDescent="0.35">
      <c r="B48" s="19"/>
      <c r="C48" s="8"/>
      <c r="D48" s="13"/>
      <c r="E48" s="9"/>
      <c r="F48" s="9"/>
      <c r="G48" s="9"/>
      <c r="H48" s="9"/>
      <c r="J48" s="13">
        <f t="shared" si="6"/>
        <v>0</v>
      </c>
    </row>
    <row r="49" spans="2:11" x14ac:dyDescent="0.35">
      <c r="B49" s="20"/>
      <c r="C49" s="7" t="s">
        <v>18</v>
      </c>
      <c r="D49" s="14">
        <f>SUM(D43:D48)</f>
        <v>0</v>
      </c>
      <c r="E49" s="14">
        <f t="shared" ref="E49:H49" si="10">SUM(E43:E48)</f>
        <v>0</v>
      </c>
      <c r="F49" s="14">
        <f t="shared" si="10"/>
        <v>0</v>
      </c>
      <c r="G49" s="14">
        <f t="shared" si="10"/>
        <v>0</v>
      </c>
      <c r="H49" s="14">
        <f t="shared" si="10"/>
        <v>0</v>
      </c>
      <c r="J49" s="14">
        <f t="shared" si="6"/>
        <v>0</v>
      </c>
    </row>
    <row r="50" spans="2:11" x14ac:dyDescent="0.35">
      <c r="B50" s="20"/>
      <c r="C50" s="7" t="s">
        <v>19</v>
      </c>
      <c r="D50" s="103">
        <f>SUM(D49,D41,D35,D31,D27,D16,D11)</f>
        <v>980000</v>
      </c>
      <c r="E50" s="103">
        <f t="shared" ref="E50:H50" si="11">SUM(E49,E41,E35,E31,E27,E16,E11)</f>
        <v>380000</v>
      </c>
      <c r="F50" s="103">
        <f t="shared" si="11"/>
        <v>0</v>
      </c>
      <c r="G50" s="103">
        <f t="shared" si="11"/>
        <v>0</v>
      </c>
      <c r="H50" s="103">
        <f t="shared" si="11"/>
        <v>0</v>
      </c>
      <c r="I50" s="100"/>
      <c r="J50" s="103">
        <f t="shared" si="6"/>
        <v>1360000</v>
      </c>
      <c r="K50" s="27"/>
    </row>
    <row r="51" spans="2:11" x14ac:dyDescent="0.35">
      <c r="B51" s="4"/>
      <c r="D51"/>
      <c r="E51"/>
      <c r="H51"/>
      <c r="I51"/>
      <c r="J51" t="s">
        <v>20</v>
      </c>
    </row>
    <row r="52" spans="2:11" ht="29" x14ac:dyDescent="0.35">
      <c r="B52" s="56" t="s">
        <v>40</v>
      </c>
      <c r="C52" s="15" t="s">
        <v>40</v>
      </c>
      <c r="D52" s="16"/>
      <c r="E52" s="16"/>
      <c r="F52" s="16"/>
      <c r="G52" s="16"/>
      <c r="H52" s="16"/>
      <c r="I52"/>
      <c r="J52" s="16" t="s">
        <v>20</v>
      </c>
    </row>
    <row r="53" spans="2:11" x14ac:dyDescent="0.35">
      <c r="B53" s="19"/>
      <c r="C53" s="21"/>
      <c r="D53" s="11"/>
      <c r="E53" s="8"/>
      <c r="F53" s="8"/>
      <c r="G53" s="8"/>
      <c r="H53" s="8"/>
      <c r="J53" s="13">
        <f>SUM(D53:H53)</f>
        <v>0</v>
      </c>
    </row>
    <row r="54" spans="2:11" x14ac:dyDescent="0.35">
      <c r="B54" s="19"/>
      <c r="C54" s="21"/>
      <c r="D54" s="11"/>
      <c r="E54" s="8"/>
      <c r="F54" s="8"/>
      <c r="G54" s="8"/>
      <c r="H54" s="8"/>
      <c r="J54" s="13">
        <f t="shared" ref="J54:J55" si="12">SUM(D54:H54)</f>
        <v>0</v>
      </c>
    </row>
    <row r="55" spans="2:11" x14ac:dyDescent="0.35">
      <c r="B55" s="20"/>
      <c r="C55" s="7" t="s">
        <v>21</v>
      </c>
      <c r="D55" s="14">
        <f>SUM(D53:D54)</f>
        <v>0</v>
      </c>
      <c r="E55" s="14">
        <f t="shared" ref="E55:H55" si="13">SUM(E53:E54)</f>
        <v>0</v>
      </c>
      <c r="F55" s="14">
        <f t="shared" si="13"/>
        <v>0</v>
      </c>
      <c r="G55" s="14">
        <f t="shared" si="13"/>
        <v>0</v>
      </c>
      <c r="H55" s="14">
        <f t="shared" si="13"/>
        <v>0</v>
      </c>
      <c r="J55" s="14">
        <f t="shared" si="12"/>
        <v>0</v>
      </c>
    </row>
    <row r="56" spans="2:11" ht="15" thickBot="1" x14ac:dyDescent="0.4">
      <c r="B56" s="4"/>
      <c r="D56"/>
      <c r="E56"/>
      <c r="H56"/>
      <c r="I56"/>
      <c r="J56" t="s">
        <v>20</v>
      </c>
    </row>
    <row r="57" spans="2:11" s="1" customFormat="1" ht="29.5" thickBot="1" x14ac:dyDescent="0.4">
      <c r="B57" s="17" t="s">
        <v>22</v>
      </c>
      <c r="C57" s="95"/>
      <c r="D57" s="96">
        <f>SUM(D55,D50)</f>
        <v>980000</v>
      </c>
      <c r="E57" s="96">
        <f t="shared" ref="E57:J57" si="14">SUM(E55,E50)</f>
        <v>380000</v>
      </c>
      <c r="F57" s="96">
        <f t="shared" si="14"/>
        <v>0</v>
      </c>
      <c r="G57" s="96">
        <f t="shared" si="14"/>
        <v>0</v>
      </c>
      <c r="H57" s="96">
        <f t="shared" si="14"/>
        <v>0</v>
      </c>
      <c r="I57" s="100">
        <f>SUM(I55,I50)</f>
        <v>0</v>
      </c>
      <c r="J57" s="96">
        <f t="shared" si="14"/>
        <v>1360000</v>
      </c>
    </row>
    <row r="58" spans="2:11" x14ac:dyDescent="0.35">
      <c r="B58" s="4"/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</sheetData>
  <pageMargins left="0.7" right="0.7" top="0.75" bottom="0.75" header="0.3" footer="0.3"/>
  <pageSetup scale="86" fitToHeight="0" orientation="landscape" r:id="rId1"/>
  <ignoredErrors>
    <ignoredError sqref="J43:J45 J37:J39 J33 J20:J26 J8" formulaRange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449814-EF24-4E78-952D-CFDE4547648B}">
  <sheetPr>
    <tabColor theme="9" tint="0.39997558519241921"/>
    <pageSetUpPr fitToPage="1"/>
  </sheetPr>
  <dimension ref="B2:AM72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26953125" defaultRowHeight="14.5" x14ac:dyDescent="0.35"/>
  <cols>
    <col min="1" max="1" width="3.26953125" customWidth="1"/>
    <col min="2" max="2" width="11.26953125" customWidth="1"/>
    <col min="3" max="3" width="46.453125" customWidth="1"/>
    <col min="4" max="4" width="13.26953125" style="4" customWidth="1"/>
    <col min="5" max="5" width="13.26953125" style="2" customWidth="1"/>
    <col min="6" max="7" width="13.26953125" customWidth="1"/>
    <col min="8" max="8" width="12.7265625" style="2" customWidth="1"/>
    <col min="9" max="9" width="0.7265625" style="5" customWidth="1"/>
    <col min="10" max="10" width="14.54296875" customWidth="1"/>
    <col min="11" max="11" width="10.26953125" customWidth="1"/>
  </cols>
  <sheetData>
    <row r="2" spans="2:39" ht="23.5" x14ac:dyDescent="0.55000000000000004">
      <c r="B2" s="26" t="s">
        <v>108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21"/>
      <c r="D8" s="13"/>
      <c r="E8" s="13"/>
      <c r="F8" s="13"/>
      <c r="G8" s="13"/>
      <c r="H8" s="13"/>
      <c r="I8" s="28">
        <v>450000</v>
      </c>
      <c r="J8" s="13">
        <f>SUM(D8:H8)</f>
        <v>0</v>
      </c>
    </row>
    <row r="9" spans="2:39" x14ac:dyDescent="0.35">
      <c r="B9" s="19"/>
      <c r="C9" s="21"/>
      <c r="D9" s="13"/>
      <c r="E9" s="13"/>
      <c r="F9" s="13"/>
      <c r="G9" s="13"/>
      <c r="H9" s="13"/>
      <c r="J9" s="13">
        <f>SUM(D9:H9)</f>
        <v>0</v>
      </c>
    </row>
    <row r="10" spans="2:39" x14ac:dyDescent="0.35">
      <c r="B10" s="19"/>
      <c r="C10" s="23"/>
      <c r="D10" s="13"/>
      <c r="E10" s="9"/>
      <c r="F10" s="9"/>
      <c r="G10" s="9"/>
      <c r="H10" s="9"/>
      <c r="J10" s="13">
        <f>SUM(D10:H10)</f>
        <v>0</v>
      </c>
    </row>
    <row r="11" spans="2:39" x14ac:dyDescent="0.35">
      <c r="B11" s="19"/>
      <c r="C11" s="7" t="s">
        <v>12</v>
      </c>
      <c r="D11" s="14">
        <f>SUM(D8:D10)</f>
        <v>0</v>
      </c>
      <c r="E11" s="14">
        <f t="shared" ref="E11:J11" si="0">SUM(E8:E10)</f>
        <v>0</v>
      </c>
      <c r="F11" s="14">
        <f t="shared" si="0"/>
        <v>0</v>
      </c>
      <c r="G11" s="14">
        <f t="shared" si="0"/>
        <v>0</v>
      </c>
      <c r="H11" s="14">
        <f t="shared" si="0"/>
        <v>0</v>
      </c>
      <c r="I11" s="5">
        <f t="shared" si="0"/>
        <v>450000</v>
      </c>
      <c r="J11" s="14">
        <f t="shared" si="0"/>
        <v>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35">
      <c r="B14" s="19"/>
      <c r="C14" s="21"/>
      <c r="D14" s="13"/>
      <c r="E14" s="13"/>
      <c r="F14" s="13"/>
      <c r="G14" s="13"/>
      <c r="H14" s="13"/>
      <c r="J14" s="13">
        <f t="shared" ref="J14:J15" si="1">SUM(D14:H14)</f>
        <v>0</v>
      </c>
    </row>
    <row r="15" spans="2:39" x14ac:dyDescent="0.35">
      <c r="B15" s="19"/>
      <c r="C15" s="8"/>
      <c r="D15" s="13"/>
      <c r="E15" s="9"/>
      <c r="F15" s="9"/>
      <c r="G15" s="9"/>
      <c r="H15" s="9"/>
      <c r="J15" s="13">
        <f t="shared" si="1"/>
        <v>0</v>
      </c>
    </row>
    <row r="16" spans="2:39" x14ac:dyDescent="0.35">
      <c r="B16" s="19"/>
      <c r="C16" s="7" t="s">
        <v>13</v>
      </c>
      <c r="D16" s="14">
        <f>SUM(D13:D15)</f>
        <v>0</v>
      </c>
      <c r="E16" s="14">
        <f t="shared" ref="E16:J16" si="2">SUM(E13:E15)</f>
        <v>0</v>
      </c>
      <c r="F16" s="14">
        <f t="shared" si="2"/>
        <v>0</v>
      </c>
      <c r="G16" s="14">
        <f t="shared" si="2"/>
        <v>0</v>
      </c>
      <c r="H16" s="14">
        <f t="shared" si="2"/>
        <v>0</v>
      </c>
      <c r="I16" s="5">
        <f t="shared" si="2"/>
        <v>0</v>
      </c>
      <c r="J16" s="14">
        <f t="shared" si="2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1"/>
      <c r="E18" s="8"/>
      <c r="F18" s="8"/>
      <c r="G18" s="8"/>
      <c r="H18" s="8"/>
      <c r="J18" s="13">
        <f t="shared" ref="J18:J19" si="3">SUM(D18:H18)</f>
        <v>0</v>
      </c>
    </row>
    <row r="19" spans="2:10" x14ac:dyDescent="0.35">
      <c r="B19" s="19"/>
      <c r="C19" s="25"/>
      <c r="D19" s="13"/>
      <c r="E19" s="9"/>
      <c r="F19" s="9"/>
      <c r="G19" s="9"/>
      <c r="H19" s="9"/>
      <c r="J19" s="13">
        <f t="shared" si="3"/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>
        <v>2000</v>
      </c>
      <c r="J20" s="13">
        <f>SUM(D20:H20)</f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250</v>
      </c>
      <c r="J21" s="13">
        <f t="shared" ref="J21:J26" si="4">SUM(D21:H21)</f>
        <v>0</v>
      </c>
    </row>
    <row r="22" spans="2:10" x14ac:dyDescent="0.35">
      <c r="B22" s="19"/>
      <c r="C22" s="21"/>
      <c r="D22" s="13"/>
      <c r="E22" s="13"/>
      <c r="F22" s="13"/>
      <c r="G22" s="13"/>
      <c r="H22" s="13"/>
      <c r="I22" s="28">
        <v>2250</v>
      </c>
      <c r="J22" s="13">
        <f t="shared" si="4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>
        <v>1243</v>
      </c>
      <c r="J23" s="13">
        <f t="shared" si="4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225</v>
      </c>
      <c r="J24" s="13">
        <f t="shared" si="4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400</v>
      </c>
      <c r="J25" s="13">
        <f t="shared" si="4"/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1638</v>
      </c>
      <c r="J26" s="13">
        <f t="shared" si="4"/>
        <v>0</v>
      </c>
    </row>
    <row r="27" spans="2:10" x14ac:dyDescent="0.35">
      <c r="B27" s="19"/>
      <c r="C27" s="7" t="s">
        <v>14</v>
      </c>
      <c r="D27" s="14">
        <f>SUM(D20:D26)</f>
        <v>0</v>
      </c>
      <c r="E27" s="14">
        <f t="shared" ref="E27:H27" si="5">SUM(E20:E26)</f>
        <v>0</v>
      </c>
      <c r="F27" s="14">
        <f t="shared" si="5"/>
        <v>0</v>
      </c>
      <c r="G27" s="14">
        <f t="shared" si="5"/>
        <v>0</v>
      </c>
      <c r="H27" s="14">
        <f t="shared" si="5"/>
        <v>0</v>
      </c>
      <c r="J27" s="14">
        <f>SUM(D27:H27)</f>
        <v>0</v>
      </c>
    </row>
    <row r="28" spans="2:10" x14ac:dyDescent="0.35">
      <c r="B28" s="19"/>
      <c r="C28" s="12" t="s">
        <v>34</v>
      </c>
      <c r="D28" s="13"/>
      <c r="E28" s="8"/>
      <c r="F28" s="8"/>
      <c r="G28" s="8"/>
      <c r="H28" s="8"/>
      <c r="J28" s="13" t="s">
        <v>20</v>
      </c>
    </row>
    <row r="29" spans="2:10" x14ac:dyDescent="0.35">
      <c r="B29" s="19"/>
      <c r="C29" s="21"/>
      <c r="D29" s="13"/>
      <c r="E29" s="8"/>
      <c r="F29" s="8"/>
      <c r="G29" s="8"/>
      <c r="H29" s="8"/>
      <c r="J29" s="13">
        <f>SUM(D29:H29)</f>
        <v>0</v>
      </c>
    </row>
    <row r="30" spans="2:10" x14ac:dyDescent="0.35">
      <c r="B30" s="19" t="s">
        <v>35</v>
      </c>
      <c r="C30" s="24" t="s">
        <v>35</v>
      </c>
      <c r="D30" s="11" t="s">
        <v>31</v>
      </c>
      <c r="E30" s="8"/>
      <c r="F30" s="8"/>
      <c r="G30" s="8"/>
      <c r="H30" s="8"/>
      <c r="J30" s="13">
        <f t="shared" ref="J30:J50" si="6">SUM(D30:H30)</f>
        <v>0</v>
      </c>
    </row>
    <row r="31" spans="2:10" x14ac:dyDescent="0.35">
      <c r="B31" s="19"/>
      <c r="C31" s="7" t="s">
        <v>15</v>
      </c>
      <c r="D31" s="10">
        <f>SUM(D29:D30)</f>
        <v>0</v>
      </c>
      <c r="E31" s="10">
        <f t="shared" ref="E31:H31" si="7">SUM(E29:E30)</f>
        <v>0</v>
      </c>
      <c r="F31" s="10">
        <f t="shared" si="7"/>
        <v>0</v>
      </c>
      <c r="G31" s="10">
        <f t="shared" si="7"/>
        <v>0</v>
      </c>
      <c r="H31" s="10">
        <f t="shared" si="7"/>
        <v>0</v>
      </c>
      <c r="J31" s="14">
        <f t="shared" si="6"/>
        <v>0</v>
      </c>
    </row>
    <row r="32" spans="2:10" x14ac:dyDescent="0.35">
      <c r="B32" s="19"/>
      <c r="C32" s="12" t="s">
        <v>36</v>
      </c>
      <c r="D32" s="11" t="s">
        <v>31</v>
      </c>
      <c r="E32" s="8"/>
      <c r="F32" s="8"/>
      <c r="G32" s="8"/>
      <c r="H32" s="8"/>
      <c r="J32" s="13"/>
    </row>
    <row r="33" spans="2:14" x14ac:dyDescent="0.35">
      <c r="B33" s="19"/>
      <c r="C33" s="21"/>
      <c r="D33" s="13"/>
      <c r="E33" s="13"/>
      <c r="F33" s="13"/>
      <c r="G33" s="13"/>
      <c r="H33" s="13"/>
      <c r="I33" s="28">
        <v>5000</v>
      </c>
      <c r="J33" s="13">
        <f t="shared" si="6"/>
        <v>0</v>
      </c>
    </row>
    <row r="34" spans="2:14" x14ac:dyDescent="0.35">
      <c r="B34" s="19"/>
      <c r="C34" s="21"/>
      <c r="D34" s="13"/>
      <c r="E34" s="9"/>
      <c r="F34" s="9"/>
      <c r="G34" s="9"/>
      <c r="H34" s="9"/>
      <c r="J34" s="13">
        <f t="shared" si="6"/>
        <v>0</v>
      </c>
    </row>
    <row r="35" spans="2:14" x14ac:dyDescent="0.35">
      <c r="B35" s="19"/>
      <c r="C35" s="7" t="s">
        <v>16</v>
      </c>
      <c r="D35" s="14">
        <f>SUM(D33:D34)</f>
        <v>0</v>
      </c>
      <c r="E35" s="14">
        <f t="shared" ref="E35:H35" si="8">SUM(E33:E34)</f>
        <v>0</v>
      </c>
      <c r="F35" s="14">
        <f t="shared" si="8"/>
        <v>0</v>
      </c>
      <c r="G35" s="14">
        <f t="shared" si="8"/>
        <v>0</v>
      </c>
      <c r="H35" s="14">
        <f t="shared" si="8"/>
        <v>0</v>
      </c>
      <c r="J35" s="14">
        <f t="shared" si="6"/>
        <v>0</v>
      </c>
    </row>
    <row r="36" spans="2:14" x14ac:dyDescent="0.35">
      <c r="B36" s="19"/>
      <c r="C36" s="12" t="s">
        <v>38</v>
      </c>
      <c r="D36" s="11" t="s">
        <v>31</v>
      </c>
      <c r="E36" s="8"/>
      <c r="F36" s="8"/>
      <c r="G36" s="8"/>
      <c r="H36" s="8"/>
      <c r="J36" s="13"/>
    </row>
    <row r="37" spans="2:14" ht="29" x14ac:dyDescent="0.35">
      <c r="B37" s="19"/>
      <c r="C37" s="97" t="s">
        <v>57</v>
      </c>
      <c r="D37" s="98">
        <v>800000</v>
      </c>
      <c r="E37" s="98">
        <v>450000</v>
      </c>
      <c r="F37" s="98">
        <v>600000</v>
      </c>
      <c r="G37" s="98"/>
      <c r="H37" s="98"/>
      <c r="I37" s="99">
        <v>5106000</v>
      </c>
      <c r="J37" s="98">
        <f t="shared" si="6"/>
        <v>1850000</v>
      </c>
      <c r="N37" s="100"/>
    </row>
    <row r="38" spans="2:14" x14ac:dyDescent="0.35">
      <c r="B38" s="19"/>
      <c r="C38" s="97"/>
      <c r="D38" s="98"/>
      <c r="E38" s="98"/>
      <c r="F38" s="98"/>
      <c r="G38" s="98"/>
      <c r="H38" s="98"/>
      <c r="I38" s="99">
        <v>22500000</v>
      </c>
      <c r="J38" s="98">
        <f t="shared" si="6"/>
        <v>0</v>
      </c>
    </row>
    <row r="39" spans="2:14" x14ac:dyDescent="0.35">
      <c r="B39" s="19"/>
      <c r="C39" s="97"/>
      <c r="D39" s="98"/>
      <c r="E39" s="98"/>
      <c r="F39" s="98"/>
      <c r="G39" s="98"/>
      <c r="H39" s="98"/>
      <c r="I39" s="99">
        <v>75000000</v>
      </c>
      <c r="J39" s="98">
        <f t="shared" si="6"/>
        <v>0</v>
      </c>
    </row>
    <row r="40" spans="2:14" x14ac:dyDescent="0.35">
      <c r="B40" s="19"/>
      <c r="C40" s="97"/>
      <c r="D40" s="98"/>
      <c r="E40" s="101"/>
      <c r="F40" s="101"/>
      <c r="G40" s="101"/>
      <c r="H40" s="101"/>
      <c r="I40" s="100"/>
      <c r="J40" s="98">
        <f t="shared" si="6"/>
        <v>0</v>
      </c>
    </row>
    <row r="41" spans="2:14" x14ac:dyDescent="0.35">
      <c r="B41" s="19"/>
      <c r="C41" s="116" t="s">
        <v>17</v>
      </c>
      <c r="D41" s="103">
        <f>SUM(D37:D40)</f>
        <v>800000</v>
      </c>
      <c r="E41" s="103">
        <f t="shared" ref="E41:H41" si="9">SUM(E37:E40)</f>
        <v>450000</v>
      </c>
      <c r="F41" s="103">
        <f t="shared" si="9"/>
        <v>600000</v>
      </c>
      <c r="G41" s="103">
        <f t="shared" si="9"/>
        <v>0</v>
      </c>
      <c r="H41" s="103">
        <f t="shared" si="9"/>
        <v>0</v>
      </c>
      <c r="I41" s="100"/>
      <c r="J41" s="103">
        <f t="shared" si="6"/>
        <v>1850000</v>
      </c>
    </row>
    <row r="42" spans="2:14" x14ac:dyDescent="0.35">
      <c r="B42" s="19"/>
      <c r="C42" s="12" t="s">
        <v>39</v>
      </c>
      <c r="D42" s="11" t="s">
        <v>31</v>
      </c>
      <c r="E42" s="8"/>
      <c r="F42" s="8"/>
      <c r="G42" s="8"/>
      <c r="H42" s="8"/>
      <c r="J42" s="13"/>
    </row>
    <row r="43" spans="2:14" x14ac:dyDescent="0.35">
      <c r="B43" s="19"/>
      <c r="C43" s="21"/>
      <c r="D43" s="13"/>
      <c r="E43" s="13"/>
      <c r="F43" s="13"/>
      <c r="G43" s="13"/>
      <c r="H43" s="13"/>
      <c r="I43" s="28">
        <v>375000</v>
      </c>
      <c r="J43" s="13">
        <f t="shared" si="6"/>
        <v>0</v>
      </c>
    </row>
    <row r="44" spans="2:14" x14ac:dyDescent="0.35">
      <c r="B44" s="19"/>
      <c r="C44" s="21"/>
      <c r="D44" s="13"/>
      <c r="E44" s="13"/>
      <c r="F44" s="13"/>
      <c r="G44" s="13"/>
      <c r="H44" s="13"/>
      <c r="I44" s="28">
        <v>781250</v>
      </c>
      <c r="J44" s="13">
        <f t="shared" si="6"/>
        <v>0</v>
      </c>
    </row>
    <row r="45" spans="2:14" x14ac:dyDescent="0.35">
      <c r="B45" s="19"/>
      <c r="C45" s="21"/>
      <c r="D45" s="13"/>
      <c r="E45" s="13"/>
      <c r="F45" s="13"/>
      <c r="G45" s="13"/>
      <c r="H45" s="13"/>
      <c r="I45" s="28">
        <v>2083335</v>
      </c>
      <c r="J45" s="13">
        <f t="shared" si="6"/>
        <v>0</v>
      </c>
    </row>
    <row r="46" spans="2:14" x14ac:dyDescent="0.35">
      <c r="B46" s="19"/>
      <c r="C46" s="21"/>
      <c r="D46" s="13"/>
      <c r="E46" s="9"/>
      <c r="F46" s="9"/>
      <c r="G46" s="9"/>
      <c r="H46" s="9"/>
      <c r="J46" s="13">
        <f t="shared" si="6"/>
        <v>0</v>
      </c>
    </row>
    <row r="47" spans="2:14" x14ac:dyDescent="0.35">
      <c r="B47" s="19"/>
      <c r="C47" s="21"/>
      <c r="D47" s="13"/>
      <c r="E47" s="9"/>
      <c r="F47" s="9"/>
      <c r="G47" s="9"/>
      <c r="H47" s="9"/>
      <c r="J47" s="13">
        <f t="shared" si="6"/>
        <v>0</v>
      </c>
    </row>
    <row r="48" spans="2:14" x14ac:dyDescent="0.35">
      <c r="B48" s="19"/>
      <c r="C48" s="8"/>
      <c r="D48" s="13"/>
      <c r="E48" s="9"/>
      <c r="F48" s="9"/>
      <c r="G48" s="9"/>
      <c r="H48" s="9"/>
      <c r="J48" s="13">
        <f t="shared" si="6"/>
        <v>0</v>
      </c>
    </row>
    <row r="49" spans="2:10" x14ac:dyDescent="0.35">
      <c r="B49" s="20"/>
      <c r="C49" s="7" t="s">
        <v>18</v>
      </c>
      <c r="D49" s="14">
        <f>SUM(D43:D48)</f>
        <v>0</v>
      </c>
      <c r="E49" s="14">
        <f t="shared" ref="E49:H49" si="10">SUM(E43:E48)</f>
        <v>0</v>
      </c>
      <c r="F49" s="14">
        <f t="shared" si="10"/>
        <v>0</v>
      </c>
      <c r="G49" s="14">
        <f t="shared" si="10"/>
        <v>0</v>
      </c>
      <c r="H49" s="14">
        <f t="shared" si="10"/>
        <v>0</v>
      </c>
      <c r="J49" s="14">
        <f t="shared" si="6"/>
        <v>0</v>
      </c>
    </row>
    <row r="50" spans="2:10" x14ac:dyDescent="0.35">
      <c r="B50" s="20"/>
      <c r="C50" s="7" t="s">
        <v>19</v>
      </c>
      <c r="D50" s="14">
        <f>SUM(D49,D41,D35,D31,D27,D16,D11)</f>
        <v>800000</v>
      </c>
      <c r="E50" s="14">
        <f t="shared" ref="E50:H50" si="11">SUM(E49,E41,E35,E31,E27,E16,E11)</f>
        <v>450000</v>
      </c>
      <c r="F50" s="14">
        <f t="shared" si="11"/>
        <v>600000</v>
      </c>
      <c r="G50" s="14">
        <f t="shared" si="11"/>
        <v>0</v>
      </c>
      <c r="H50" s="14">
        <f t="shared" si="11"/>
        <v>0</v>
      </c>
      <c r="J50" s="14">
        <f t="shared" si="6"/>
        <v>1850000</v>
      </c>
    </row>
    <row r="51" spans="2:10" x14ac:dyDescent="0.35">
      <c r="B51" s="4"/>
      <c r="D51"/>
      <c r="E51"/>
      <c r="H51"/>
      <c r="I51"/>
      <c r="J51" t="s">
        <v>20</v>
      </c>
    </row>
    <row r="52" spans="2:10" ht="29" x14ac:dyDescent="0.35">
      <c r="B52" s="56" t="s">
        <v>40</v>
      </c>
      <c r="C52" s="15" t="s">
        <v>40</v>
      </c>
      <c r="D52" s="16"/>
      <c r="E52" s="16"/>
      <c r="F52" s="16"/>
      <c r="G52" s="16"/>
      <c r="H52" s="16"/>
      <c r="I52"/>
      <c r="J52" s="16" t="s">
        <v>20</v>
      </c>
    </row>
    <row r="53" spans="2:10" x14ac:dyDescent="0.35">
      <c r="B53" s="19"/>
      <c r="C53" s="21"/>
      <c r="D53" s="11"/>
      <c r="E53" s="8"/>
      <c r="F53" s="8"/>
      <c r="G53" s="8"/>
      <c r="H53" s="8"/>
      <c r="J53" s="13">
        <f>SUM(D53:H53)</f>
        <v>0</v>
      </c>
    </row>
    <row r="54" spans="2:10" x14ac:dyDescent="0.35">
      <c r="B54" s="19"/>
      <c r="C54" s="21"/>
      <c r="D54" s="11"/>
      <c r="E54" s="8"/>
      <c r="F54" s="8"/>
      <c r="G54" s="8"/>
      <c r="H54" s="8"/>
      <c r="J54" s="13">
        <f t="shared" ref="J54:J55" si="12">SUM(D54:H54)</f>
        <v>0</v>
      </c>
    </row>
    <row r="55" spans="2:10" x14ac:dyDescent="0.35">
      <c r="B55" s="20"/>
      <c r="C55" s="7" t="s">
        <v>21</v>
      </c>
      <c r="D55" s="14">
        <f>SUM(D53:D54)</f>
        <v>0</v>
      </c>
      <c r="E55" s="14">
        <f t="shared" ref="E55:H55" si="13">SUM(E53:E54)</f>
        <v>0</v>
      </c>
      <c r="F55" s="14">
        <f t="shared" si="13"/>
        <v>0</v>
      </c>
      <c r="G55" s="14">
        <f t="shared" si="13"/>
        <v>0</v>
      </c>
      <c r="H55" s="14">
        <f t="shared" si="13"/>
        <v>0</v>
      </c>
      <c r="J55" s="14">
        <f t="shared" si="12"/>
        <v>0</v>
      </c>
    </row>
    <row r="56" spans="2:10" x14ac:dyDescent="0.35">
      <c r="B56" s="4"/>
      <c r="D56"/>
      <c r="E56"/>
      <c r="H56"/>
      <c r="I56"/>
      <c r="J56" t="s">
        <v>20</v>
      </c>
    </row>
    <row r="57" spans="2:10" s="1" customFormat="1" ht="29" x14ac:dyDescent="0.35">
      <c r="B57" s="17" t="s">
        <v>22</v>
      </c>
      <c r="C57" s="95"/>
      <c r="D57" s="96">
        <f>SUM(D55,D50)</f>
        <v>800000</v>
      </c>
      <c r="E57" s="96">
        <f t="shared" ref="E57:J57" si="14">SUM(E55,E50)</f>
        <v>450000</v>
      </c>
      <c r="F57" s="96">
        <f t="shared" si="14"/>
        <v>600000</v>
      </c>
      <c r="G57" s="96">
        <f t="shared" si="14"/>
        <v>0</v>
      </c>
      <c r="H57" s="96">
        <f t="shared" si="14"/>
        <v>0</v>
      </c>
      <c r="I57" s="100">
        <f>SUM(I55,I50)</f>
        <v>0</v>
      </c>
      <c r="J57" s="96">
        <f t="shared" si="14"/>
        <v>1850000</v>
      </c>
    </row>
    <row r="58" spans="2:10" x14ac:dyDescent="0.35">
      <c r="B58" s="4"/>
    </row>
    <row r="59" spans="2:10" x14ac:dyDescent="0.35">
      <c r="B59" s="4"/>
    </row>
    <row r="60" spans="2:10" x14ac:dyDescent="0.35">
      <c r="B60" s="4"/>
    </row>
    <row r="61" spans="2:10" x14ac:dyDescent="0.35">
      <c r="B61" s="4"/>
    </row>
    <row r="62" spans="2:10" x14ac:dyDescent="0.35">
      <c r="B62" s="4"/>
    </row>
    <row r="63" spans="2:10" x14ac:dyDescent="0.35">
      <c r="B63" s="4"/>
    </row>
    <row r="64" spans="2:10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</sheetData>
  <pageMargins left="0.7" right="0.7" top="0.75" bottom="0.75" header="0.3" footer="0.3"/>
  <pageSetup scale="86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2C4FC8-DEA7-4A36-B9BE-1497FC87BBF7}">
  <sheetPr>
    <tabColor theme="9" tint="0.39997558519241921"/>
    <pageSetUpPr fitToPage="1"/>
  </sheetPr>
  <dimension ref="B2:AM73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26953125" defaultRowHeight="14.5" x14ac:dyDescent="0.35"/>
  <cols>
    <col min="1" max="1" width="3.26953125" customWidth="1"/>
    <col min="2" max="2" width="11.26953125" customWidth="1"/>
    <col min="3" max="3" width="46.453125" customWidth="1"/>
    <col min="4" max="4" width="13.26953125" style="4" customWidth="1"/>
    <col min="5" max="5" width="13.26953125" style="2" customWidth="1"/>
    <col min="6" max="7" width="13.26953125" customWidth="1"/>
    <col min="8" max="8" width="12.7265625" style="2" customWidth="1"/>
    <col min="9" max="9" width="0.7265625" style="5" customWidth="1"/>
    <col min="10" max="10" width="14.54296875" customWidth="1"/>
    <col min="11" max="11" width="19.453125" customWidth="1"/>
  </cols>
  <sheetData>
    <row r="2" spans="2:39" ht="23.5" x14ac:dyDescent="0.55000000000000004">
      <c r="B2" s="26" t="s">
        <v>110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22" t="s">
        <v>30</v>
      </c>
      <c r="D7" s="8" t="s">
        <v>31</v>
      </c>
      <c r="E7" s="8" t="s">
        <v>31</v>
      </c>
      <c r="F7" s="8" t="s">
        <v>31</v>
      </c>
      <c r="G7" s="8"/>
      <c r="H7" s="8" t="s">
        <v>31</v>
      </c>
      <c r="I7" s="5"/>
      <c r="J7" s="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97" t="s">
        <v>127</v>
      </c>
      <c r="D8" s="81">
        <v>100000</v>
      </c>
      <c r="E8" s="81">
        <v>100000</v>
      </c>
      <c r="F8" s="81">
        <v>100000</v>
      </c>
      <c r="G8" s="81">
        <v>100000</v>
      </c>
      <c r="H8" s="81">
        <v>50000</v>
      </c>
      <c r="I8" s="28">
        <v>450000</v>
      </c>
      <c r="J8" s="81">
        <f>SUM(D8:H8)</f>
        <v>450000</v>
      </c>
    </row>
    <row r="9" spans="2:39" x14ac:dyDescent="0.35">
      <c r="B9" s="19"/>
      <c r="C9" s="97" t="s">
        <v>128</v>
      </c>
      <c r="D9" s="98">
        <v>100000</v>
      </c>
      <c r="E9" s="98">
        <v>100000</v>
      </c>
      <c r="F9" s="98">
        <v>100000</v>
      </c>
      <c r="G9" s="98">
        <v>75000</v>
      </c>
      <c r="H9" s="98"/>
      <c r="I9" s="100"/>
      <c r="J9" s="98">
        <f>SUM(D9:H9)</f>
        <v>375000</v>
      </c>
    </row>
    <row r="10" spans="2:39" ht="29" x14ac:dyDescent="0.35">
      <c r="B10" s="19"/>
      <c r="C10" s="97" t="s">
        <v>129</v>
      </c>
      <c r="D10" s="98">
        <v>450000</v>
      </c>
      <c r="E10" s="98">
        <v>100000</v>
      </c>
      <c r="F10" s="98">
        <v>50000</v>
      </c>
      <c r="G10" s="98"/>
      <c r="H10" s="98"/>
      <c r="I10" s="100"/>
      <c r="J10" s="98">
        <f>SUM(D10:H10)</f>
        <v>600000</v>
      </c>
    </row>
    <row r="11" spans="2:39" x14ac:dyDescent="0.35">
      <c r="B11" s="19"/>
      <c r="C11" s="97" t="s">
        <v>130</v>
      </c>
      <c r="D11" s="98">
        <v>50000</v>
      </c>
      <c r="E11" s="98">
        <v>750000</v>
      </c>
      <c r="F11" s="98">
        <v>750000</v>
      </c>
      <c r="G11" s="98">
        <v>100000</v>
      </c>
      <c r="H11" s="101"/>
      <c r="I11" s="100"/>
      <c r="J11" s="98">
        <f>SUM(D11:H11)</f>
        <v>1650000</v>
      </c>
    </row>
    <row r="12" spans="2:39" x14ac:dyDescent="0.35">
      <c r="B12" s="19"/>
      <c r="C12" s="87" t="s">
        <v>12</v>
      </c>
      <c r="D12" s="88">
        <f>SUM(D8:D11)</f>
        <v>700000</v>
      </c>
      <c r="E12" s="88">
        <f>SUM(E8:E11)</f>
        <v>1050000</v>
      </c>
      <c r="F12" s="88">
        <f t="shared" ref="F12:J12" si="0">SUM(F8:F11)</f>
        <v>1000000</v>
      </c>
      <c r="G12" s="88">
        <f t="shared" si="0"/>
        <v>275000</v>
      </c>
      <c r="H12" s="88">
        <f t="shared" si="0"/>
        <v>50000</v>
      </c>
      <c r="I12" s="85">
        <f t="shared" si="0"/>
        <v>450000</v>
      </c>
      <c r="J12" s="88">
        <f t="shared" si="0"/>
        <v>3075000</v>
      </c>
    </row>
    <row r="13" spans="2:39" x14ac:dyDescent="0.35">
      <c r="B13" s="19"/>
      <c r="C13" s="89" t="s">
        <v>32</v>
      </c>
      <c r="D13" s="90" t="s">
        <v>31</v>
      </c>
      <c r="E13" s="89"/>
      <c r="F13" s="89"/>
      <c r="G13" s="89"/>
      <c r="H13" s="89"/>
      <c r="I13" s="85"/>
      <c r="J13" s="91" t="s">
        <v>31</v>
      </c>
    </row>
    <row r="14" spans="2:39" x14ac:dyDescent="0.35">
      <c r="B14" s="19"/>
      <c r="C14" s="82"/>
      <c r="D14" s="83"/>
      <c r="E14" s="83"/>
      <c r="F14" s="83"/>
      <c r="G14" s="83"/>
      <c r="H14" s="83"/>
      <c r="I14" s="85"/>
      <c r="J14" s="83">
        <f>SUM(D14:H14)</f>
        <v>0</v>
      </c>
    </row>
    <row r="15" spans="2:39" x14ac:dyDescent="0.35">
      <c r="B15" s="19"/>
      <c r="C15" s="82"/>
      <c r="D15" s="83"/>
      <c r="E15" s="83"/>
      <c r="F15" s="83"/>
      <c r="G15" s="83"/>
      <c r="H15" s="83"/>
      <c r="I15" s="85"/>
      <c r="J15" s="83">
        <f t="shared" ref="J15:J16" si="1">SUM(D15:H15)</f>
        <v>0</v>
      </c>
    </row>
    <row r="16" spans="2:39" x14ac:dyDescent="0.35">
      <c r="B16" s="19"/>
      <c r="C16" s="89"/>
      <c r="D16" s="83"/>
      <c r="E16" s="86"/>
      <c r="F16" s="86"/>
      <c r="G16" s="86"/>
      <c r="H16" s="86"/>
      <c r="I16" s="85"/>
      <c r="J16" s="83">
        <f t="shared" si="1"/>
        <v>0</v>
      </c>
    </row>
    <row r="17" spans="2:10" x14ac:dyDescent="0.35">
      <c r="B17" s="19"/>
      <c r="C17" s="87" t="s">
        <v>13</v>
      </c>
      <c r="D17" s="88">
        <f>SUM(D14:D16)</f>
        <v>0</v>
      </c>
      <c r="E17" s="88">
        <f t="shared" ref="E17:J17" si="2">SUM(E14:E16)</f>
        <v>0</v>
      </c>
      <c r="F17" s="88">
        <f t="shared" si="2"/>
        <v>0</v>
      </c>
      <c r="G17" s="88">
        <f t="shared" si="2"/>
        <v>0</v>
      </c>
      <c r="H17" s="88">
        <f t="shared" si="2"/>
        <v>0</v>
      </c>
      <c r="I17" s="85">
        <f t="shared" si="2"/>
        <v>0</v>
      </c>
      <c r="J17" s="88">
        <f t="shared" si="2"/>
        <v>0</v>
      </c>
    </row>
    <row r="18" spans="2:10" x14ac:dyDescent="0.35">
      <c r="B18" s="19"/>
      <c r="C18" s="89" t="s">
        <v>33</v>
      </c>
      <c r="D18" s="90" t="s">
        <v>31</v>
      </c>
      <c r="E18" s="89"/>
      <c r="F18" s="89"/>
      <c r="G18" s="89"/>
      <c r="H18" s="89"/>
      <c r="I18" s="85"/>
      <c r="J18" s="91" t="s">
        <v>31</v>
      </c>
    </row>
    <row r="19" spans="2:10" x14ac:dyDescent="0.35">
      <c r="B19" s="19"/>
      <c r="C19" s="82"/>
      <c r="D19" s="90"/>
      <c r="E19" s="89"/>
      <c r="F19" s="89"/>
      <c r="G19" s="89"/>
      <c r="H19" s="89"/>
      <c r="I19" s="85"/>
      <c r="J19" s="83">
        <f t="shared" ref="J19:J20" si="3">SUM(D19:H19)</f>
        <v>0</v>
      </c>
    </row>
    <row r="20" spans="2:10" x14ac:dyDescent="0.35">
      <c r="B20" s="19"/>
      <c r="C20" s="92"/>
      <c r="D20" s="83"/>
      <c r="E20" s="86"/>
      <c r="F20" s="86"/>
      <c r="G20" s="86"/>
      <c r="H20" s="86"/>
      <c r="I20" s="85"/>
      <c r="J20" s="83">
        <f t="shared" si="3"/>
        <v>0</v>
      </c>
    </row>
    <row r="21" spans="2:10" x14ac:dyDescent="0.35">
      <c r="B21" s="19"/>
      <c r="C21" s="92"/>
      <c r="D21" s="83"/>
      <c r="E21" s="83"/>
      <c r="F21" s="83"/>
      <c r="G21" s="83"/>
      <c r="H21" s="83"/>
      <c r="I21" s="84">
        <v>2000</v>
      </c>
      <c r="J21" s="83">
        <f>SUM(D21:H21)</f>
        <v>0</v>
      </c>
    </row>
    <row r="22" spans="2:10" x14ac:dyDescent="0.35">
      <c r="B22" s="19"/>
      <c r="C22" s="92"/>
      <c r="D22" s="83"/>
      <c r="E22" s="83"/>
      <c r="F22" s="83"/>
      <c r="G22" s="83"/>
      <c r="H22" s="83"/>
      <c r="I22" s="84">
        <v>250</v>
      </c>
      <c r="J22" s="83">
        <f t="shared" ref="J22:J27" si="4">SUM(D22:H22)</f>
        <v>0</v>
      </c>
    </row>
    <row r="23" spans="2:10" x14ac:dyDescent="0.35">
      <c r="B23" s="19"/>
      <c r="C23" s="82"/>
      <c r="D23" s="83"/>
      <c r="E23" s="83"/>
      <c r="F23" s="83"/>
      <c r="G23" s="83"/>
      <c r="H23" s="83"/>
      <c r="I23" s="84">
        <v>2250</v>
      </c>
      <c r="J23" s="83">
        <f t="shared" si="4"/>
        <v>0</v>
      </c>
    </row>
    <row r="24" spans="2:10" x14ac:dyDescent="0.35">
      <c r="B24" s="19"/>
      <c r="C24" s="92"/>
      <c r="D24" s="83"/>
      <c r="E24" s="83"/>
      <c r="F24" s="83"/>
      <c r="G24" s="83"/>
      <c r="H24" s="83"/>
      <c r="I24" s="84">
        <v>1243</v>
      </c>
      <c r="J24" s="83">
        <f t="shared" si="4"/>
        <v>0</v>
      </c>
    </row>
    <row r="25" spans="2:10" x14ac:dyDescent="0.35">
      <c r="B25" s="19"/>
      <c r="C25" s="92"/>
      <c r="D25" s="83"/>
      <c r="E25" s="83"/>
      <c r="F25" s="83"/>
      <c r="G25" s="83"/>
      <c r="H25" s="83"/>
      <c r="I25" s="84">
        <v>225</v>
      </c>
      <c r="J25" s="83">
        <f t="shared" si="4"/>
        <v>0</v>
      </c>
    </row>
    <row r="26" spans="2:10" x14ac:dyDescent="0.35">
      <c r="B26" s="19"/>
      <c r="C26" s="92"/>
      <c r="D26" s="83"/>
      <c r="E26" s="83"/>
      <c r="F26" s="83"/>
      <c r="G26" s="83"/>
      <c r="H26" s="83"/>
      <c r="I26" s="84">
        <v>400</v>
      </c>
      <c r="J26" s="83">
        <f t="shared" si="4"/>
        <v>0</v>
      </c>
    </row>
    <row r="27" spans="2:10" x14ac:dyDescent="0.35">
      <c r="B27" s="19"/>
      <c r="C27" s="82"/>
      <c r="D27" s="83"/>
      <c r="E27" s="83"/>
      <c r="F27" s="83"/>
      <c r="G27" s="83"/>
      <c r="H27" s="83"/>
      <c r="I27" s="84">
        <v>1638</v>
      </c>
      <c r="J27" s="83">
        <f t="shared" si="4"/>
        <v>0</v>
      </c>
    </row>
    <row r="28" spans="2:10" x14ac:dyDescent="0.35">
      <c r="B28" s="19"/>
      <c r="C28" s="87" t="s">
        <v>14</v>
      </c>
      <c r="D28" s="88">
        <f>SUM(D21:D27)</f>
        <v>0</v>
      </c>
      <c r="E28" s="88">
        <f t="shared" ref="E28:H28" si="5">SUM(E21:E27)</f>
        <v>0</v>
      </c>
      <c r="F28" s="88">
        <f t="shared" si="5"/>
        <v>0</v>
      </c>
      <c r="G28" s="88">
        <f t="shared" si="5"/>
        <v>0</v>
      </c>
      <c r="H28" s="88">
        <f t="shared" si="5"/>
        <v>0</v>
      </c>
      <c r="I28" s="85"/>
      <c r="J28" s="88">
        <f>SUM(D28:H28)</f>
        <v>0</v>
      </c>
    </row>
    <row r="29" spans="2:10" x14ac:dyDescent="0.35">
      <c r="B29" s="19"/>
      <c r="C29" s="89" t="s">
        <v>34</v>
      </c>
      <c r="D29" s="83"/>
      <c r="E29" s="89"/>
      <c r="F29" s="89"/>
      <c r="G29" s="89"/>
      <c r="H29" s="89"/>
      <c r="I29" s="85"/>
      <c r="J29" s="83" t="s">
        <v>20</v>
      </c>
    </row>
    <row r="30" spans="2:10" x14ac:dyDescent="0.35">
      <c r="B30" s="19"/>
      <c r="C30" s="82"/>
      <c r="D30" s="83"/>
      <c r="E30" s="93"/>
      <c r="F30" s="93"/>
      <c r="G30" s="93"/>
      <c r="H30" s="93"/>
      <c r="I30" s="85"/>
      <c r="J30" s="83">
        <f>SUM(D30:H30)</f>
        <v>0</v>
      </c>
    </row>
    <row r="31" spans="2:10" x14ac:dyDescent="0.35">
      <c r="B31" s="19" t="s">
        <v>35</v>
      </c>
      <c r="C31" s="90" t="s">
        <v>35</v>
      </c>
      <c r="D31" s="90" t="s">
        <v>31</v>
      </c>
      <c r="E31" s="89"/>
      <c r="F31" s="89"/>
      <c r="G31" s="89"/>
      <c r="H31" s="89"/>
      <c r="I31" s="85"/>
      <c r="J31" s="83">
        <f t="shared" ref="J31:J51" si="6">SUM(D31:H31)</f>
        <v>0</v>
      </c>
    </row>
    <row r="32" spans="2:10" x14ac:dyDescent="0.35">
      <c r="B32" s="19"/>
      <c r="C32" s="87" t="s">
        <v>15</v>
      </c>
      <c r="D32" s="94">
        <f>SUM(D30:D31)</f>
        <v>0</v>
      </c>
      <c r="E32" s="94">
        <f t="shared" ref="E32:H32" si="7">SUM(E30:E31)</f>
        <v>0</v>
      </c>
      <c r="F32" s="94">
        <f t="shared" si="7"/>
        <v>0</v>
      </c>
      <c r="G32" s="94">
        <f t="shared" si="7"/>
        <v>0</v>
      </c>
      <c r="H32" s="94">
        <f t="shared" si="7"/>
        <v>0</v>
      </c>
      <c r="I32" s="85"/>
      <c r="J32" s="88">
        <f t="shared" si="6"/>
        <v>0</v>
      </c>
    </row>
    <row r="33" spans="2:10" x14ac:dyDescent="0.35">
      <c r="B33" s="19"/>
      <c r="C33" s="89" t="s">
        <v>36</v>
      </c>
      <c r="D33" s="90" t="s">
        <v>31</v>
      </c>
      <c r="E33" s="89"/>
      <c r="F33" s="89"/>
      <c r="G33" s="89"/>
      <c r="H33" s="89"/>
      <c r="I33" s="85"/>
      <c r="J33" s="83"/>
    </row>
    <row r="34" spans="2:10" x14ac:dyDescent="0.35">
      <c r="B34" s="19"/>
      <c r="C34" s="82"/>
      <c r="D34" s="83"/>
      <c r="E34" s="83"/>
      <c r="F34" s="83"/>
      <c r="G34" s="83"/>
      <c r="H34" s="83"/>
      <c r="I34" s="84">
        <v>5000</v>
      </c>
      <c r="J34" s="83">
        <f t="shared" si="6"/>
        <v>0</v>
      </c>
    </row>
    <row r="35" spans="2:10" x14ac:dyDescent="0.35">
      <c r="B35" s="19"/>
      <c r="C35" s="82"/>
      <c r="D35" s="83"/>
      <c r="E35" s="83"/>
      <c r="F35" s="83"/>
      <c r="G35" s="83"/>
      <c r="H35" s="86"/>
      <c r="I35" s="85"/>
      <c r="J35" s="83">
        <f t="shared" si="6"/>
        <v>0</v>
      </c>
    </row>
    <row r="36" spans="2:10" x14ac:dyDescent="0.35">
      <c r="B36" s="19"/>
      <c r="C36" s="87" t="s">
        <v>16</v>
      </c>
      <c r="D36" s="88">
        <f>SUM(D34:D35)</f>
        <v>0</v>
      </c>
      <c r="E36" s="88">
        <f t="shared" ref="E36:H36" si="8">SUM(E34:E35)</f>
        <v>0</v>
      </c>
      <c r="F36" s="88">
        <f t="shared" si="8"/>
        <v>0</v>
      </c>
      <c r="G36" s="88">
        <f t="shared" si="8"/>
        <v>0</v>
      </c>
      <c r="H36" s="88">
        <f t="shared" si="8"/>
        <v>0</v>
      </c>
      <c r="I36" s="85"/>
      <c r="J36" s="88">
        <f t="shared" si="6"/>
        <v>0</v>
      </c>
    </row>
    <row r="37" spans="2:10" x14ac:dyDescent="0.35">
      <c r="B37" s="19"/>
      <c r="C37" s="89" t="s">
        <v>38</v>
      </c>
      <c r="D37" s="90" t="s">
        <v>31</v>
      </c>
      <c r="E37" s="89"/>
      <c r="F37" s="89"/>
      <c r="G37" s="89"/>
      <c r="H37" s="89"/>
      <c r="I37" s="85"/>
      <c r="J37" s="83"/>
    </row>
    <row r="38" spans="2:10" x14ac:dyDescent="0.35">
      <c r="B38" s="19"/>
      <c r="C38" s="97" t="s">
        <v>58</v>
      </c>
      <c r="D38" s="98">
        <v>235000</v>
      </c>
      <c r="E38" s="98">
        <v>500000</v>
      </c>
      <c r="F38" s="98">
        <v>500000</v>
      </c>
      <c r="G38" s="98">
        <v>500000</v>
      </c>
      <c r="H38" s="81">
        <v>50000</v>
      </c>
      <c r="I38" s="102">
        <v>5106000</v>
      </c>
      <c r="J38" s="81">
        <f t="shared" si="6"/>
        <v>1785000</v>
      </c>
    </row>
    <row r="39" spans="2:10" x14ac:dyDescent="0.35">
      <c r="B39" s="19"/>
      <c r="C39" s="97" t="s">
        <v>59</v>
      </c>
      <c r="D39" s="98"/>
      <c r="E39" s="98">
        <v>2000000</v>
      </c>
      <c r="F39" s="98">
        <v>2000000</v>
      </c>
      <c r="G39" s="98">
        <v>375000</v>
      </c>
      <c r="H39" s="98"/>
      <c r="I39" s="99">
        <v>22500000</v>
      </c>
      <c r="J39" s="98">
        <f t="shared" si="6"/>
        <v>4375000</v>
      </c>
    </row>
    <row r="40" spans="2:10" x14ac:dyDescent="0.35">
      <c r="B40" s="19"/>
      <c r="C40" s="82"/>
      <c r="D40" s="83"/>
      <c r="E40" s="83"/>
      <c r="F40" s="83"/>
      <c r="G40" s="83"/>
      <c r="H40" s="83"/>
      <c r="I40" s="84">
        <v>75000000</v>
      </c>
      <c r="J40" s="83">
        <f t="shared" si="6"/>
        <v>0</v>
      </c>
    </row>
    <row r="41" spans="2:10" x14ac:dyDescent="0.35">
      <c r="B41" s="19"/>
      <c r="C41" s="82"/>
      <c r="D41" s="83"/>
      <c r="E41" s="86"/>
      <c r="F41" s="86"/>
      <c r="G41" s="86"/>
      <c r="H41" s="86"/>
      <c r="I41" s="85"/>
      <c r="J41" s="83">
        <f t="shared" si="6"/>
        <v>0</v>
      </c>
    </row>
    <row r="42" spans="2:10" x14ac:dyDescent="0.35">
      <c r="B42" s="19"/>
      <c r="C42" s="87" t="s">
        <v>17</v>
      </c>
      <c r="D42" s="88">
        <f>SUM(D38:D41)</f>
        <v>235000</v>
      </c>
      <c r="E42" s="88">
        <f t="shared" ref="E42:H42" si="9">SUM(E38:E41)</f>
        <v>2500000</v>
      </c>
      <c r="F42" s="88">
        <f t="shared" si="9"/>
        <v>2500000</v>
      </c>
      <c r="G42" s="88">
        <f t="shared" si="9"/>
        <v>875000</v>
      </c>
      <c r="H42" s="88">
        <f t="shared" si="9"/>
        <v>50000</v>
      </c>
      <c r="I42" s="85"/>
      <c r="J42" s="88">
        <f t="shared" si="6"/>
        <v>6160000</v>
      </c>
    </row>
    <row r="43" spans="2:10" x14ac:dyDescent="0.35">
      <c r="B43" s="19"/>
      <c r="C43" s="89" t="s">
        <v>39</v>
      </c>
      <c r="D43" s="90" t="s">
        <v>31</v>
      </c>
      <c r="E43" s="89"/>
      <c r="F43" s="89"/>
      <c r="G43" s="89"/>
      <c r="H43" s="89"/>
      <c r="I43" s="85"/>
      <c r="J43" s="83"/>
    </row>
    <row r="44" spans="2:10" x14ac:dyDescent="0.35">
      <c r="B44" s="19"/>
      <c r="C44" s="85"/>
      <c r="D44" s="83"/>
      <c r="E44" s="83"/>
      <c r="F44" s="83"/>
      <c r="G44" s="83"/>
      <c r="H44" s="83"/>
      <c r="I44" s="84">
        <v>375000</v>
      </c>
      <c r="J44" s="83">
        <f t="shared" si="6"/>
        <v>0</v>
      </c>
    </row>
    <row r="45" spans="2:10" x14ac:dyDescent="0.35">
      <c r="B45" s="19"/>
      <c r="C45" s="82"/>
      <c r="D45" s="83"/>
      <c r="E45" s="83"/>
      <c r="F45" s="83"/>
      <c r="G45" s="83"/>
      <c r="H45" s="83"/>
      <c r="I45" s="84">
        <v>781250</v>
      </c>
      <c r="J45" s="83">
        <f t="shared" si="6"/>
        <v>0</v>
      </c>
    </row>
    <row r="46" spans="2:10" x14ac:dyDescent="0.35">
      <c r="B46" s="19"/>
      <c r="C46" s="82"/>
      <c r="D46" s="83"/>
      <c r="E46" s="83"/>
      <c r="F46" s="83"/>
      <c r="G46" s="83"/>
      <c r="H46" s="83"/>
      <c r="I46" s="84">
        <v>2083335</v>
      </c>
      <c r="J46" s="83">
        <f t="shared" si="6"/>
        <v>0</v>
      </c>
    </row>
    <row r="47" spans="2:10" x14ac:dyDescent="0.35">
      <c r="B47" s="19"/>
      <c r="C47" s="82"/>
      <c r="D47" s="83"/>
      <c r="E47" s="86"/>
      <c r="F47" s="86"/>
      <c r="G47" s="86"/>
      <c r="H47" s="86"/>
      <c r="I47" s="85"/>
      <c r="J47" s="83">
        <f t="shared" si="6"/>
        <v>0</v>
      </c>
    </row>
    <row r="48" spans="2:10" x14ac:dyDescent="0.35">
      <c r="B48" s="19"/>
      <c r="C48" s="82"/>
      <c r="D48" s="83"/>
      <c r="E48" s="86"/>
      <c r="F48" s="86"/>
      <c r="G48" s="86"/>
      <c r="H48" s="86"/>
      <c r="I48" s="85"/>
      <c r="J48" s="83">
        <f t="shared" si="6"/>
        <v>0</v>
      </c>
    </row>
    <row r="49" spans="2:11" x14ac:dyDescent="0.35">
      <c r="B49" s="19"/>
      <c r="C49" s="89"/>
      <c r="D49" s="83"/>
      <c r="E49" s="86"/>
      <c r="F49" s="86"/>
      <c r="G49" s="86"/>
      <c r="H49" s="86"/>
      <c r="I49" s="85"/>
      <c r="J49" s="83">
        <f t="shared" si="6"/>
        <v>0</v>
      </c>
    </row>
    <row r="50" spans="2:11" x14ac:dyDescent="0.35">
      <c r="B50" s="20"/>
      <c r="C50" s="87" t="s">
        <v>18</v>
      </c>
      <c r="D50" s="88">
        <f>SUM(D44:D49)</f>
        <v>0</v>
      </c>
      <c r="E50" s="88">
        <f t="shared" ref="E50:H50" si="10">SUM(E44:E49)</f>
        <v>0</v>
      </c>
      <c r="F50" s="88">
        <f t="shared" si="10"/>
        <v>0</v>
      </c>
      <c r="G50" s="88">
        <f t="shared" si="10"/>
        <v>0</v>
      </c>
      <c r="H50" s="88">
        <f t="shared" si="10"/>
        <v>0</v>
      </c>
      <c r="I50" s="85"/>
      <c r="J50" s="88">
        <f t="shared" si="6"/>
        <v>0</v>
      </c>
    </row>
    <row r="51" spans="2:11" x14ac:dyDescent="0.35">
      <c r="B51" s="20"/>
      <c r="C51" s="87" t="s">
        <v>19</v>
      </c>
      <c r="D51" s="88">
        <f>SUM(D50,D42,D36,D32,D28,D17,D12)</f>
        <v>935000</v>
      </c>
      <c r="E51" s="88">
        <f t="shared" ref="E51:H51" si="11">SUM(E50,E42,E36,E32,E28,E17,E12)</f>
        <v>3550000</v>
      </c>
      <c r="F51" s="88">
        <f t="shared" si="11"/>
        <v>3500000</v>
      </c>
      <c r="G51" s="88">
        <f t="shared" si="11"/>
        <v>1150000</v>
      </c>
      <c r="H51" s="88">
        <f t="shared" si="11"/>
        <v>100000</v>
      </c>
      <c r="I51" s="85"/>
      <c r="J51" s="88">
        <f t="shared" si="6"/>
        <v>9235000</v>
      </c>
      <c r="K51" s="27"/>
    </row>
    <row r="52" spans="2:11" x14ac:dyDescent="0.35">
      <c r="B52" s="4"/>
      <c r="C52" s="85"/>
      <c r="D52" s="85"/>
      <c r="E52" s="85"/>
      <c r="F52" s="85"/>
      <c r="G52" s="85"/>
      <c r="H52" s="85"/>
      <c r="I52" s="85"/>
      <c r="J52" s="85" t="s">
        <v>20</v>
      </c>
    </row>
    <row r="53" spans="2:11" ht="29" x14ac:dyDescent="0.35">
      <c r="B53" s="56" t="s">
        <v>40</v>
      </c>
      <c r="C53" s="91" t="s">
        <v>40</v>
      </c>
      <c r="D53" s="91"/>
      <c r="E53" s="91"/>
      <c r="F53" s="91"/>
      <c r="G53" s="91"/>
      <c r="H53" s="91"/>
      <c r="I53" s="85"/>
      <c r="J53" s="91" t="s">
        <v>20</v>
      </c>
    </row>
    <row r="54" spans="2:11" x14ac:dyDescent="0.35">
      <c r="B54" s="19"/>
      <c r="C54" s="82" t="s">
        <v>60</v>
      </c>
      <c r="D54" s="83"/>
      <c r="E54" s="83"/>
      <c r="F54" s="83"/>
      <c r="G54" s="83"/>
      <c r="H54" s="83"/>
      <c r="I54" s="85"/>
      <c r="J54" s="83">
        <f>SUM(D54:H54)</f>
        <v>0</v>
      </c>
    </row>
    <row r="55" spans="2:11" x14ac:dyDescent="0.35">
      <c r="B55" s="19"/>
      <c r="C55" s="82" t="s">
        <v>61</v>
      </c>
      <c r="D55" s="90"/>
      <c r="E55" s="89"/>
      <c r="F55" s="89"/>
      <c r="G55" s="89"/>
      <c r="H55" s="89"/>
      <c r="I55" s="85"/>
      <c r="J55" s="83">
        <f t="shared" ref="J55:J56" si="12">SUM(D55:H55)</f>
        <v>0</v>
      </c>
    </row>
    <row r="56" spans="2:11" x14ac:dyDescent="0.35">
      <c r="B56" s="20"/>
      <c r="C56" s="87" t="s">
        <v>21</v>
      </c>
      <c r="D56" s="88">
        <f>SUM(D54:D55)</f>
        <v>0</v>
      </c>
      <c r="E56" s="88"/>
      <c r="F56" s="88">
        <f>SUM(F54:F55)</f>
        <v>0</v>
      </c>
      <c r="G56" s="88">
        <f>SUM(G54:G55)</f>
        <v>0</v>
      </c>
      <c r="H56" s="88">
        <f>SUM(H54:H55)</f>
        <v>0</v>
      </c>
      <c r="I56" s="85"/>
      <c r="J56" s="88">
        <f t="shared" si="12"/>
        <v>0</v>
      </c>
    </row>
    <row r="57" spans="2:11" x14ac:dyDescent="0.35">
      <c r="B57" s="4"/>
      <c r="C57" s="85"/>
      <c r="D57" s="85"/>
      <c r="E57" s="85"/>
      <c r="F57" s="85"/>
      <c r="G57" s="85"/>
      <c r="H57" s="85"/>
      <c r="I57" s="85"/>
      <c r="J57" s="85" t="s">
        <v>20</v>
      </c>
    </row>
    <row r="58" spans="2:11" s="1" customFormat="1" ht="29" x14ac:dyDescent="0.35">
      <c r="B58" s="17" t="s">
        <v>22</v>
      </c>
      <c r="C58" s="95" t="s">
        <v>35</v>
      </c>
      <c r="D58" s="96">
        <f>SUM(D56,D51)</f>
        <v>935000</v>
      </c>
      <c r="E58" s="96">
        <f t="shared" ref="E58:J58" si="13">SUM(E56,E51)</f>
        <v>3550000</v>
      </c>
      <c r="F58" s="96">
        <f t="shared" si="13"/>
        <v>3500000</v>
      </c>
      <c r="G58" s="96">
        <f t="shared" si="13"/>
        <v>1150000</v>
      </c>
      <c r="H58" s="96">
        <f t="shared" si="13"/>
        <v>100000</v>
      </c>
      <c r="I58" s="85">
        <f>SUM(I56,I51)</f>
        <v>0</v>
      </c>
      <c r="J58" s="96">
        <f t="shared" si="13"/>
        <v>9235000</v>
      </c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  <row r="73" spans="2:2" x14ac:dyDescent="0.35">
      <c r="B73" s="4"/>
    </row>
  </sheetData>
  <pageMargins left="0.7" right="0.7" top="0.75" bottom="0.75" header="0.3" footer="0.3"/>
  <pageSetup scale="86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C967AF-9278-44B9-A9EB-98A60429D4FC}">
  <sheetPr>
    <tabColor theme="9" tint="0.39997558519241921"/>
    <pageSetUpPr fitToPage="1"/>
  </sheetPr>
  <dimension ref="B2:AM72"/>
  <sheetViews>
    <sheetView showGridLines="0" zoomScaleNormal="100" workbookViewId="0">
      <pane xSplit="3" ySplit="6" topLeftCell="D7" activePane="bottomRight" state="frozen"/>
      <selection pane="topRight" activeCell="R20" sqref="R20:W20"/>
      <selection pane="bottomLeft" activeCell="R20" sqref="R20:W20"/>
      <selection pane="bottomRight"/>
    </sheetView>
  </sheetViews>
  <sheetFormatPr defaultColWidth="9.26953125" defaultRowHeight="14.5" x14ac:dyDescent="0.35"/>
  <cols>
    <col min="1" max="1" width="3.26953125" customWidth="1"/>
    <col min="2" max="2" width="11.26953125" customWidth="1"/>
    <col min="3" max="3" width="46.453125" customWidth="1"/>
    <col min="4" max="4" width="13.26953125" style="4" customWidth="1"/>
    <col min="5" max="5" width="13.26953125" style="80" customWidth="1"/>
    <col min="6" max="7" width="13.26953125" customWidth="1"/>
    <col min="8" max="8" width="12.7265625" style="80" customWidth="1"/>
    <col min="9" max="9" width="0.7265625" style="5" customWidth="1"/>
    <col min="10" max="10" width="14.54296875" customWidth="1"/>
    <col min="11" max="11" width="22.81640625" customWidth="1"/>
  </cols>
  <sheetData>
    <row r="2" spans="2:39" ht="23.5" x14ac:dyDescent="0.55000000000000004">
      <c r="B2" s="26" t="s">
        <v>109</v>
      </c>
    </row>
    <row r="3" spans="2:39" x14ac:dyDescent="0.35">
      <c r="B3" s="50" t="s">
        <v>29</v>
      </c>
    </row>
    <row r="4" spans="2:39" x14ac:dyDescent="0.35">
      <c r="B4" s="3"/>
    </row>
    <row r="5" spans="2:39" ht="18.5" x14ac:dyDescent="0.45">
      <c r="B5" s="29" t="s">
        <v>2</v>
      </c>
      <c r="C5" s="30"/>
      <c r="D5" s="30"/>
      <c r="E5" s="30"/>
      <c r="F5" s="30"/>
      <c r="G5" s="30"/>
      <c r="H5" s="30"/>
      <c r="I5" s="30"/>
      <c r="J5" s="31"/>
    </row>
    <row r="6" spans="2:39" x14ac:dyDescent="0.35">
      <c r="B6" s="32" t="s">
        <v>3</v>
      </c>
      <c r="C6" s="32" t="s">
        <v>4</v>
      </c>
      <c r="D6" s="32" t="s">
        <v>5</v>
      </c>
      <c r="E6" s="33" t="s">
        <v>6</v>
      </c>
      <c r="F6" s="33" t="s">
        <v>7</v>
      </c>
      <c r="G6" s="33" t="s">
        <v>8</v>
      </c>
      <c r="H6" s="34" t="s">
        <v>9</v>
      </c>
      <c r="I6" s="35"/>
      <c r="J6" s="36" t="s">
        <v>10</v>
      </c>
    </row>
    <row r="7" spans="2:39" s="3" customFormat="1" x14ac:dyDescent="0.35">
      <c r="B7" s="18" t="s">
        <v>11</v>
      </c>
      <c r="C7" s="119" t="s">
        <v>30</v>
      </c>
      <c r="D7" s="131" t="s">
        <v>31</v>
      </c>
      <c r="E7" s="131" t="s">
        <v>31</v>
      </c>
      <c r="F7" s="131" t="s">
        <v>31</v>
      </c>
      <c r="G7" s="131"/>
      <c r="H7" s="131" t="s">
        <v>31</v>
      </c>
      <c r="I7" s="100"/>
      <c r="J7" s="106" t="s">
        <v>31</v>
      </c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</row>
    <row r="8" spans="2:39" x14ac:dyDescent="0.35">
      <c r="B8" s="19"/>
      <c r="C8" s="120" t="s">
        <v>131</v>
      </c>
      <c r="D8" s="98">
        <v>5000</v>
      </c>
      <c r="E8" s="98">
        <v>20000</v>
      </c>
      <c r="F8" s="98">
        <v>20000</v>
      </c>
      <c r="G8" s="98">
        <v>20000</v>
      </c>
      <c r="H8" s="98">
        <v>20000</v>
      </c>
      <c r="I8" s="99">
        <v>450000</v>
      </c>
      <c r="J8" s="98">
        <f>SUM(D8:H8)</f>
        <v>85000</v>
      </c>
    </row>
    <row r="9" spans="2:39" x14ac:dyDescent="0.35">
      <c r="B9" s="19"/>
      <c r="C9" s="97"/>
      <c r="D9" s="121"/>
      <c r="E9" s="121"/>
      <c r="F9" s="121"/>
      <c r="G9" s="121"/>
      <c r="H9" s="121"/>
      <c r="I9" s="100"/>
      <c r="J9" s="98">
        <f>SUM(D9:H9)</f>
        <v>0</v>
      </c>
    </row>
    <row r="10" spans="2:39" x14ac:dyDescent="0.35">
      <c r="B10" s="19"/>
      <c r="C10" s="118"/>
      <c r="D10" s="98"/>
      <c r="E10" s="101"/>
      <c r="F10" s="101"/>
      <c r="G10" s="101"/>
      <c r="H10" s="101"/>
      <c r="I10" s="100"/>
      <c r="J10" s="98">
        <f>SUM(D10:H10)</f>
        <v>0</v>
      </c>
    </row>
    <row r="11" spans="2:39" x14ac:dyDescent="0.35">
      <c r="B11" s="19"/>
      <c r="C11" s="87" t="s">
        <v>12</v>
      </c>
      <c r="D11" s="88">
        <f t="shared" ref="D11:J11" si="0">SUM(D8:D10)</f>
        <v>5000</v>
      </c>
      <c r="E11" s="88">
        <f t="shared" si="0"/>
        <v>20000</v>
      </c>
      <c r="F11" s="88">
        <f t="shared" si="0"/>
        <v>20000</v>
      </c>
      <c r="G11" s="88">
        <f t="shared" si="0"/>
        <v>20000</v>
      </c>
      <c r="H11" s="88">
        <f t="shared" si="0"/>
        <v>20000</v>
      </c>
      <c r="I11" s="85">
        <f t="shared" si="0"/>
        <v>450000</v>
      </c>
      <c r="J11" s="88">
        <f t="shared" si="0"/>
        <v>85000</v>
      </c>
    </row>
    <row r="12" spans="2:39" x14ac:dyDescent="0.35">
      <c r="B12" s="19"/>
      <c r="C12" s="12" t="s">
        <v>32</v>
      </c>
      <c r="D12" s="11" t="s">
        <v>31</v>
      </c>
      <c r="E12" s="8"/>
      <c r="F12" s="8"/>
      <c r="G12" s="8"/>
      <c r="H12" s="8"/>
      <c r="J12" s="6" t="s">
        <v>31</v>
      </c>
    </row>
    <row r="13" spans="2:39" x14ac:dyDescent="0.35">
      <c r="B13" s="19"/>
      <c r="C13" s="21"/>
      <c r="D13" s="13"/>
      <c r="E13" s="13"/>
      <c r="F13" s="13"/>
      <c r="G13" s="13"/>
      <c r="H13" s="13"/>
      <c r="J13" s="13">
        <f>SUM(D13:H13)</f>
        <v>0</v>
      </c>
    </row>
    <row r="14" spans="2:39" x14ac:dyDescent="0.35">
      <c r="B14" s="19"/>
      <c r="C14" s="21"/>
      <c r="D14" s="13"/>
      <c r="E14" s="13"/>
      <c r="F14" s="13"/>
      <c r="G14" s="13"/>
      <c r="H14" s="13"/>
      <c r="J14" s="13">
        <f>SUM(D14:H14)</f>
        <v>0</v>
      </c>
    </row>
    <row r="15" spans="2:39" x14ac:dyDescent="0.35">
      <c r="B15" s="19"/>
      <c r="C15" s="8"/>
      <c r="D15" s="13"/>
      <c r="E15" s="9"/>
      <c r="F15" s="9"/>
      <c r="G15" s="9"/>
      <c r="H15" s="9"/>
      <c r="J15" s="13">
        <f>SUM(D15:H15)</f>
        <v>0</v>
      </c>
    </row>
    <row r="16" spans="2:39" x14ac:dyDescent="0.35">
      <c r="B16" s="19"/>
      <c r="C16" s="7" t="s">
        <v>13</v>
      </c>
      <c r="D16" s="14">
        <f t="shared" ref="D16:J16" si="1">SUM(D13:D15)</f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5">
        <f t="shared" si="1"/>
        <v>0</v>
      </c>
      <c r="J16" s="14">
        <f t="shared" si="1"/>
        <v>0</v>
      </c>
    </row>
    <row r="17" spans="2:10" x14ac:dyDescent="0.35">
      <c r="B17" s="19"/>
      <c r="C17" s="12" t="s">
        <v>33</v>
      </c>
      <c r="D17" s="11" t="s">
        <v>31</v>
      </c>
      <c r="E17" s="8"/>
      <c r="F17" s="8"/>
      <c r="G17" s="8"/>
      <c r="H17" s="8"/>
      <c r="J17" s="6" t="s">
        <v>31</v>
      </c>
    </row>
    <row r="18" spans="2:10" x14ac:dyDescent="0.35">
      <c r="B18" s="19"/>
      <c r="C18" s="21"/>
      <c r="D18" s="11"/>
      <c r="E18" s="8"/>
      <c r="F18" s="8"/>
      <c r="G18" s="8"/>
      <c r="H18" s="8"/>
      <c r="J18" s="13">
        <f t="shared" ref="J18:J27" si="2">SUM(D18:H18)</f>
        <v>0</v>
      </c>
    </row>
    <row r="19" spans="2:10" x14ac:dyDescent="0.35">
      <c r="B19" s="19"/>
      <c r="C19" s="25"/>
      <c r="D19" s="13"/>
      <c r="E19" s="9"/>
      <c r="F19" s="9"/>
      <c r="G19" s="9"/>
      <c r="H19" s="9"/>
      <c r="J19" s="13">
        <f t="shared" si="2"/>
        <v>0</v>
      </c>
    </row>
    <row r="20" spans="2:10" x14ac:dyDescent="0.35">
      <c r="B20" s="19"/>
      <c r="C20" s="25"/>
      <c r="D20" s="13"/>
      <c r="E20" s="13"/>
      <c r="F20" s="13"/>
      <c r="G20" s="13"/>
      <c r="H20" s="13"/>
      <c r="I20" s="28">
        <v>2000</v>
      </c>
      <c r="J20" s="13">
        <f t="shared" si="2"/>
        <v>0</v>
      </c>
    </row>
    <row r="21" spans="2:10" x14ac:dyDescent="0.35">
      <c r="B21" s="19"/>
      <c r="C21" s="25"/>
      <c r="D21" s="13"/>
      <c r="E21" s="13"/>
      <c r="F21" s="13"/>
      <c r="G21" s="13"/>
      <c r="H21" s="13"/>
      <c r="I21" s="28">
        <v>250</v>
      </c>
      <c r="J21" s="13">
        <f t="shared" si="2"/>
        <v>0</v>
      </c>
    </row>
    <row r="22" spans="2:10" x14ac:dyDescent="0.35">
      <c r="B22" s="19"/>
      <c r="C22" s="21"/>
      <c r="D22" s="13"/>
      <c r="E22" s="13"/>
      <c r="F22" s="13"/>
      <c r="G22" s="13"/>
      <c r="H22" s="13"/>
      <c r="I22" s="28">
        <v>2250</v>
      </c>
      <c r="J22" s="13">
        <f t="shared" si="2"/>
        <v>0</v>
      </c>
    </row>
    <row r="23" spans="2:10" x14ac:dyDescent="0.35">
      <c r="B23" s="19"/>
      <c r="C23" s="25"/>
      <c r="D23" s="13"/>
      <c r="E23" s="13"/>
      <c r="F23" s="13"/>
      <c r="G23" s="13"/>
      <c r="H23" s="13"/>
      <c r="I23" s="28">
        <v>1243</v>
      </c>
      <c r="J23" s="13">
        <f t="shared" si="2"/>
        <v>0</v>
      </c>
    </row>
    <row r="24" spans="2:10" x14ac:dyDescent="0.35">
      <c r="B24" s="19"/>
      <c r="C24" s="25"/>
      <c r="D24" s="13"/>
      <c r="E24" s="13"/>
      <c r="F24" s="13"/>
      <c r="G24" s="13"/>
      <c r="H24" s="13"/>
      <c r="I24" s="28">
        <v>225</v>
      </c>
      <c r="J24" s="13">
        <f t="shared" si="2"/>
        <v>0</v>
      </c>
    </row>
    <row r="25" spans="2:10" x14ac:dyDescent="0.35">
      <c r="B25" s="19"/>
      <c r="C25" s="25"/>
      <c r="D25" s="13"/>
      <c r="E25" s="13"/>
      <c r="F25" s="13"/>
      <c r="G25" s="13"/>
      <c r="H25" s="13"/>
      <c r="I25" s="28">
        <v>400</v>
      </c>
      <c r="J25" s="13">
        <f t="shared" si="2"/>
        <v>0</v>
      </c>
    </row>
    <row r="26" spans="2:10" x14ac:dyDescent="0.35">
      <c r="B26" s="19"/>
      <c r="C26" s="21"/>
      <c r="D26" s="13"/>
      <c r="E26" s="13"/>
      <c r="F26" s="13"/>
      <c r="G26" s="13"/>
      <c r="H26" s="13"/>
      <c r="I26" s="28">
        <v>1638</v>
      </c>
      <c r="J26" s="13">
        <f t="shared" si="2"/>
        <v>0</v>
      </c>
    </row>
    <row r="27" spans="2:10" x14ac:dyDescent="0.35">
      <c r="B27" s="19"/>
      <c r="C27" s="7" t="s">
        <v>14</v>
      </c>
      <c r="D27" s="14">
        <f>SUM(D20:D26)</f>
        <v>0</v>
      </c>
      <c r="E27" s="14">
        <f>SUM(E20:E26)</f>
        <v>0</v>
      </c>
      <c r="F27" s="14">
        <f>SUM(F20:F26)</f>
        <v>0</v>
      </c>
      <c r="G27" s="14">
        <f>SUM(G20:G26)</f>
        <v>0</v>
      </c>
      <c r="H27" s="14">
        <f>SUM(H20:H26)</f>
        <v>0</v>
      </c>
      <c r="J27" s="14">
        <f t="shared" si="2"/>
        <v>0</v>
      </c>
    </row>
    <row r="28" spans="2:10" x14ac:dyDescent="0.35">
      <c r="B28" s="19"/>
      <c r="C28" s="12" t="s">
        <v>34</v>
      </c>
      <c r="D28" s="13"/>
      <c r="E28" s="8"/>
      <c r="F28" s="8"/>
      <c r="G28" s="8"/>
      <c r="H28" s="8"/>
      <c r="J28" s="13" t="s">
        <v>20</v>
      </c>
    </row>
    <row r="29" spans="2:10" x14ac:dyDescent="0.35">
      <c r="B29" s="19"/>
      <c r="C29" s="21"/>
      <c r="D29" s="13"/>
      <c r="E29" s="8"/>
      <c r="F29" s="8"/>
      <c r="G29" s="8"/>
      <c r="H29" s="8"/>
      <c r="J29" s="13">
        <f>SUM(D29:H29)</f>
        <v>0</v>
      </c>
    </row>
    <row r="30" spans="2:10" x14ac:dyDescent="0.35">
      <c r="B30" s="19" t="s">
        <v>35</v>
      </c>
      <c r="C30" s="24" t="s">
        <v>35</v>
      </c>
      <c r="D30" s="11" t="s">
        <v>31</v>
      </c>
      <c r="E30" s="8"/>
      <c r="F30" s="8"/>
      <c r="G30" s="8"/>
      <c r="H30" s="8"/>
      <c r="J30" s="13">
        <f>SUM(D30:H30)</f>
        <v>0</v>
      </c>
    </row>
    <row r="31" spans="2:10" x14ac:dyDescent="0.35">
      <c r="B31" s="19"/>
      <c r="C31" s="7" t="s">
        <v>15</v>
      </c>
      <c r="D31" s="10">
        <f>SUM(D29:D30)</f>
        <v>0</v>
      </c>
      <c r="E31" s="10">
        <f>SUM(E29:E30)</f>
        <v>0</v>
      </c>
      <c r="F31" s="10">
        <f>SUM(F29:F30)</f>
        <v>0</v>
      </c>
      <c r="G31" s="10">
        <f>SUM(G29:G30)</f>
        <v>0</v>
      </c>
      <c r="H31" s="10">
        <f>SUM(H29:H30)</f>
        <v>0</v>
      </c>
      <c r="J31" s="14">
        <f>SUM(D31:H31)</f>
        <v>0</v>
      </c>
    </row>
    <row r="32" spans="2:10" x14ac:dyDescent="0.35">
      <c r="B32" s="19"/>
      <c r="C32" s="12" t="s">
        <v>36</v>
      </c>
      <c r="D32" s="11" t="s">
        <v>31</v>
      </c>
      <c r="E32" s="8"/>
      <c r="F32" s="8"/>
      <c r="G32" s="8"/>
      <c r="H32" s="8"/>
      <c r="J32" s="13"/>
    </row>
    <row r="33" spans="2:10" x14ac:dyDescent="0.35">
      <c r="B33" s="19"/>
      <c r="C33" s="21"/>
      <c r="D33" s="13"/>
      <c r="E33" s="13"/>
      <c r="F33" s="13"/>
      <c r="G33" s="13"/>
      <c r="H33" s="13"/>
      <c r="I33" s="28">
        <v>5000</v>
      </c>
      <c r="J33" s="13">
        <f>SUM(D33:H33)</f>
        <v>0</v>
      </c>
    </row>
    <row r="34" spans="2:10" x14ac:dyDescent="0.35">
      <c r="B34" s="19"/>
      <c r="C34" s="21"/>
      <c r="D34" s="13"/>
      <c r="E34" s="9"/>
      <c r="F34" s="9"/>
      <c r="G34" s="9"/>
      <c r="H34" s="9"/>
      <c r="J34" s="13">
        <f>SUM(D34:H34)</f>
        <v>0</v>
      </c>
    </row>
    <row r="35" spans="2:10" x14ac:dyDescent="0.35">
      <c r="B35" s="19"/>
      <c r="C35" s="7" t="s">
        <v>16</v>
      </c>
      <c r="D35" s="14">
        <f>SUM(D33:D34)</f>
        <v>0</v>
      </c>
      <c r="E35" s="14">
        <f>SUM(E33:E34)</f>
        <v>0</v>
      </c>
      <c r="F35" s="14">
        <f>SUM(F33:F34)</f>
        <v>0</v>
      </c>
      <c r="G35" s="14">
        <f>SUM(G33:G34)</f>
        <v>0</v>
      </c>
      <c r="H35" s="14">
        <f>SUM(H33:H34)</f>
        <v>0</v>
      </c>
      <c r="J35" s="14">
        <f>SUM(D35:H35)</f>
        <v>0</v>
      </c>
    </row>
    <row r="36" spans="2:10" x14ac:dyDescent="0.35">
      <c r="B36" s="19"/>
      <c r="C36" s="89" t="s">
        <v>38</v>
      </c>
      <c r="D36" s="104" t="s">
        <v>31</v>
      </c>
      <c r="E36" s="105"/>
      <c r="F36" s="105"/>
      <c r="G36" s="105"/>
      <c r="H36" s="105"/>
      <c r="I36" s="100"/>
      <c r="J36" s="98"/>
    </row>
    <row r="37" spans="2:10" x14ac:dyDescent="0.35">
      <c r="B37" s="19"/>
      <c r="C37" s="97" t="s">
        <v>62</v>
      </c>
      <c r="D37" s="98"/>
      <c r="E37" s="98">
        <v>100000</v>
      </c>
      <c r="F37" s="98">
        <v>100000</v>
      </c>
      <c r="G37" s="98">
        <v>100000</v>
      </c>
      <c r="H37" s="98">
        <v>100000</v>
      </c>
      <c r="I37" s="99">
        <v>5106000</v>
      </c>
      <c r="J37" s="98">
        <f>SUM(D37:H37)</f>
        <v>400000</v>
      </c>
    </row>
    <row r="38" spans="2:10" x14ac:dyDescent="0.35">
      <c r="B38" s="19"/>
      <c r="C38" s="97"/>
      <c r="D38" s="98"/>
      <c r="E38" s="98"/>
      <c r="F38" s="98"/>
      <c r="G38" s="98"/>
      <c r="H38" s="98"/>
      <c r="I38" s="99">
        <v>22500000</v>
      </c>
      <c r="J38" s="98">
        <f>SUM(D38:H38)</f>
        <v>0</v>
      </c>
    </row>
    <row r="39" spans="2:10" x14ac:dyDescent="0.35">
      <c r="B39" s="19"/>
      <c r="C39" s="97"/>
      <c r="D39" s="98"/>
      <c r="E39" s="98"/>
      <c r="F39" s="98"/>
      <c r="G39" s="98"/>
      <c r="H39" s="98"/>
      <c r="I39" s="99">
        <v>75000000</v>
      </c>
      <c r="J39" s="98">
        <f>SUM(D39:H39)</f>
        <v>0</v>
      </c>
    </row>
    <row r="40" spans="2:10" x14ac:dyDescent="0.35">
      <c r="B40" s="19"/>
      <c r="C40" s="97"/>
      <c r="D40" s="98"/>
      <c r="E40" s="101"/>
      <c r="F40" s="101"/>
      <c r="G40" s="101"/>
      <c r="H40" s="101"/>
      <c r="I40" s="100"/>
      <c r="J40" s="98">
        <f>SUM(D40:H40)</f>
        <v>0</v>
      </c>
    </row>
    <row r="41" spans="2:10" x14ac:dyDescent="0.35">
      <c r="B41" s="19"/>
      <c r="C41" s="87" t="s">
        <v>17</v>
      </c>
      <c r="D41" s="88">
        <f>SUM(D37:D40)</f>
        <v>0</v>
      </c>
      <c r="E41" s="88">
        <f>SUM(E37:E40)</f>
        <v>100000</v>
      </c>
      <c r="F41" s="88">
        <f>SUM(F37:F40)</f>
        <v>100000</v>
      </c>
      <c r="G41" s="88">
        <f>SUM(G37:G40)</f>
        <v>100000</v>
      </c>
      <c r="H41" s="88">
        <f>SUM(H37:H40)</f>
        <v>100000</v>
      </c>
      <c r="I41" s="85"/>
      <c r="J41" s="88">
        <f>SUM(D41:H41)</f>
        <v>400000</v>
      </c>
    </row>
    <row r="42" spans="2:10" x14ac:dyDescent="0.35">
      <c r="B42" s="19"/>
      <c r="C42" s="12" t="s">
        <v>39</v>
      </c>
      <c r="D42" s="11" t="s">
        <v>31</v>
      </c>
      <c r="E42" s="8"/>
      <c r="F42" s="8"/>
      <c r="G42" s="8"/>
      <c r="H42" s="8"/>
      <c r="J42" s="13"/>
    </row>
    <row r="43" spans="2:10" x14ac:dyDescent="0.35">
      <c r="B43" s="19"/>
      <c r="C43" s="97" t="s">
        <v>63</v>
      </c>
      <c r="D43" s="98"/>
      <c r="E43" s="98">
        <v>50000</v>
      </c>
      <c r="F43" s="98"/>
      <c r="G43" s="98"/>
      <c r="H43" s="98"/>
      <c r="I43" s="99">
        <v>375000</v>
      </c>
      <c r="J43" s="98">
        <f t="shared" ref="J43:J50" si="3">SUM(D43:H43)</f>
        <v>50000</v>
      </c>
    </row>
    <row r="44" spans="2:10" x14ac:dyDescent="0.35">
      <c r="B44" s="19"/>
      <c r="C44" s="21"/>
      <c r="D44" s="13"/>
      <c r="E44" s="13"/>
      <c r="F44" s="13"/>
      <c r="G44" s="13"/>
      <c r="H44" s="13"/>
      <c r="I44" s="28">
        <v>781250</v>
      </c>
      <c r="J44" s="13">
        <f t="shared" si="3"/>
        <v>0</v>
      </c>
    </row>
    <row r="45" spans="2:10" x14ac:dyDescent="0.35">
      <c r="B45" s="19"/>
      <c r="C45" s="21"/>
      <c r="D45" s="13"/>
      <c r="E45" s="13"/>
      <c r="F45" s="13"/>
      <c r="G45" s="13"/>
      <c r="H45" s="13"/>
      <c r="I45" s="28">
        <v>2083335</v>
      </c>
      <c r="J45" s="13">
        <f t="shared" si="3"/>
        <v>0</v>
      </c>
    </row>
    <row r="46" spans="2:10" x14ac:dyDescent="0.35">
      <c r="B46" s="19"/>
      <c r="C46" s="21"/>
      <c r="D46" s="13"/>
      <c r="E46" s="9"/>
      <c r="F46" s="9"/>
      <c r="G46" s="9"/>
      <c r="H46" s="9"/>
      <c r="J46" s="13">
        <f t="shared" si="3"/>
        <v>0</v>
      </c>
    </row>
    <row r="47" spans="2:10" x14ac:dyDescent="0.35">
      <c r="B47" s="19"/>
      <c r="C47" s="21"/>
      <c r="D47" s="13"/>
      <c r="E47" s="9"/>
      <c r="F47" s="9"/>
      <c r="G47" s="9"/>
      <c r="H47" s="9"/>
      <c r="J47" s="13">
        <f t="shared" si="3"/>
        <v>0</v>
      </c>
    </row>
    <row r="48" spans="2:10" x14ac:dyDescent="0.35">
      <c r="B48" s="19"/>
      <c r="C48" s="8"/>
      <c r="D48" s="13"/>
      <c r="E48" s="9"/>
      <c r="F48" s="9"/>
      <c r="G48" s="9"/>
      <c r="H48" s="9"/>
      <c r="J48" s="13">
        <f t="shared" si="3"/>
        <v>0</v>
      </c>
    </row>
    <row r="49" spans="2:11" x14ac:dyDescent="0.35">
      <c r="B49" s="20"/>
      <c r="C49" s="87" t="s">
        <v>18</v>
      </c>
      <c r="D49" s="88">
        <f>SUM(D43:D48)</f>
        <v>0</v>
      </c>
      <c r="E49" s="88">
        <f>SUM(E43:E48)</f>
        <v>50000</v>
      </c>
      <c r="F49" s="88">
        <f>SUM(F43:F48)</f>
        <v>0</v>
      </c>
      <c r="G49" s="88">
        <f>SUM(G43:G48)</f>
        <v>0</v>
      </c>
      <c r="H49" s="88">
        <f>SUM(H43:H48)</f>
        <v>0</v>
      </c>
      <c r="I49" s="85"/>
      <c r="J49" s="88">
        <f t="shared" si="3"/>
        <v>50000</v>
      </c>
    </row>
    <row r="50" spans="2:11" x14ac:dyDescent="0.35">
      <c r="B50" s="20"/>
      <c r="C50" s="116" t="s">
        <v>19</v>
      </c>
      <c r="D50" s="103">
        <f>SUM(D49,D41,D35,D31,D27,D16,D11)</f>
        <v>5000</v>
      </c>
      <c r="E50" s="103">
        <f>SUM(E49,E41,E35,E31,E27,E16,E11)</f>
        <v>170000</v>
      </c>
      <c r="F50" s="103">
        <f>SUM(F49,F41,F35,F31,F27,F16,F11)</f>
        <v>120000</v>
      </c>
      <c r="G50" s="103">
        <f>SUM(G49,G41,G35,G31,G27,G16,G11)</f>
        <v>120000</v>
      </c>
      <c r="H50" s="103">
        <f>SUM(H49,H41,H35,H31,H27,H16,H11)</f>
        <v>120000</v>
      </c>
      <c r="I50" s="100"/>
      <c r="J50" s="103">
        <f t="shared" si="3"/>
        <v>535000</v>
      </c>
      <c r="K50" s="27"/>
    </row>
    <row r="51" spans="2:11" x14ac:dyDescent="0.35">
      <c r="B51" s="4"/>
      <c r="D51"/>
      <c r="E51"/>
      <c r="H51"/>
      <c r="I51"/>
      <c r="J51" t="s">
        <v>20</v>
      </c>
    </row>
    <row r="52" spans="2:11" ht="29" x14ac:dyDescent="0.35">
      <c r="B52" s="56" t="s">
        <v>40</v>
      </c>
      <c r="C52" s="15" t="s">
        <v>40</v>
      </c>
      <c r="D52" s="16"/>
      <c r="E52" s="16"/>
      <c r="F52" s="16"/>
      <c r="G52" s="16"/>
      <c r="H52" s="16"/>
      <c r="I52"/>
      <c r="J52" s="16" t="s">
        <v>20</v>
      </c>
    </row>
    <row r="53" spans="2:11" x14ac:dyDescent="0.35">
      <c r="B53" s="19"/>
      <c r="C53" s="21"/>
      <c r="D53" s="11"/>
      <c r="E53" s="8"/>
      <c r="F53" s="8"/>
      <c r="G53" s="8"/>
      <c r="H53" s="8"/>
      <c r="J53" s="13">
        <f>SUM(D53:H53)</f>
        <v>0</v>
      </c>
    </row>
    <row r="54" spans="2:11" x14ac:dyDescent="0.35">
      <c r="B54" s="19"/>
      <c r="C54" s="21"/>
      <c r="D54" s="11"/>
      <c r="E54" s="8"/>
      <c r="F54" s="8"/>
      <c r="G54" s="8"/>
      <c r="H54" s="8"/>
      <c r="J54" s="13">
        <f>SUM(D54:H54)</f>
        <v>0</v>
      </c>
    </row>
    <row r="55" spans="2:11" x14ac:dyDescent="0.35">
      <c r="B55" s="20"/>
      <c r="C55" s="7" t="s">
        <v>21</v>
      </c>
      <c r="D55" s="14">
        <f>SUM(D53:D54)</f>
        <v>0</v>
      </c>
      <c r="E55" s="14">
        <f>SUM(E53:E54)</f>
        <v>0</v>
      </c>
      <c r="F55" s="14">
        <f>SUM(F53:F54)</f>
        <v>0</v>
      </c>
      <c r="G55" s="14">
        <f>SUM(G53:G54)</f>
        <v>0</v>
      </c>
      <c r="H55" s="14">
        <f>SUM(H53:H54)</f>
        <v>0</v>
      </c>
      <c r="J55" s="14">
        <f>SUM(D55:H55)</f>
        <v>0</v>
      </c>
    </row>
    <row r="56" spans="2:11" x14ac:dyDescent="0.35">
      <c r="B56" s="4"/>
      <c r="D56"/>
      <c r="E56"/>
      <c r="H56"/>
      <c r="I56"/>
      <c r="J56" t="s">
        <v>20</v>
      </c>
    </row>
    <row r="57" spans="2:11" s="1" customFormat="1" ht="29" x14ac:dyDescent="0.35">
      <c r="B57" s="17" t="s">
        <v>22</v>
      </c>
      <c r="C57" s="95"/>
      <c r="D57" s="96">
        <f t="shared" ref="D57:J57" si="4">SUM(D55,D50)</f>
        <v>5000</v>
      </c>
      <c r="E57" s="96">
        <f t="shared" si="4"/>
        <v>170000</v>
      </c>
      <c r="F57" s="96">
        <f t="shared" si="4"/>
        <v>120000</v>
      </c>
      <c r="G57" s="96">
        <f t="shared" si="4"/>
        <v>120000</v>
      </c>
      <c r="H57" s="96">
        <f t="shared" si="4"/>
        <v>120000</v>
      </c>
      <c r="I57" s="100">
        <f t="shared" si="4"/>
        <v>0</v>
      </c>
      <c r="J57" s="96">
        <f t="shared" si="4"/>
        <v>535000</v>
      </c>
    </row>
    <row r="58" spans="2:11" x14ac:dyDescent="0.35">
      <c r="B58" s="4"/>
    </row>
    <row r="59" spans="2:11" x14ac:dyDescent="0.35">
      <c r="B59" s="4"/>
    </row>
    <row r="60" spans="2:11" x14ac:dyDescent="0.35">
      <c r="B60" s="4"/>
    </row>
    <row r="61" spans="2:11" x14ac:dyDescent="0.35">
      <c r="B61" s="4"/>
    </row>
    <row r="62" spans="2:11" x14ac:dyDescent="0.35">
      <c r="B62" s="4"/>
    </row>
    <row r="63" spans="2:11" x14ac:dyDescent="0.35">
      <c r="B63" s="4"/>
    </row>
    <row r="64" spans="2:11" x14ac:dyDescent="0.35">
      <c r="B64" s="4"/>
    </row>
    <row r="65" spans="2:2" x14ac:dyDescent="0.35">
      <c r="B65" s="4"/>
    </row>
    <row r="66" spans="2:2" x14ac:dyDescent="0.35">
      <c r="B66" s="4"/>
    </row>
    <row r="67" spans="2:2" x14ac:dyDescent="0.35">
      <c r="B67" s="4"/>
    </row>
    <row r="68" spans="2:2" x14ac:dyDescent="0.35">
      <c r="B68" s="4"/>
    </row>
    <row r="69" spans="2:2" x14ac:dyDescent="0.35">
      <c r="B69" s="4"/>
    </row>
    <row r="70" spans="2:2" x14ac:dyDescent="0.35">
      <c r="B70" s="4"/>
    </row>
    <row r="71" spans="2:2" x14ac:dyDescent="0.35">
      <c r="B71" s="4"/>
    </row>
    <row r="72" spans="2:2" x14ac:dyDescent="0.35">
      <c r="B72" s="4"/>
    </row>
  </sheetData>
  <pageMargins left="0.7" right="0.7" top="0.75" bottom="0.75" header="0.3" footer="0.3"/>
  <pageSetup scale="86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147a0bc-e26f-44a9-8c16-82893c254734">
      <UserInfo>
        <DisplayName>Roberta Fogerty</DisplayName>
        <AccountId>204</AccountId>
        <AccountType/>
      </UserInfo>
      <UserInfo>
        <DisplayName>Isaac Lim</DisplayName>
        <AccountId>313</AccountId>
        <AccountType/>
      </UserInfo>
      <UserInfo>
        <DisplayName>SE:W:CAR:MP</DisplayName>
        <AccountId>223</AccountId>
        <AccountType/>
      </UserInfo>
      <UserInfo>
        <DisplayName>Linton Johnson</DisplayName>
        <AccountId>314</AccountId>
        <AccountType/>
      </UserInfo>
      <UserInfo>
        <DisplayName>Angela Mueller</DisplayName>
        <AccountId>222</AccountId>
        <AccountType/>
      </UserInfo>
      <UserInfo>
        <DisplayName>TDI</DisplayName>
        <AccountId>804</AccountId>
        <AccountType/>
      </UserInfo>
      <UserInfo>
        <DisplayName>Joel Fragata</DisplayName>
        <AccountId>50</AccountId>
        <AccountType/>
      </UserInfo>
      <UserInfo>
        <DisplayName>Scott Fanning</DisplayName>
        <AccountId>248</AccountId>
        <AccountType/>
      </UserInfo>
      <UserInfo>
        <DisplayName>anoelt</DisplayName>
        <AccountId>1114</AccountId>
        <AccountType/>
      </UserInfo>
      <UserInfo>
        <DisplayName>Vivien Wong - Procurement Support</DisplayName>
        <AccountId>221</AccountId>
        <AccountType/>
      </UserInfo>
      <UserInfo>
        <DisplayName>tlong</DisplayName>
        <AccountId>62</AccountId>
        <AccountType/>
      </UserInfo>
      <UserInfo>
        <DisplayName>Nikhila Pai</DisplayName>
        <AccountId>16</AccountId>
        <AccountType/>
      </UserInfo>
      <UserInfo>
        <DisplayName>Alan Chew</DisplayName>
        <AccountId>17</AccountId>
        <AccountType/>
      </UserInfo>
      <UserInfo>
        <DisplayName>Esther Suh</DisplayName>
        <AccountId>14</AccountId>
        <AccountType/>
      </UserInfo>
      <UserInfo>
        <DisplayName>charlie</DisplayName>
        <AccountId>202</AccountId>
        <AccountType/>
      </UserInfo>
      <UserInfo>
        <DisplayName>Tim Chan</DisplayName>
        <AccountId>893</AccountId>
        <AccountType/>
      </UserInfo>
      <UserInfo>
        <DisplayName>Monica Meagher</DisplayName>
        <AccountId>7420</AccountId>
        <AccountType/>
      </UserInfo>
      <UserInfo>
        <DisplayName>Mariana Parreiras</DisplayName>
        <AccountId>190</AccountId>
        <AccountType/>
      </UserInfo>
      <UserInfo>
        <DisplayName>Heath Maddox</DisplayName>
        <AccountId>2506</AccountId>
        <AccountType/>
      </UserInfo>
      <UserInfo>
        <DisplayName>Seung-Yen Hong</DisplayName>
        <AccountId>7568</AccountId>
        <AccountType/>
      </UserInfo>
      <UserInfo>
        <DisplayName>Jumana Nabti</DisplayName>
        <AccountId>3100</AccountId>
        <AccountType/>
      </UserInfo>
      <UserInfo>
        <DisplayName>Rob Jaques</DisplayName>
        <AccountId>34</AccountId>
        <AccountType/>
      </UserInfo>
      <UserInfo>
        <DisplayName>Richard Fuentes</DisplayName>
        <AccountId>33</AccountId>
        <AccountType/>
      </UserInfo>
      <UserInfo>
        <DisplayName>Jack Mong</DisplayName>
        <AccountId>8921</AccountId>
        <AccountType/>
      </UserInfo>
      <UserInfo>
        <DisplayName>Girish Koli</DisplayName>
        <AccountId>3446</AccountId>
        <AccountType/>
      </UserInfo>
    </SharedWithUsers>
    <lcf76f155ced4ddcb4097134ff3c332f xmlns="5b044ac8-358c-4fcf-87c2-50a2f061f540">
      <Terms xmlns="http://schemas.microsoft.com/office/infopath/2007/PartnerControls"/>
    </lcf76f155ced4ddcb4097134ff3c332f>
    <TaxCatchAll xmlns="d147a0bc-e26f-44a9-8c16-82893c254734" xsi:nil="true"/>
  </documentManagement>
</p:properties>
</file>

<file path=customXml/item2.xml>��< ? x m l   v e r s i o n = " 1 . 0 "   e n c o d i n g = " u t f - 1 6 " ? > < D a t a M a s h u p   x m l n s = " h t t p : / / s c h e m a s . m i c r o s o f t . c o m / D a t a M a s h u p " > A A A A A B Q D A A B Q S w M E F A A C A A g A x H l R V m / 8 c y u k A A A A 9 g A A A B I A H A B D b 2 5 m a W c v U G F j a 2 F n Z S 5 4 b W w g o h g A K K A U A A A A A A A A A A A A A A A A A A A A A A A A A A A A h Y 9 B D o I w F E S v Q r q n L Z g Y J J + y c C u J C d G 4 J a V C I 3 w M L Z a 7 u f B I X k G M o u 5 c z p u 3 m L l f b 5 C O b e N d V G 9 0 h w k J K C e e Q t m V G q u E D P b o R y Q V s C 3 k q a i U N 8 l o 4 t G U C a m t P c e M O e e o W 9 C u r 1 j I e c A O 2 S a X t W o L 8 p H 1 f 9 n X a G y B U h E B + 9 c Y E d K A R 3 Q V L S k H N k P I N H 6 F c N r 7 b H 8 g r I f G D r 0 S C v 1 d D m y O w N 4 f x A N Q S w M E F A A C A A g A x H l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M R 5 U V Y o i k e 4 D g A A A B E A A A A T A B w A R m 9 y b X V s Y X M v U 2 V j d G l v b j E u b S C i G A A o o B Q A A A A A A A A A A A A A A A A A A A A A A A A A A A A r T k 0 u y c z P U w i G 0 I b W A F B L A Q I t A B Q A A g A I A M R 5 U V Z v / H M r p A A A A P Y A A A A S A A A A A A A A A A A A A A A A A A A A A A B D b 2 5 m a W c v U G F j a 2 F n Z S 5 4 b W x Q S w E C L Q A U A A I A C A D E e V F W D 8 r p q 6 Q A A A D p A A A A E w A A A A A A A A A A A A A A A A D w A A A A W 0 N v b n R l b n R f V H l w Z X N d L n h t b F B L A Q I t A B Q A A g A I A M R 5 U V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B f + N u s U B N x T Y 4 1 b J H D j Y h A A A A A A A I A A A A A A A N m A A D A A A A A E A A A A D 3 I C z P r m s s 1 a Z + f U 6 Z F X X I A A A A A B I A A A K A A A A A Q A A A A + a n v P 3 N Y 9 B 1 F F r z y Q p n F P l A A A A D R f B j M 7 8 t N w t H M s R 9 u G t K H 0 + f M g 1 w Z h O B R N h e m y m j O a D A 7 5 E R m t b z L 1 h A V m S k H v v I j x n i M l U + T 6 K 5 E H M Z 8 Q C 1 A s l U i m P + 1 l r j C g l s C s j C 3 N B Q A A A C 2 O U D u 4 O I x F g Z j 3 L 0 s 0 t 1 3 k 5 J 0 o w = = < / D a t a M a s h u p > 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8A42F96EDCDB04FAABDA578369A893C" ma:contentTypeVersion="15" ma:contentTypeDescription="Create a new document." ma:contentTypeScope="" ma:versionID="f7a32141cf1dd0d6b02adb90ffb61b9a">
  <xsd:schema xmlns:xsd="http://www.w3.org/2001/XMLSchema" xmlns:xs="http://www.w3.org/2001/XMLSchema" xmlns:p="http://schemas.microsoft.com/office/2006/metadata/properties" xmlns:ns2="5b044ac8-358c-4fcf-87c2-50a2f061f540" xmlns:ns3="d147a0bc-e26f-44a9-8c16-82893c254734" targetNamespace="http://schemas.microsoft.com/office/2006/metadata/properties" ma:root="true" ma:fieldsID="644c8769d3e793309f97084148749c8b" ns2:_="" ns3:_="">
    <xsd:import namespace="5b044ac8-358c-4fcf-87c2-50a2f061f540"/>
    <xsd:import namespace="d147a0bc-e26f-44a9-8c16-82893c25473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044ac8-358c-4fcf-87c2-50a2f061f5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34a4ed37-70a8-4c45-a22c-d6db4f1a27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47a0bc-e26f-44a9-8c16-82893c254734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5350eeae-63f8-4832-bb76-1bf49b00fc2e}" ma:internalName="TaxCatchAll" ma:showField="CatchAllData" ma:web="d147a0bc-e26f-44a9-8c16-82893c25473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222176-22B4-47AB-AB9E-BB248AC3A7F3}">
  <ds:schemaRefs>
    <ds:schemaRef ds:uri="http://schemas.microsoft.com/office/2006/metadata/properties"/>
    <ds:schemaRef ds:uri="http://schemas.microsoft.com/office/infopath/2007/PartnerControls"/>
    <ds:schemaRef ds:uri="d147a0bc-e26f-44a9-8c16-82893c254734"/>
    <ds:schemaRef ds:uri="5b044ac8-358c-4fcf-87c2-50a2f061f540"/>
  </ds:schemaRefs>
</ds:datastoreItem>
</file>

<file path=customXml/itemProps2.xml><?xml version="1.0" encoding="utf-8"?>
<ds:datastoreItem xmlns:ds="http://schemas.openxmlformats.org/officeDocument/2006/customXml" ds:itemID="{5A2572C9-94E8-4C6B-8BD4-9D0B9DF7E5AC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DF9DD055-1BD3-4CDC-BD3D-A0BB69AAC1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b044ac8-358c-4fcf-87c2-50a2f061f540"/>
    <ds:schemaRef ds:uri="d147a0bc-e26f-44a9-8c16-82893c25473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61D5935-F179-4A89-95E0-C99AE243BFA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Consolidated Budget</vt:lpstr>
      <vt:lpstr>BART-Bike Access </vt:lpstr>
      <vt:lpstr>BART-EV Charging</vt:lpstr>
      <vt:lpstr>BART-ADA</vt:lpstr>
      <vt:lpstr>BART- TODPlazas</vt:lpstr>
      <vt:lpstr>BART-RTDs</vt:lpstr>
      <vt:lpstr>BART-Lighting</vt:lpstr>
      <vt:lpstr>BART-Wayfinding</vt:lpstr>
      <vt:lpstr>BART-Bus</vt:lpstr>
      <vt:lpstr>BART-Outreach</vt:lpstr>
      <vt:lpstr>SFMTA-EV</vt:lpstr>
      <vt:lpstr>AVA</vt:lpstr>
      <vt:lpstr>CCTA</vt:lpstr>
      <vt:lpstr>MTC-EbikeshareStation</vt:lpstr>
      <vt:lpstr>MTC-BikeshareOutreach</vt:lpstr>
      <vt:lpstr>MTC-EBikeshare</vt:lpstr>
      <vt:lpstr>MTC-Pb+E</vt:lpstr>
      <vt:lpstr>MTC-Admin+Eval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2023-09-19T16:36:01Z</dcterms:created>
  <dcterms:modified xsi:type="dcterms:W3CDTF">2024-03-29T03:08:49Z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0x01010098A42F96EDCDB04FAABDA578369A893C</vt:lpwstr>
  </property>
  <property fmtid="{D5CDD505-2E9C-101B-9397-08002B2CF9AE}" pid="5" name="e3f09c3df709400db2417a7161762d62">
    <vt:lpwstr/>
  </property>
  <property fmtid="{D5CDD505-2E9C-101B-9397-08002B2CF9AE}" pid="6" name="EPA Subject">
    <vt:lpwstr/>
  </property>
  <property fmtid="{D5CDD505-2E9C-101B-9397-08002B2CF9AE}" pid="7" name="Document Type">
    <vt:lpwstr/>
  </property>
</Properties>
</file>