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:\EPA Grant\Ready to be uploaded\Narrative Attachment Form\GHG Methodology\"/>
    </mc:Choice>
  </mc:AlternateContent>
  <xr:revisionPtr revIDLastSave="0" documentId="13_ncr:1_{B085542F-FB56-4989-B7F2-93BDCF43F5A0}" xr6:coauthVersionLast="47" xr6:coauthVersionMax="47" xr10:uidLastSave="{00000000-0000-0000-0000-000000000000}"/>
  <bookViews>
    <workbookView xWindow="4650" yWindow="2500" windowWidth="16920" windowHeight="10540" tabRatio="647" xr2:uid="{00000000-000D-0000-FFFF-FFFF00000000}"/>
  </bookViews>
  <sheets>
    <sheet name="Main sheet" sheetId="3" r:id="rId1"/>
    <sheet name="Calculations" sheetId="12" r:id="rId2"/>
    <sheet name="Research" sheetId="11" r:id="rId3"/>
    <sheet name="Emission Factors" sheetId="13" r:id="rId4"/>
  </sheets>
  <externalReferences>
    <externalReference r:id="rId5"/>
    <externalReference r:id="rId6"/>
    <externalReference r:id="rId7"/>
    <externalReference r:id="rId8"/>
  </externalReferences>
  <definedNames>
    <definedName name="altWord">[1]info!$G$22</definedName>
    <definedName name="altWord2">[2]info!$G$22</definedName>
    <definedName name="missingWord">[3]info!$G$20</definedName>
    <definedName name="runA" localSheetId="3">#REF!</definedName>
    <definedName name="runA">#REF!</definedName>
    <definedName name="runB" localSheetId="3">#REF!</definedName>
    <definedName name="runB">#REF!</definedName>
    <definedName name="runC" localSheetId="3">#REF!</definedName>
    <definedName name="runC">#REF!</definedName>
    <definedName name="Shifted2035">[4]TransitJobs!$P$15</definedName>
    <definedName name="tourpurpose">#REF!</definedName>
    <definedName name="toururpose">#REF!</definedName>
    <definedName name="tripA" localSheetId="3">#REF!</definedName>
    <definedName name="tripA">#REF!</definedName>
    <definedName name="tripB" localSheetId="3">#REF!</definedName>
    <definedName name="tripB">#REF!</definedName>
    <definedName name="tripC" localSheetId="3">#REF!</definedName>
    <definedName name="tripC">#REF!</definedName>
  </definedNames>
  <calcPr calcId="191028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5" i="3" l="1"/>
  <c r="K10" i="13" l="1"/>
  <c r="D10" i="13"/>
  <c r="C10" i="13"/>
  <c r="Z7" i="13"/>
  <c r="Z10" i="13" s="1"/>
  <c r="Y7" i="13"/>
  <c r="Y10" i="13" s="1"/>
  <c r="X7" i="13"/>
  <c r="X10" i="13" s="1"/>
  <c r="W7" i="13"/>
  <c r="W10" i="13" s="1"/>
  <c r="V7" i="13"/>
  <c r="V10" i="13" s="1"/>
  <c r="U7" i="13"/>
  <c r="U10" i="13" s="1"/>
  <c r="S7" i="13"/>
  <c r="S10" i="13" s="1"/>
  <c r="R7" i="13"/>
  <c r="R10" i="13" s="1"/>
  <c r="Q7" i="13"/>
  <c r="Q10" i="13" s="1"/>
  <c r="P7" i="13"/>
  <c r="P10" i="13" s="1"/>
  <c r="O7" i="13"/>
  <c r="O10" i="13" s="1"/>
  <c r="N7" i="13"/>
  <c r="N10" i="13" s="1"/>
  <c r="M7" i="13"/>
  <c r="M10" i="13" s="1"/>
  <c r="K7" i="13"/>
  <c r="J7" i="13"/>
  <c r="J10" i="13" s="1"/>
  <c r="I7" i="13"/>
  <c r="I10" i="13" s="1"/>
  <c r="H7" i="13"/>
  <c r="H10" i="13" s="1"/>
  <c r="G7" i="13"/>
  <c r="G10" i="13" s="1"/>
  <c r="F7" i="13"/>
  <c r="F10" i="13" s="1"/>
  <c r="E7" i="13"/>
  <c r="E10" i="13" s="1"/>
  <c r="D7" i="13"/>
  <c r="C7" i="13"/>
  <c r="Z6" i="13"/>
  <c r="H6" i="13"/>
  <c r="G6" i="13"/>
  <c r="Z3" i="13"/>
  <c r="Y3" i="13"/>
  <c r="Y6" i="13" s="1"/>
  <c r="X3" i="13"/>
  <c r="X6" i="13" s="1"/>
  <c r="W3" i="13"/>
  <c r="W6" i="13" s="1"/>
  <c r="V3" i="13"/>
  <c r="V6" i="13" s="1"/>
  <c r="U3" i="13"/>
  <c r="U6" i="13" s="1"/>
  <c r="S3" i="13"/>
  <c r="S6" i="13" s="1"/>
  <c r="R3" i="13"/>
  <c r="R6" i="13" s="1"/>
  <c r="Q3" i="13"/>
  <c r="Q6" i="13" s="1"/>
  <c r="P3" i="13"/>
  <c r="P6" i="13" s="1"/>
  <c r="O3" i="13"/>
  <c r="O6" i="13" s="1"/>
  <c r="N3" i="13"/>
  <c r="N6" i="13" s="1"/>
  <c r="M3" i="13"/>
  <c r="M6" i="13" s="1"/>
  <c r="K3" i="13"/>
  <c r="K6" i="13" s="1"/>
  <c r="J3" i="13"/>
  <c r="J6" i="13" s="1"/>
  <c r="I3" i="13"/>
  <c r="I6" i="13" s="1"/>
  <c r="H3" i="13"/>
  <c r="G3" i="13"/>
  <c r="F3" i="13"/>
  <c r="F6" i="13" s="1"/>
  <c r="E3" i="13"/>
  <c r="E6" i="13" s="1"/>
  <c r="D3" i="13"/>
  <c r="D6" i="13" s="1"/>
  <c r="C3" i="13"/>
  <c r="C6" i="13" s="1"/>
  <c r="B8" i="11" l="1"/>
  <c r="B16" i="3" l="1"/>
  <c r="B7" i="3"/>
  <c r="B19" i="3" l="1"/>
  <c r="B4" i="12"/>
  <c r="B5" i="12"/>
  <c r="B6" i="12"/>
  <c r="B7" i="12"/>
  <c r="B3" i="12"/>
  <c r="B10" i="3"/>
  <c r="B13" i="3"/>
  <c r="C25" i="3" l="1"/>
  <c r="G25" i="3"/>
  <c r="B30" i="3" s="1"/>
  <c r="B25" i="3"/>
  <c r="F25" i="3"/>
  <c r="D25" i="3"/>
  <c r="E25" i="3"/>
  <c r="K25" i="3"/>
  <c r="S25" i="3"/>
  <c r="AA25" i="3"/>
  <c r="C30" i="3" s="1"/>
  <c r="T25" i="3"/>
  <c r="M25" i="3"/>
  <c r="V25" i="3"/>
  <c r="O25" i="3"/>
  <c r="H25" i="3"/>
  <c r="X25" i="3"/>
  <c r="Q25" i="3"/>
  <c r="R25" i="3"/>
  <c r="Z25" i="3"/>
  <c r="L25" i="3"/>
  <c r="U25" i="3"/>
  <c r="N25" i="3"/>
  <c r="W25" i="3"/>
  <c r="P25" i="3"/>
  <c r="I25" i="3"/>
  <c r="J25" i="3"/>
  <c r="Y25" i="3"/>
  <c r="B10" i="12"/>
  <c r="B30" i="12"/>
  <c r="B9" i="12"/>
  <c r="B31" i="12"/>
  <c r="B24" i="12"/>
  <c r="B28" i="12"/>
  <c r="B23" i="12"/>
  <c r="B8" i="12"/>
  <c r="B22" i="12"/>
  <c r="B12" i="12"/>
  <c r="B11" i="12"/>
  <c r="B29" i="12"/>
  <c r="B21" i="12"/>
  <c r="B20" i="12"/>
  <c r="B19" i="12"/>
  <c r="B26" i="12"/>
  <c r="B27" i="12"/>
  <c r="B33" i="12"/>
  <c r="B25" i="12"/>
  <c r="B32" i="12"/>
  <c r="C6" i="12"/>
  <c r="C7" i="12" s="1"/>
  <c r="C8" i="12" s="1"/>
  <c r="B13" i="12"/>
  <c r="C5" i="12"/>
  <c r="B18" i="12"/>
  <c r="C4" i="12"/>
  <c r="B17" i="12"/>
  <c r="B16" i="12"/>
  <c r="B15" i="12"/>
  <c r="B14" i="12"/>
  <c r="B23" i="3" l="1"/>
  <c r="C9" i="12"/>
  <c r="C10" i="12" s="1"/>
  <c r="C11" i="12" s="1"/>
  <c r="C12" i="12" s="1"/>
  <c r="C13" i="12" s="1"/>
  <c r="C14" i="12" s="1"/>
  <c r="C15" i="12" s="1"/>
  <c r="C16" i="12" s="1"/>
  <c r="C17" i="12" s="1"/>
  <c r="C18" i="12" s="1"/>
  <c r="C19" i="12" s="1"/>
  <c r="C20" i="12" s="1"/>
  <c r="C21" i="12" s="1"/>
  <c r="C22" i="12" s="1"/>
  <c r="C23" i="12" s="1"/>
  <c r="C24" i="12" s="1"/>
  <c r="C25" i="12" s="1"/>
  <c r="C26" i="12" s="1"/>
  <c r="C27" i="12" s="1"/>
  <c r="C28" i="12" s="1"/>
  <c r="C29" i="12" s="1"/>
  <c r="C30" i="12" s="1"/>
  <c r="C31" i="12" s="1"/>
  <c r="C32" i="12" s="1"/>
  <c r="C33" i="12" s="1"/>
  <c r="AA23" i="3" s="1"/>
  <c r="AA24" i="3" s="1"/>
  <c r="B24" i="3" l="1"/>
  <c r="D23" i="3"/>
  <c r="C23" i="3"/>
  <c r="E23" i="3"/>
  <c r="E24" i="3" s="1"/>
  <c r="F23" i="3"/>
  <c r="F24" i="3" s="1"/>
  <c r="G23" i="3"/>
  <c r="G24" i="3" s="1"/>
  <c r="K23" i="3"/>
  <c r="K24" i="3" s="1"/>
  <c r="I23" i="3"/>
  <c r="I24" i="3" s="1"/>
  <c r="P23" i="3"/>
  <c r="P24" i="3" s="1"/>
  <c r="U23" i="3"/>
  <c r="U24" i="3" s="1"/>
  <c r="R23" i="3"/>
  <c r="R24" i="3" s="1"/>
  <c r="O23" i="3"/>
  <c r="O24" i="3" s="1"/>
  <c r="J23" i="3"/>
  <c r="J24" i="3" s="1"/>
  <c r="H23" i="3"/>
  <c r="H24" i="3" s="1"/>
  <c r="L23" i="3"/>
  <c r="L24" i="3" s="1"/>
  <c r="N23" i="3"/>
  <c r="N24" i="3" s="1"/>
  <c r="V23" i="3"/>
  <c r="V24" i="3" s="1"/>
  <c r="S23" i="3"/>
  <c r="S24" i="3" s="1"/>
  <c r="X23" i="3"/>
  <c r="X24" i="3" s="1"/>
  <c r="Y23" i="3"/>
  <c r="Y24" i="3" s="1"/>
  <c r="T23" i="3"/>
  <c r="T24" i="3" s="1"/>
  <c r="W23" i="3"/>
  <c r="W24" i="3" s="1"/>
  <c r="Q23" i="3"/>
  <c r="Q24" i="3" s="1"/>
  <c r="D24" i="3"/>
  <c r="Z23" i="3"/>
  <c r="Z24" i="3" s="1"/>
  <c r="M23" i="3"/>
  <c r="M24" i="3" s="1"/>
  <c r="B26" i="3" l="1"/>
  <c r="C24" i="3"/>
  <c r="C26" i="3" l="1"/>
  <c r="D26" i="3" l="1"/>
  <c r="E26" i="3" l="1"/>
  <c r="F26" i="3" l="1"/>
  <c r="G26" i="3" l="1"/>
  <c r="H26" i="3" l="1"/>
  <c r="B29" i="3"/>
  <c r="B31" i="3" s="1"/>
  <c r="I26" i="3" l="1"/>
  <c r="J26" i="3" l="1"/>
  <c r="K26" i="3" l="1"/>
  <c r="L26" i="3" l="1"/>
  <c r="M26" i="3" l="1"/>
  <c r="N26" i="3" l="1"/>
  <c r="O26" i="3" l="1"/>
  <c r="P26" i="3" l="1"/>
  <c r="Q26" i="3" l="1"/>
  <c r="R26" i="3" l="1"/>
  <c r="S26" i="3" l="1"/>
  <c r="T26" i="3" l="1"/>
  <c r="U26" i="3" l="1"/>
  <c r="V26" i="3" l="1"/>
  <c r="W26" i="3" l="1"/>
  <c r="X26" i="3" l="1"/>
  <c r="Y26" i="3" l="1"/>
  <c r="Z26" i="3" l="1"/>
  <c r="AA26" i="3" l="1"/>
  <c r="C29" i="3" l="1"/>
  <c r="C31" i="3" s="1"/>
</calcChain>
</file>

<file path=xl/sharedStrings.xml><?xml version="1.0" encoding="utf-8"?>
<sst xmlns="http://schemas.openxmlformats.org/spreadsheetml/2006/main" count="138" uniqueCount="90">
  <si>
    <t>Inputs</t>
  </si>
  <si>
    <t>Variable</t>
  </si>
  <si>
    <t>Value</t>
  </si>
  <si>
    <t>Source/Notes</t>
  </si>
  <si>
    <t>Total amount of funding</t>
  </si>
  <si>
    <t>Incentive amount</t>
  </si>
  <si>
    <t>Start year</t>
  </si>
  <si>
    <t>End year</t>
  </si>
  <si>
    <t>Term of program</t>
  </si>
  <si>
    <t>Calculate number of "incentive-caused" purchases</t>
  </si>
  <si>
    <t>Fraction of incentives going to buyers who wouldn't have purchased without them</t>
  </si>
  <si>
    <t>Number of "incentive-caused" purchases</t>
  </si>
  <si>
    <t>Calculate short-term VMT reduction</t>
  </si>
  <si>
    <t>Car replacing VMT (miles per month per bike)</t>
  </si>
  <si>
    <t>(Johnson, Fitch-Polse, &amp; Handy, 2023)​ </t>
  </si>
  <si>
    <t>Short-term VMT reduction (mi/day)</t>
  </si>
  <si>
    <t>Calculate long-term VMT reduction</t>
  </si>
  <si>
    <t>Dis-use factor</t>
  </si>
  <si>
    <t>Estimate based on odometer readings after one year of ownership ​(Johnson, Fitch-Polse, &amp; Handy, 2023)​ </t>
  </si>
  <si>
    <t>Long-term VMT reduction</t>
  </si>
  <si>
    <t>Results</t>
  </si>
  <si>
    <t>Total daily VMT reductions</t>
  </si>
  <si>
    <t>Total daily GHG reductions (tons)</t>
  </si>
  <si>
    <t>Min. Incentive Amount</t>
  </si>
  <si>
    <t>Max. Incentive Amount</t>
  </si>
  <si>
    <t>Restrictions</t>
  </si>
  <si>
    <t>511 Contra Costa</t>
  </si>
  <si>
    <t>For Contra Costa County residents</t>
  </si>
  <si>
    <t>CCTA Charge Up</t>
  </si>
  <si>
    <t>Must be low income and live in certain zip codes</t>
  </si>
  <si>
    <t>Alameda Municipal Power</t>
  </si>
  <si>
    <t>For Alameda residents</t>
  </si>
  <si>
    <t>Silicon Valley Power</t>
  </si>
  <si>
    <t>Santa Clara county residents &amp; SVP customer</t>
  </si>
  <si>
    <t>Peninsula Clean Energy</t>
  </si>
  <si>
    <t>San Mateo residents, &lt;400% FPL</t>
  </si>
  <si>
    <t>Average</t>
  </si>
  <si>
    <t>Year</t>
  </si>
  <si>
    <t>Incentivized Sales</t>
  </si>
  <si>
    <t>Long Term Ebikes</t>
  </si>
  <si>
    <t>Emission Factors</t>
  </si>
  <si>
    <t>Regional CO2 running EF (grams/mi)</t>
  </si>
  <si>
    <t>g/lb conversion</t>
  </si>
  <si>
    <t>lb/ton conversion</t>
  </si>
  <si>
    <t>Regional CO2 running EF (tons/mi)</t>
  </si>
  <si>
    <t>Regional CO2 tripend EF (grams/trip)</t>
  </si>
  <si>
    <t>Regional CO2 tripend EF (tons/trip)</t>
  </si>
  <si>
    <t>All rates in grams per mile</t>
  </si>
  <si>
    <t>YEAR 2035</t>
  </si>
  <si>
    <r>
      <t>NO CONTROLS CO</t>
    </r>
    <r>
      <rPr>
        <b/>
        <i/>
        <u/>
        <vertAlign val="subscript"/>
        <sz val="11"/>
        <rFont val="Calibri"/>
        <family val="2"/>
      </rPr>
      <t>2</t>
    </r>
    <r>
      <rPr>
        <b/>
        <i/>
        <u/>
        <sz val="11"/>
        <rFont val="Calibri"/>
        <family val="2"/>
      </rPr>
      <t xml:space="preserve"> Exhaust &amp; Tripend Emission Rates</t>
    </r>
  </si>
  <si>
    <t>Exhaust</t>
  </si>
  <si>
    <t>Tripend</t>
  </si>
  <si>
    <t xml:space="preserve">Alameda </t>
  </si>
  <si>
    <t xml:space="preserve">Contra Costa </t>
  </si>
  <si>
    <t xml:space="preserve">Marin </t>
  </si>
  <si>
    <t xml:space="preserve">Napa </t>
  </si>
  <si>
    <t xml:space="preserve">San Francisco </t>
  </si>
  <si>
    <t xml:space="preserve">San Mateo </t>
  </si>
  <si>
    <t xml:space="preserve">Santa Clara </t>
  </si>
  <si>
    <t>Solano (SF)</t>
  </si>
  <si>
    <t>Solano (SV)</t>
  </si>
  <si>
    <t>Sonoma (NC)</t>
  </si>
  <si>
    <t>Sonoma (SF)</t>
  </si>
  <si>
    <t>Regionwide</t>
  </si>
  <si>
    <t>YEAR 2050</t>
  </si>
  <si>
    <t>Total mtCO2e reduced</t>
  </si>
  <si>
    <t>Total cost</t>
  </si>
  <si>
    <t>Cost Effectiveness</t>
  </si>
  <si>
    <t>2025-2030</t>
  </si>
  <si>
    <t>2025-2050</t>
  </si>
  <si>
    <t>EMFAC2021 v1.0.2</t>
  </si>
  <si>
    <t>Provided 10-26-23 and updated 3-20-24</t>
  </si>
  <si>
    <t>YEAR 2025</t>
  </si>
  <si>
    <r>
      <t>NO CONTROLS CO</t>
    </r>
    <r>
      <rPr>
        <b/>
        <i/>
        <u/>
        <vertAlign val="subscript"/>
        <sz val="11"/>
        <rFont val="Calibri"/>
        <family val="2"/>
        <scheme val="minor"/>
      </rPr>
      <t>2</t>
    </r>
    <r>
      <rPr>
        <b/>
        <i/>
        <u/>
        <sz val="11"/>
        <rFont val="Calibri"/>
        <family val="2"/>
        <scheme val="minor"/>
      </rPr>
      <t xml:space="preserve"> Exhaust &amp; Tripend Emission Rates</t>
    </r>
  </si>
  <si>
    <t>YEAR 2043</t>
  </si>
  <si>
    <t>Name of Program</t>
  </si>
  <si>
    <t>Grant Impact Results</t>
  </si>
  <si>
    <t>Years in italics are interpolated between model-provided years (blue fill)</t>
  </si>
  <si>
    <t xml:space="preserve">   Culmulative program cost, (YOE$)</t>
  </si>
  <si>
    <t xml:space="preserve">   Cumulative daily GHG reductions (tons)</t>
  </si>
  <si>
    <t>Schedule outlined in grant</t>
  </si>
  <si>
    <t>Ebike incentive funding is split between 64% for $1,000 incentives for a standard ebike and 36% for $1,500 incentives for a cargo ebike or adaptive ebike. (Average of existing programs in the Bay Area is $400)</t>
  </si>
  <si>
    <t>Grant funding incentivizes up to 3608 ebikes. GIS data determined there is more than ample eligible population to receive these incentives within 3 miles of the selected BART stations (~15,000 households)</t>
  </si>
  <si>
    <t>Calculate number of ebike purchases incentivized</t>
  </si>
  <si>
    <t>Existing Ebike Incentive Programs in MTC Bay Area</t>
  </si>
  <si>
    <t>GHG Reduction and Cost-effectiveness: Ebike Incentives at Mobility Hub Areas</t>
  </si>
  <si>
    <t>Includes first and last years</t>
  </si>
  <si>
    <t>Based on grant award amounts going to ebike incentives in budget, escalated below</t>
  </si>
  <si>
    <t>Conservative assumption based on Denver's ebike incentive program, similarly targeting income-qualified population, finding only 2% of incentive recipients would have made the purchase without the incentive (i.e. 98%...90% conservatively used here)</t>
  </si>
  <si>
    <t>Number of ebike purchases incentivized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</si>
</sst>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6" formatCode="&quot;$&quot;#,##0_);[Red]\(&quot;$&quot;#,##0\)"/>
    <numFmt numFmtId="43" formatCode="_(* #,##0.00_);_(* \(#,##0.00\);_(* &quot;-&quot;??_);_(@_)"/>
    <numFmt numFmtId="164" formatCode="_(* #,##0_);_(* \(#,##0\);_(* &quot;-&quot;??_);_(@_)"/>
    <numFmt numFmtId="165" formatCode="0.000000"/>
    <numFmt numFmtId="166" formatCode="0.000"/>
    <numFmt numFmtId="167" formatCode="0.000000000"/>
    <numFmt numFmtId="168" formatCode="&quot;$&quot;#,##0"/>
    <numFmt numFmtId="169" formatCode="_(* #,##0.0_);_(* \(#,##0.0\);_(* &quot;-&quot;??_);_(@_)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sz val="8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color rgb="FFFF0000"/>
      <name val="Calibri"/>
      <family val="2"/>
    </font>
    <font>
      <sz val="12"/>
      <color rgb="FF000000"/>
      <name val="Calibri"/>
      <family val="2"/>
    </font>
    <font>
      <b/>
      <sz val="11"/>
      <color rgb="FFFF0000"/>
      <name val="Calibri"/>
      <family val="2"/>
    </font>
    <font>
      <b/>
      <sz val="11"/>
      <color rgb="FF0000FF"/>
      <name val="Calibri"/>
      <family val="2"/>
    </font>
    <font>
      <b/>
      <i/>
      <u/>
      <sz val="11"/>
      <name val="Calibri"/>
      <family val="2"/>
    </font>
    <font>
      <b/>
      <i/>
      <u/>
      <vertAlign val="subscript"/>
      <sz val="11"/>
      <name val="Calibri"/>
      <family val="2"/>
    </font>
    <font>
      <sz val="11"/>
      <color rgb="FF0000FF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2"/>
      <name val="Calibri"/>
      <family val="2"/>
    </font>
    <font>
      <b/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</font>
    <font>
      <b/>
      <sz val="11"/>
      <color rgb="FF0000FF"/>
      <name val="Calibri"/>
      <family val="2"/>
      <scheme val="minor"/>
    </font>
    <font>
      <b/>
      <i/>
      <u/>
      <sz val="11"/>
      <name val="Calibri"/>
      <family val="2"/>
      <scheme val="minor"/>
    </font>
    <font>
      <b/>
      <i/>
      <u/>
      <vertAlign val="subscript"/>
      <sz val="11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305496"/>
        <bgColor indexed="64"/>
      </patternFill>
    </fill>
    <fill>
      <patternFill patternType="solid">
        <fgColor rgb="FF9BC2E6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2" fillId="0" borderId="0"/>
    <xf numFmtId="43" fontId="12" fillId="0" borderId="0" applyFont="0" applyFill="0" applyBorder="0" applyAlignment="0" applyProtection="0"/>
  </cellStyleXfs>
  <cellXfs count="111">
    <xf numFmtId="0" fontId="0" fillId="0" borderId="0" xfId="0"/>
    <xf numFmtId="0" fontId="3" fillId="0" borderId="0" xfId="0" applyFont="1"/>
    <xf numFmtId="0" fontId="2" fillId="0" borderId="0" xfId="0" applyFont="1"/>
    <xf numFmtId="3" fontId="3" fillId="0" borderId="0" xfId="1" applyNumberFormat="1" applyFont="1"/>
    <xf numFmtId="0" fontId="7" fillId="0" borderId="0" xfId="0" applyFont="1"/>
    <xf numFmtId="0" fontId="3" fillId="3" borderId="0" xfId="0" applyFont="1" applyFill="1"/>
    <xf numFmtId="0" fontId="5" fillId="3" borderId="0" xfId="0" applyFont="1" applyFill="1" applyAlignment="1">
      <alignment horizontal="center"/>
    </xf>
    <xf numFmtId="164" fontId="3" fillId="3" borderId="0" xfId="1" applyNumberFormat="1" applyFont="1" applyFill="1"/>
    <xf numFmtId="9" fontId="3" fillId="3" borderId="0" xfId="0" applyNumberFormat="1" applyFont="1" applyFill="1"/>
    <xf numFmtId="0" fontId="5" fillId="3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164" fontId="3" fillId="0" borderId="3" xfId="1" applyNumberFormat="1" applyFont="1" applyFill="1" applyBorder="1"/>
    <xf numFmtId="0" fontId="10" fillId="6" borderId="0" xfId="0" applyFont="1" applyFill="1"/>
    <xf numFmtId="0" fontId="11" fillId="2" borderId="0" xfId="0" applyFont="1" applyFill="1" applyAlignment="1">
      <alignment horizontal="center"/>
    </xf>
    <xf numFmtId="0" fontId="9" fillId="7" borderId="0" xfId="0" applyFont="1" applyFill="1" applyAlignment="1">
      <alignment horizontal="left" vertical="center"/>
    </xf>
    <xf numFmtId="0" fontId="11" fillId="9" borderId="0" xfId="0" applyFont="1" applyFill="1" applyAlignment="1">
      <alignment horizontal="left"/>
    </xf>
    <xf numFmtId="0" fontId="13" fillId="0" borderId="0" xfId="0" applyFont="1"/>
    <xf numFmtId="0" fontId="14" fillId="0" borderId="0" xfId="0" applyFont="1"/>
    <xf numFmtId="4" fontId="13" fillId="0" borderId="0" xfId="0" applyNumberFormat="1" applyFont="1"/>
    <xf numFmtId="4" fontId="14" fillId="0" borderId="0" xfId="0" applyNumberFormat="1" applyFont="1"/>
    <xf numFmtId="0" fontId="3" fillId="3" borderId="3" xfId="0" applyFont="1" applyFill="1" applyBorder="1" applyAlignment="1">
      <alignment horizontal="left" vertical="center" indent="1"/>
    </xf>
    <xf numFmtId="0" fontId="3" fillId="0" borderId="3" xfId="0" applyFont="1" applyBorder="1" applyAlignment="1">
      <alignment horizontal="left" indent="1"/>
    </xf>
    <xf numFmtId="0" fontId="4" fillId="8" borderId="1" xfId="0" applyFont="1" applyFill="1" applyBorder="1" applyAlignment="1">
      <alignment vertical="center"/>
    </xf>
    <xf numFmtId="0" fontId="4" fillId="8" borderId="2" xfId="0" applyFont="1" applyFill="1" applyBorder="1" applyAlignment="1">
      <alignment vertical="center"/>
    </xf>
    <xf numFmtId="0" fontId="4" fillId="5" borderId="1" xfId="0" applyFont="1" applyFill="1" applyBorder="1" applyAlignment="1">
      <alignment vertical="center"/>
    </xf>
    <xf numFmtId="0" fontId="5" fillId="3" borderId="4" xfId="0" applyFont="1" applyFill="1" applyBorder="1" applyAlignment="1">
      <alignment vertical="center"/>
    </xf>
    <xf numFmtId="0" fontId="3" fillId="3" borderId="4" xfId="0" applyFont="1" applyFill="1" applyBorder="1"/>
    <xf numFmtId="0" fontId="11" fillId="9" borderId="0" xfId="0" applyFont="1" applyFill="1"/>
    <xf numFmtId="0" fontId="3" fillId="3" borderId="4" xfId="0" applyFont="1" applyFill="1" applyBorder="1" applyAlignment="1">
      <alignment horizontal="left"/>
    </xf>
    <xf numFmtId="0" fontId="6" fillId="3" borderId="0" xfId="1" applyNumberFormat="1" applyFont="1" applyFill="1" applyBorder="1" applyAlignment="1">
      <alignment horizontal="center"/>
    </xf>
    <xf numFmtId="9" fontId="8" fillId="3" borderId="0" xfId="2" applyFont="1" applyFill="1" applyBorder="1" applyAlignment="1">
      <alignment horizontal="center"/>
    </xf>
    <xf numFmtId="164" fontId="3" fillId="3" borderId="0" xfId="1" applyNumberFormat="1" applyFont="1" applyFill="1" applyBorder="1"/>
    <xf numFmtId="0" fontId="3" fillId="3" borderId="1" xfId="0" applyFont="1" applyFill="1" applyBorder="1" applyAlignment="1">
      <alignment horizontal="left" vertical="center" indent="1"/>
    </xf>
    <xf numFmtId="0" fontId="3" fillId="0" borderId="1" xfId="0" applyFont="1" applyBorder="1" applyAlignment="1">
      <alignment horizontal="left" indent="1"/>
    </xf>
    <xf numFmtId="9" fontId="3" fillId="4" borderId="3" xfId="2" applyFont="1" applyFill="1" applyBorder="1" applyAlignment="1">
      <alignment horizontal="center" vertical="center"/>
    </xf>
    <xf numFmtId="0" fontId="6" fillId="5" borderId="3" xfId="1" applyNumberFormat="1" applyFont="1" applyFill="1" applyBorder="1" applyAlignment="1">
      <alignment horizontal="center" vertical="center"/>
    </xf>
    <xf numFmtId="0" fontId="8" fillId="4" borderId="3" xfId="2" applyNumberFormat="1" applyFont="1" applyFill="1" applyBorder="1" applyAlignment="1">
      <alignment horizontal="center" vertical="center"/>
    </xf>
    <xf numFmtId="9" fontId="8" fillId="4" borderId="3" xfId="2" applyFont="1" applyFill="1" applyBorder="1" applyAlignment="1">
      <alignment horizontal="center" vertical="center"/>
    </xf>
    <xf numFmtId="6" fontId="3" fillId="10" borderId="3" xfId="1" applyNumberFormat="1" applyFont="1" applyFill="1" applyBorder="1" applyAlignment="1">
      <alignment horizontal="center" vertical="center"/>
    </xf>
    <xf numFmtId="6" fontId="3" fillId="4" borderId="3" xfId="1" applyNumberFormat="1" applyFont="1" applyFill="1" applyBorder="1" applyAlignment="1">
      <alignment horizontal="center" vertical="center"/>
    </xf>
    <xf numFmtId="0" fontId="3" fillId="3" borderId="3" xfId="1" applyNumberFormat="1" applyFont="1" applyFill="1" applyBorder="1" applyAlignment="1">
      <alignment horizontal="center" vertical="center"/>
    </xf>
    <xf numFmtId="0" fontId="4" fillId="5" borderId="3" xfId="0" applyFont="1" applyFill="1" applyBorder="1" applyAlignment="1">
      <alignment horizontal="center" vertical="center"/>
    </xf>
    <xf numFmtId="0" fontId="8" fillId="3" borderId="3" xfId="2" applyNumberFormat="1" applyFont="1" applyFill="1" applyBorder="1" applyAlignment="1">
      <alignment horizontal="center" vertical="center"/>
    </xf>
    <xf numFmtId="0" fontId="18" fillId="0" borderId="4" xfId="0" applyFont="1" applyBorder="1"/>
    <xf numFmtId="0" fontId="3" fillId="9" borderId="0" xfId="0" applyFont="1" applyFill="1"/>
    <xf numFmtId="0" fontId="5" fillId="0" borderId="0" xfId="0" applyFont="1"/>
    <xf numFmtId="1" fontId="3" fillId="4" borderId="3" xfId="1" applyNumberFormat="1" applyFont="1" applyFill="1" applyBorder="1" applyAlignment="1">
      <alignment horizontal="center" vertical="center"/>
    </xf>
    <xf numFmtId="1" fontId="3" fillId="3" borderId="3" xfId="1" applyNumberFormat="1" applyFont="1" applyFill="1" applyBorder="1" applyAlignment="1">
      <alignment horizontal="center" vertical="center"/>
    </xf>
    <xf numFmtId="43" fontId="3" fillId="0" borderId="3" xfId="1" applyFont="1" applyFill="1" applyBorder="1"/>
    <xf numFmtId="0" fontId="5" fillId="3" borderId="3" xfId="0" applyFont="1" applyFill="1" applyBorder="1"/>
    <xf numFmtId="0" fontId="3" fillId="3" borderId="3" xfId="0" applyFont="1" applyFill="1" applyBorder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22" fillId="0" borderId="0" xfId="0" applyFont="1"/>
    <xf numFmtId="0" fontId="23" fillId="0" borderId="0" xfId="0" applyFont="1"/>
    <xf numFmtId="0" fontId="24" fillId="0" borderId="0" xfId="0" applyFont="1"/>
    <xf numFmtId="0" fontId="25" fillId="0" borderId="0" xfId="0" applyFont="1"/>
    <xf numFmtId="0" fontId="15" fillId="0" borderId="0" xfId="0" applyFont="1"/>
    <xf numFmtId="0" fontId="27" fillId="0" borderId="0" xfId="0" applyFont="1"/>
    <xf numFmtId="0" fontId="28" fillId="0" borderId="0" xfId="0" applyFont="1"/>
    <xf numFmtId="0" fontId="16" fillId="0" borderId="0" xfId="0" applyFont="1"/>
    <xf numFmtId="0" fontId="29" fillId="0" borderId="0" xfId="0" applyFont="1"/>
    <xf numFmtId="0" fontId="30" fillId="0" borderId="0" xfId="0" applyFont="1"/>
    <xf numFmtId="0" fontId="2" fillId="0" borderId="3" xfId="0" applyFont="1" applyBorder="1" applyAlignment="1">
      <alignment horizontal="center"/>
    </xf>
    <xf numFmtId="164" fontId="2" fillId="0" borderId="3" xfId="1" applyNumberFormat="1" applyFont="1" applyFill="1" applyBorder="1"/>
    <xf numFmtId="43" fontId="2" fillId="0" borderId="3" xfId="1" applyFont="1" applyFill="1" applyBorder="1"/>
    <xf numFmtId="43" fontId="3" fillId="3" borderId="0" xfId="0" applyNumberFormat="1" applyFont="1" applyFill="1"/>
    <xf numFmtId="0" fontId="32" fillId="0" borderId="0" xfId="0" applyFont="1"/>
    <xf numFmtId="0" fontId="34" fillId="0" borderId="0" xfId="0" applyFont="1"/>
    <xf numFmtId="2" fontId="34" fillId="0" borderId="0" xfId="0" applyNumberFormat="1" applyFont="1"/>
    <xf numFmtId="0" fontId="35" fillId="0" borderId="0" xfId="0" applyFont="1"/>
    <xf numFmtId="0" fontId="31" fillId="0" borderId="0" xfId="0" applyFont="1"/>
    <xf numFmtId="0" fontId="36" fillId="0" borderId="0" xfId="0" applyFont="1"/>
    <xf numFmtId="0" fontId="37" fillId="0" borderId="0" xfId="0" applyFont="1" applyAlignment="1">
      <alignment horizontal="left"/>
    </xf>
    <xf numFmtId="0" fontId="39" fillId="0" borderId="0" xfId="0" applyFont="1"/>
    <xf numFmtId="166" fontId="39" fillId="0" borderId="0" xfId="0" applyNumberFormat="1" applyFont="1"/>
    <xf numFmtId="166" fontId="36" fillId="0" borderId="0" xfId="0" applyNumberFormat="1" applyFont="1"/>
    <xf numFmtId="0" fontId="40" fillId="0" borderId="0" xfId="0" applyFont="1"/>
    <xf numFmtId="0" fontId="41" fillId="0" borderId="0" xfId="0" applyFont="1" applyAlignment="1">
      <alignment horizontal="left"/>
    </xf>
    <xf numFmtId="0" fontId="33" fillId="0" borderId="0" xfId="0" applyFont="1"/>
    <xf numFmtId="166" fontId="33" fillId="0" borderId="0" xfId="0" applyNumberFormat="1" applyFont="1"/>
    <xf numFmtId="166" fontId="40" fillId="0" borderId="0" xfId="0" applyNumberFormat="1" applyFont="1"/>
    <xf numFmtId="0" fontId="29" fillId="5" borderId="0" xfId="0" applyFont="1" applyFill="1"/>
    <xf numFmtId="2" fontId="28" fillId="5" borderId="0" xfId="0" applyNumberFormat="1" applyFont="1" applyFill="1"/>
    <xf numFmtId="0" fontId="28" fillId="5" borderId="0" xfId="0" applyFont="1" applyFill="1"/>
    <xf numFmtId="165" fontId="29" fillId="5" borderId="0" xfId="0" applyNumberFormat="1" applyFont="1" applyFill="1"/>
    <xf numFmtId="11" fontId="29" fillId="5" borderId="0" xfId="0" applyNumberFormat="1" applyFont="1" applyFill="1"/>
    <xf numFmtId="167" fontId="31" fillId="0" borderId="0" xfId="0" applyNumberFormat="1" applyFont="1"/>
    <xf numFmtId="6" fontId="3" fillId="3" borderId="3" xfId="0" applyNumberFormat="1" applyFont="1" applyFill="1" applyBorder="1"/>
    <xf numFmtId="43" fontId="3" fillId="3" borderId="3" xfId="0" applyNumberFormat="1" applyFont="1" applyFill="1" applyBorder="1"/>
    <xf numFmtId="0" fontId="2" fillId="3" borderId="3" xfId="0" applyFont="1" applyFill="1" applyBorder="1" applyAlignment="1">
      <alignment horizontal="center"/>
    </xf>
    <xf numFmtId="6" fontId="0" fillId="3" borderId="3" xfId="0" applyNumberFormat="1" applyFill="1" applyBorder="1"/>
    <xf numFmtId="43" fontId="0" fillId="3" borderId="3" xfId="0" applyNumberFormat="1" applyFill="1" applyBorder="1"/>
    <xf numFmtId="0" fontId="5" fillId="11" borderId="3" xfId="0" applyFont="1" applyFill="1" applyBorder="1"/>
    <xf numFmtId="169" fontId="2" fillId="11" borderId="3" xfId="1" applyNumberFormat="1" applyFont="1" applyFill="1" applyBorder="1"/>
    <xf numFmtId="0" fontId="5" fillId="11" borderId="1" xfId="0" applyFont="1" applyFill="1" applyBorder="1"/>
    <xf numFmtId="168" fontId="2" fillId="11" borderId="3" xfId="1" applyNumberFormat="1" applyFont="1" applyFill="1" applyBorder="1"/>
    <xf numFmtId="43" fontId="0" fillId="3" borderId="0" xfId="0" applyNumberFormat="1" applyFill="1"/>
    <xf numFmtId="0" fontId="9" fillId="9" borderId="0" xfId="0" applyFont="1" applyFill="1" applyAlignment="1">
      <alignment horizontal="left"/>
    </xf>
    <xf numFmtId="0" fontId="9" fillId="2" borderId="0" xfId="0" applyFont="1" applyFill="1" applyAlignment="1">
      <alignment horizontal="center"/>
    </xf>
    <xf numFmtId="169" fontId="2" fillId="11" borderId="1" xfId="1" applyNumberFormat="1" applyFont="1" applyFill="1" applyBorder="1"/>
    <xf numFmtId="168" fontId="2" fillId="11" borderId="1" xfId="1" applyNumberFormat="1" applyFont="1" applyFill="1" applyBorder="1"/>
    <xf numFmtId="0" fontId="11" fillId="3" borderId="0" xfId="0" applyFont="1" applyFill="1" applyAlignment="1">
      <alignment horizontal="left"/>
    </xf>
    <xf numFmtId="0" fontId="4" fillId="3" borderId="4" xfId="0" applyFont="1" applyFill="1" applyBorder="1"/>
    <xf numFmtId="164" fontId="3" fillId="3" borderId="4" xfId="1" applyNumberFormat="1" applyFont="1" applyFill="1" applyBorder="1"/>
    <xf numFmtId="43" fontId="3" fillId="3" borderId="4" xfId="1" applyFont="1" applyFill="1" applyBorder="1"/>
    <xf numFmtId="164" fontId="4" fillId="3" borderId="0" xfId="0" applyNumberFormat="1" applyFont="1" applyFill="1"/>
    <xf numFmtId="43" fontId="4" fillId="3" borderId="0" xfId="0" applyNumberFormat="1" applyFont="1" applyFill="1"/>
    <xf numFmtId="0" fontId="3" fillId="3" borderId="3" xfId="0" applyFont="1" applyFill="1" applyBorder="1" applyAlignment="1">
      <alignment horizontal="center"/>
    </xf>
    <xf numFmtId="0" fontId="14" fillId="0" borderId="0" xfId="0" applyFont="1"/>
  </cellXfs>
  <cellStyles count="5">
    <cellStyle name="Comma" xfId="1" builtinId="3"/>
    <cellStyle name="Comma 2" xfId="4" xr:uid="{00000000-0005-0000-0000-000001000000}"/>
    <cellStyle name="Normal" xfId="0" builtinId="0"/>
    <cellStyle name="Normal 2" xfId="3" xr:uid="{00000000-0005-0000-0000-000003000000}"/>
    <cellStyle name="Percent" xfId="2" builtinId="5"/>
  </cellStyles>
  <dxfs count="0"/>
  <tableStyles count="0" defaultTableStyle="TableStyleMedium2" defaultPivotStyle="PivotStyleLight16"/>
  <colors>
    <mruColors>
      <color rgb="FFFFF2CC"/>
      <color rgb="FF4472C4"/>
      <color rgb="FF305496"/>
      <color rgb="FF9BC2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cfonline.sharepoint.com/Z/Documents%20and%20Settings/25004/Local%20Settings/Temporary%20Internet%20Files/Content.Outlook/7PYWN2VZ/From%20MTC/forFrank/2005/CommuteByEmploymentLocation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cfonline.sharepoint.com/Z/Documents%20and%20Settings/25004/Local%20Settings/Temporary%20Internet%20Files/Content.Outlook/7PYWN2VZ/From%20MTC/forFrank/2035%20CRP/CommuteByEmploymentLocatio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cfonline.sharepoint.com/Users/eliotrose/Downloads/CommuteByEmploymentLocation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cfonline.sharepoint.com/Users/29480/Desktop/MTC%20strategies/Resources/MTC%20CBO%20Calculator%20v5.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"/>
      <sheetName val="summary.tours"/>
      <sheetName val="summary.mode share"/>
      <sheetName val="summary.distance"/>
      <sheetName val="summary.cost"/>
      <sheetName val="CommuteByEmploymentLocation.csv"/>
      <sheetName val="reference.taz to county"/>
      <sheetName val="reference.county names"/>
      <sheetName val="reference.inflation"/>
    </sheetNames>
    <sheetDataSet>
      <sheetData sheetId="0" refreshError="1">
        <row r="22">
          <cell r="G22" t="str">
            <v>Year 2005 (version 0.0)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"/>
      <sheetName val="summary.tours"/>
      <sheetName val="summary.mode share"/>
      <sheetName val="summary.distance"/>
      <sheetName val="summary.cost"/>
      <sheetName val="CommuteByEmploymentLocation.csv"/>
      <sheetName val="reference.taz to county"/>
      <sheetName val="reference.county names"/>
      <sheetName val="reference.inflation"/>
    </sheetNames>
    <sheetDataSet>
      <sheetData sheetId="0">
        <row r="22">
          <cell r="G22" t="str">
            <v>Year 2035, Draft Adopted and Anticipated Policies (v 0.0)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"/>
      <sheetName val="summary.tours"/>
      <sheetName val="summary.mode share"/>
      <sheetName val="summary.distance"/>
      <sheetName val="summary.cost"/>
      <sheetName val="CommuteByEmploymentLocation.csv"/>
      <sheetName val="reference.taz to county"/>
      <sheetName val="reference.county names"/>
      <sheetName val="reference.inflation"/>
    </sheetNames>
    <sheetDataSet>
      <sheetData sheetId="0" refreshError="1">
        <row r="1">
          <cell r="A1" t="str">
            <v>Commuter Characteristics by Employment Location</v>
          </cell>
        </row>
        <row r="20">
          <cell r="G20" t="str">
            <v>---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p"/>
      <sheetName val="Index"/>
      <sheetName val="Summary"/>
      <sheetName val="SB 375"/>
      <sheetName val="CBO-1_2020"/>
      <sheetName val="CBO-1_2035"/>
      <sheetName val="CBO-2_2020"/>
      <sheetName val="CBO-2_2035"/>
      <sheetName val="CBO1+2_2020"/>
      <sheetName val="CBO1+2_2035"/>
      <sheetName val="Job Growth and Trip Rates"/>
      <sheetName val="Emissions Impacts"/>
      <sheetName val="Assumptions"/>
      <sheetName val="TransitJobs"/>
      <sheetName val="TransitStations"/>
      <sheetName val="Cost"/>
      <sheetName val="Trips2020"/>
      <sheetName val="Trips2035"/>
      <sheetName val="tazData2005"/>
      <sheetName val="tazData2020"/>
      <sheetName val="tazData2035"/>
      <sheetName val="EmFactors2020"/>
      <sheetName val="EmFactors2035"/>
      <sheetName val="EmployerDistribution"/>
      <sheetName val="TransitEm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15">
          <cell r="P15">
            <v>0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E31"/>
  <sheetViews>
    <sheetView tabSelected="1" zoomScaleNormal="100" zoomScalePageLayoutView="85" workbookViewId="0"/>
  </sheetViews>
  <sheetFormatPr defaultColWidth="8.54296875" defaultRowHeight="13" x14ac:dyDescent="0.3"/>
  <cols>
    <col min="1" max="1" width="67.26953125" style="5" customWidth="1"/>
    <col min="2" max="2" width="13.6328125" style="5" bestFit="1" customWidth="1"/>
    <col min="3" max="3" width="16.453125" style="5" customWidth="1"/>
    <col min="4" max="4" width="16" style="5" customWidth="1"/>
    <col min="5" max="5" width="10.54296875" style="5" customWidth="1"/>
    <col min="6" max="6" width="94.453125" style="5" customWidth="1"/>
    <col min="7" max="13" width="13.7265625" style="5" bestFit="1" customWidth="1"/>
    <col min="14" max="26" width="8.54296875" style="5"/>
    <col min="27" max="27" width="10.36328125" style="5" bestFit="1" customWidth="1"/>
    <col min="28" max="16384" width="8.54296875" style="5"/>
  </cols>
  <sheetData>
    <row r="1" spans="1:7" s="12" customFormat="1" ht="27.65" customHeight="1" x14ac:dyDescent="0.35">
      <c r="A1" s="14" t="s">
        <v>85</v>
      </c>
    </row>
    <row r="2" spans="1:7" x14ac:dyDescent="0.3">
      <c r="A2" s="15" t="s">
        <v>0</v>
      </c>
      <c r="B2" s="15"/>
      <c r="C2" s="15"/>
      <c r="D2" s="15"/>
      <c r="E2" s="15"/>
      <c r="F2" s="15"/>
      <c r="G2" s="15"/>
    </row>
    <row r="3" spans="1:7" x14ac:dyDescent="0.3">
      <c r="A3" s="9" t="s">
        <v>1</v>
      </c>
      <c r="B3" s="9" t="s">
        <v>2</v>
      </c>
      <c r="C3" s="6"/>
      <c r="D3" s="6"/>
      <c r="E3" s="6"/>
      <c r="F3" s="25" t="s">
        <v>3</v>
      </c>
    </row>
    <row r="4" spans="1:7" x14ac:dyDescent="0.3">
      <c r="A4" s="22" t="s">
        <v>83</v>
      </c>
      <c r="B4" s="23"/>
      <c r="F4" s="26"/>
    </row>
    <row r="5" spans="1:7" x14ac:dyDescent="0.3">
      <c r="A5" s="20" t="s">
        <v>4</v>
      </c>
      <c r="B5" s="38">
        <f>4261048</f>
        <v>4261048</v>
      </c>
      <c r="C5" s="7"/>
      <c r="D5" s="7"/>
      <c r="E5" s="7"/>
      <c r="F5" s="26" t="s">
        <v>87</v>
      </c>
    </row>
    <row r="6" spans="1:7" x14ac:dyDescent="0.3">
      <c r="A6" s="32" t="s">
        <v>5</v>
      </c>
      <c r="B6" s="39">
        <v>1181</v>
      </c>
      <c r="C6" s="7"/>
      <c r="D6" s="7"/>
      <c r="E6" s="7"/>
      <c r="F6" s="26" t="s">
        <v>81</v>
      </c>
    </row>
    <row r="7" spans="1:7" x14ac:dyDescent="0.3">
      <c r="A7" s="32" t="s">
        <v>89</v>
      </c>
      <c r="B7" s="40">
        <f>B5/B6</f>
        <v>3608</v>
      </c>
      <c r="C7" s="7"/>
      <c r="D7" s="7"/>
      <c r="E7" s="7"/>
      <c r="F7" s="26" t="s">
        <v>82</v>
      </c>
    </row>
    <row r="8" spans="1:7" x14ac:dyDescent="0.3">
      <c r="A8" s="32" t="s">
        <v>6</v>
      </c>
      <c r="B8" s="46">
        <v>2025</v>
      </c>
      <c r="C8" s="7"/>
      <c r="D8" s="7"/>
      <c r="E8" s="7"/>
      <c r="F8" s="26" t="s">
        <v>80</v>
      </c>
    </row>
    <row r="9" spans="1:7" x14ac:dyDescent="0.3">
      <c r="A9" s="32" t="s">
        <v>7</v>
      </c>
      <c r="B9" s="46">
        <v>2029</v>
      </c>
      <c r="C9" s="7"/>
      <c r="D9" s="7"/>
      <c r="E9" s="7"/>
      <c r="F9" s="26" t="s">
        <v>80</v>
      </c>
    </row>
    <row r="10" spans="1:7" x14ac:dyDescent="0.3">
      <c r="A10" s="32" t="s">
        <v>8</v>
      </c>
      <c r="B10" s="47">
        <f>B9-B8+1</f>
        <v>5</v>
      </c>
      <c r="C10" s="7"/>
      <c r="D10" s="7"/>
      <c r="E10" s="7"/>
      <c r="F10" s="26" t="s">
        <v>86</v>
      </c>
    </row>
    <row r="11" spans="1:7" x14ac:dyDescent="0.3">
      <c r="A11" s="24" t="s">
        <v>9</v>
      </c>
      <c r="B11" s="41"/>
      <c r="C11" s="8"/>
      <c r="D11" s="8"/>
      <c r="E11" s="8"/>
      <c r="F11" s="26"/>
    </row>
    <row r="12" spans="1:7" x14ac:dyDescent="0.3">
      <c r="A12" s="33" t="s">
        <v>10</v>
      </c>
      <c r="B12" s="34">
        <v>0.9</v>
      </c>
      <c r="C12" s="8"/>
      <c r="D12" s="8"/>
      <c r="E12" s="8"/>
      <c r="F12" s="28" t="s">
        <v>88</v>
      </c>
    </row>
    <row r="13" spans="1:7" x14ac:dyDescent="0.3">
      <c r="A13" s="33" t="s">
        <v>11</v>
      </c>
      <c r="B13" s="40">
        <f>B7*B12</f>
        <v>3247.2000000000003</v>
      </c>
      <c r="C13" s="8"/>
      <c r="D13" s="8"/>
      <c r="E13" s="8"/>
      <c r="F13" s="28"/>
    </row>
    <row r="14" spans="1:7" x14ac:dyDescent="0.3">
      <c r="A14" s="24" t="s">
        <v>12</v>
      </c>
      <c r="B14" s="35"/>
      <c r="C14" s="29"/>
      <c r="D14" s="29"/>
      <c r="E14" s="7"/>
      <c r="F14" s="26"/>
    </row>
    <row r="15" spans="1:7" x14ac:dyDescent="0.3">
      <c r="A15" s="32" t="s">
        <v>13</v>
      </c>
      <c r="B15" s="36">
        <v>82</v>
      </c>
      <c r="C15" s="30"/>
      <c r="D15" s="30"/>
      <c r="E15" s="7"/>
      <c r="F15" s="43" t="s">
        <v>14</v>
      </c>
    </row>
    <row r="16" spans="1:7" x14ac:dyDescent="0.3">
      <c r="A16" s="32" t="s">
        <v>15</v>
      </c>
      <c r="B16" s="42">
        <f>B15*12/347</f>
        <v>2.8357348703170029</v>
      </c>
      <c r="C16" s="31"/>
      <c r="E16" s="7"/>
      <c r="F16" s="26"/>
    </row>
    <row r="17" spans="1:31" x14ac:dyDescent="0.3">
      <c r="A17" s="24" t="s">
        <v>16</v>
      </c>
      <c r="B17" s="35"/>
      <c r="C17" s="31"/>
      <c r="E17" s="7"/>
      <c r="F17" s="26"/>
    </row>
    <row r="18" spans="1:31" x14ac:dyDescent="0.3">
      <c r="A18" s="32" t="s">
        <v>17</v>
      </c>
      <c r="B18" s="37">
        <v>0.5</v>
      </c>
      <c r="C18" s="31"/>
      <c r="E18" s="7"/>
      <c r="F18" s="43" t="s">
        <v>18</v>
      </c>
    </row>
    <row r="19" spans="1:31" x14ac:dyDescent="0.3">
      <c r="A19" s="32" t="s">
        <v>19</v>
      </c>
      <c r="B19" s="42">
        <f>B16*B18</f>
        <v>1.4178674351585014</v>
      </c>
      <c r="C19" s="31"/>
      <c r="E19" s="7"/>
      <c r="F19" s="26"/>
    </row>
    <row r="21" spans="1:31" x14ac:dyDescent="0.3">
      <c r="A21" s="15" t="s">
        <v>20</v>
      </c>
      <c r="B21" s="13"/>
      <c r="C21" s="13"/>
      <c r="D21" s="44"/>
      <c r="E21" s="15"/>
      <c r="F21" s="27"/>
      <c r="G21" s="27"/>
    </row>
    <row r="22" spans="1:31" ht="14.5" x14ac:dyDescent="0.35">
      <c r="A22" s="10" t="s">
        <v>1</v>
      </c>
      <c r="B22" s="64">
        <v>2025</v>
      </c>
      <c r="C22" s="10">
        <v>2026</v>
      </c>
      <c r="D22" s="10">
        <v>2027</v>
      </c>
      <c r="E22" s="10">
        <v>2028</v>
      </c>
      <c r="F22" s="10">
        <v>2029</v>
      </c>
      <c r="G22" s="10">
        <v>2030</v>
      </c>
      <c r="H22" s="10">
        <v>2031</v>
      </c>
      <c r="I22" s="10">
        <v>2032</v>
      </c>
      <c r="J22" s="10">
        <v>2033</v>
      </c>
      <c r="K22" s="10">
        <v>2034</v>
      </c>
      <c r="L22" s="64">
        <v>2035</v>
      </c>
      <c r="M22" s="10">
        <v>2036</v>
      </c>
      <c r="N22" s="10">
        <v>2037</v>
      </c>
      <c r="O22" s="10">
        <v>2038</v>
      </c>
      <c r="P22" s="10">
        <v>2039</v>
      </c>
      <c r="Q22" s="10">
        <v>2040</v>
      </c>
      <c r="R22" s="10">
        <v>2041</v>
      </c>
      <c r="S22" s="10">
        <v>2042</v>
      </c>
      <c r="T22" s="10">
        <v>2043</v>
      </c>
      <c r="U22" s="10">
        <v>2044</v>
      </c>
      <c r="V22" s="10">
        <v>2045</v>
      </c>
      <c r="W22" s="10">
        <v>2046</v>
      </c>
      <c r="X22" s="10">
        <v>2047</v>
      </c>
      <c r="Y22" s="10">
        <v>2048</v>
      </c>
      <c r="Z22" s="10">
        <v>2049</v>
      </c>
      <c r="AA22" s="91">
        <v>2050</v>
      </c>
    </row>
    <row r="23" spans="1:31" ht="14.5" x14ac:dyDescent="0.35">
      <c r="A23" s="21" t="s">
        <v>21</v>
      </c>
      <c r="B23" s="65">
        <f>VLOOKUP(B22,Calculations!$A$3:$C$33,2,FALSE)*$B$16 + VLOOKUP(B22,Calculations!$A$3:$C$33,3,FALSE)*$B$19</f>
        <v>1841.6396541786746</v>
      </c>
      <c r="C23" s="11">
        <f>VLOOKUP(C22,Calculations!$A$3:$C$33,2,FALSE)*$B$16 + VLOOKUP(C22,Calculations!$A$3:$C$33,3,FALSE)*$B$19</f>
        <v>2762.459481268012</v>
      </c>
      <c r="D23" s="11">
        <f>VLOOKUP(D22,Calculations!$A$3:$C$33,2,FALSE)*$B$16 + VLOOKUP(D22,Calculations!$A$3:$C$33,3,FALSE)*$B$19</f>
        <v>3683.2793083573492</v>
      </c>
      <c r="E23" s="11">
        <f>VLOOKUP(E22,Calculations!$A$3:$C$33,2,FALSE)*$B$16 + VLOOKUP(E22,Calculations!$A$3:$C$33,3,FALSE)*$B$19</f>
        <v>4604.099135446686</v>
      </c>
      <c r="F23" s="11">
        <f>VLOOKUP(F22,Calculations!$A$3:$C$33,2,FALSE)*$B$16 + VLOOKUP(F22,Calculations!$A$3:$C$33,3,FALSE)*$B$19</f>
        <v>5524.9189625360241</v>
      </c>
      <c r="G23" s="11">
        <f>VLOOKUP(G22,Calculations!$A$3:$C$33,2,FALSE)*$B$16 + VLOOKUP(G22,Calculations!$A$3:$C$33,3,FALSE)*$B$19</f>
        <v>4604.099135446686</v>
      </c>
      <c r="H23" s="11">
        <f>VLOOKUP(H22,Calculations!$A$3:$C$33,2,FALSE)*$B$16 + VLOOKUP(H22,Calculations!$A$3:$C$33,3,FALSE)*$B$19</f>
        <v>4604.099135446686</v>
      </c>
      <c r="I23" s="11">
        <f>VLOOKUP(I22,Calculations!$A$3:$C$33,2,FALSE)*$B$16 + VLOOKUP(I22,Calculations!$A$3:$C$33,3,FALSE)*$B$19</f>
        <v>4604.099135446686</v>
      </c>
      <c r="J23" s="11">
        <f>VLOOKUP(J22,Calculations!$A$3:$C$33,2,FALSE)*$B$16 + VLOOKUP(J22,Calculations!$A$3:$C$33,3,FALSE)*$B$19</f>
        <v>4604.099135446686</v>
      </c>
      <c r="K23" s="11">
        <f>VLOOKUP(K22,Calculations!$A$3:$C$33,2,FALSE)*$B$16 + VLOOKUP(K22,Calculations!$A$3:$C$33,3,FALSE)*$B$19</f>
        <v>4604.099135446686</v>
      </c>
      <c r="L23" s="65">
        <f>VLOOKUP(L22,Calculations!$A$3:$C$33,2,FALSE)*$B$16 + VLOOKUP(L22,Calculations!$A$3:$C$33,3,FALSE)*$B$19</f>
        <v>4604.099135446686</v>
      </c>
      <c r="M23" s="11">
        <f>VLOOKUP(M22,Calculations!$A$3:$C$33,2,FALSE)*$B$16 + VLOOKUP(M22,Calculations!$A$3:$C$33,3,FALSE)*$B$19</f>
        <v>4604.099135446686</v>
      </c>
      <c r="N23" s="11">
        <f>VLOOKUP(N22,Calculations!$A$3:$C$33,2,FALSE)*$B$16 + VLOOKUP(N22,Calculations!$A$3:$C$33,3,FALSE)*$B$19</f>
        <v>4604.099135446686</v>
      </c>
      <c r="O23" s="11">
        <f>VLOOKUP(O22,Calculations!$A$3:$C$33,2,FALSE)*$B$16 + VLOOKUP(O22,Calculations!$A$3:$C$33,3,FALSE)*$B$19</f>
        <v>4604.099135446686</v>
      </c>
      <c r="P23" s="11">
        <f>VLOOKUP(P22,Calculations!$A$3:$C$33,2,FALSE)*$B$16 + VLOOKUP(P22,Calculations!$A$3:$C$33,3,FALSE)*$B$19</f>
        <v>4604.099135446686</v>
      </c>
      <c r="Q23" s="11">
        <f>VLOOKUP(Q22,Calculations!$A$3:$C$33,2,FALSE)*$B$16 + VLOOKUP(Q22,Calculations!$A$3:$C$33,3,FALSE)*$B$19</f>
        <v>4604.099135446686</v>
      </c>
      <c r="R23" s="11">
        <f>VLOOKUP(R22,Calculations!$A$3:$C$33,2,FALSE)*$B$16 + VLOOKUP(R22,Calculations!$A$3:$C$33,3,FALSE)*$B$19</f>
        <v>4604.099135446686</v>
      </c>
      <c r="S23" s="11">
        <f>VLOOKUP(S22,Calculations!$A$3:$C$33,2,FALSE)*$B$16 + VLOOKUP(S22,Calculations!$A$3:$C$33,3,FALSE)*$B$19</f>
        <v>4604.099135446686</v>
      </c>
      <c r="T23" s="11">
        <f>VLOOKUP(T22,Calculations!$A$3:$C$33,2,FALSE)*$B$16 + VLOOKUP(T22,Calculations!$A$3:$C$33,3,FALSE)*$B$19</f>
        <v>4604.099135446686</v>
      </c>
      <c r="U23" s="11">
        <f>VLOOKUP(U22,Calculations!$A$3:$C$33,2,FALSE)*$B$16 + VLOOKUP(U22,Calculations!$A$3:$C$33,3,FALSE)*$B$19</f>
        <v>4604.099135446686</v>
      </c>
      <c r="V23" s="11">
        <f>VLOOKUP(V22,Calculations!$A$3:$C$33,2,FALSE)*$B$16 + VLOOKUP(V22,Calculations!$A$3:$C$33,3,FALSE)*$B$19</f>
        <v>4604.099135446686</v>
      </c>
      <c r="W23" s="11">
        <f>VLOOKUP(W22,Calculations!$A$3:$C$33,2,FALSE)*$B$16 + VLOOKUP(W22,Calculations!$A$3:$C$33,3,FALSE)*$B$19</f>
        <v>4604.099135446686</v>
      </c>
      <c r="X23" s="11">
        <f>VLOOKUP(X22,Calculations!$A$3:$C$33,2,FALSE)*$B$16 + VLOOKUP(X22,Calculations!$A$3:$C$33,3,FALSE)*$B$19</f>
        <v>4604.099135446686</v>
      </c>
      <c r="Y23" s="11">
        <f>VLOOKUP(Y22,Calculations!$A$3:$C$33,2,FALSE)*$B$16 + VLOOKUP(Y22,Calculations!$A$3:$C$33,3,FALSE)*$B$19</f>
        <v>4604.099135446686</v>
      </c>
      <c r="Z23" s="11">
        <f>VLOOKUP(Z22,Calculations!$A$3:$C$33,2,FALSE)*$B$16 + VLOOKUP(Z22,Calculations!$A$3:$C$33,3,FALSE)*$B$19</f>
        <v>4604.099135446686</v>
      </c>
      <c r="AA23" s="65">
        <f>VLOOKUP(AA22,Calculations!$A$3:$C$33,2,FALSE)*$B$16 + VLOOKUP(AA22,Calculations!$A$3:$C$33,3,FALSE)*$B$19</f>
        <v>4604.099135446686</v>
      </c>
    </row>
    <row r="24" spans="1:31" ht="14.5" x14ac:dyDescent="0.35">
      <c r="A24" s="21" t="s">
        <v>22</v>
      </c>
      <c r="B24" s="66">
        <f>B23*INDEX('Emission Factors'!$6:$6,,MATCH(B22,'Emission Factors'!$2:$2,0))</f>
        <v>0.70620675463885163</v>
      </c>
      <c r="C24" s="48">
        <f>C23*INDEX('Emission Factors'!$6:$6,,MATCH(C22,'Emission Factors'!$2:$2,0))</f>
        <v>1.059716804992983</v>
      </c>
      <c r="D24" s="48">
        <f>D23*INDEX('Emission Factors'!$6:$6,,MATCH(D22,'Emission Factors'!$2:$2,0))</f>
        <v>1.4134979707035848</v>
      </c>
      <c r="E24" s="48">
        <f>E23*INDEX('Emission Factors'!$6:$6,,MATCH(E22,'Emission Factors'!$2:$2,0))</f>
        <v>1.7675502517706572</v>
      </c>
      <c r="F24" s="48">
        <f>F23*INDEX('Emission Factors'!$6:$6,,MATCH(F22,'Emission Factors'!$2:$2,0))</f>
        <v>2.1218736481942004</v>
      </c>
      <c r="G24" s="48">
        <f>G23*INDEX('Emission Factors'!$6:$6,,MATCH(G22,'Emission Factors'!$2:$2,0))</f>
        <v>1.7689058285530095</v>
      </c>
      <c r="H24" s="48">
        <f>H23*INDEX('Emission Factors'!$6:$6,,MATCH(H22,'Emission Factors'!$2:$2,0))</f>
        <v>1.7695836169441859</v>
      </c>
      <c r="I24" s="48">
        <f>I23*INDEX('Emission Factors'!$6:$6,,MATCH(I22,'Emission Factors'!$2:$2,0))</f>
        <v>1.770261405335362</v>
      </c>
      <c r="J24" s="48">
        <f>J23*INDEX('Emission Factors'!$6:$6,,MATCH(J22,'Emission Factors'!$2:$2,0))</f>
        <v>1.770939193726538</v>
      </c>
      <c r="K24" s="48">
        <f>K23*INDEX('Emission Factors'!$6:$6,,MATCH(K22,'Emission Factors'!$2:$2,0))</f>
        <v>1.7716169821177141</v>
      </c>
      <c r="L24" s="66">
        <f>L23*INDEX('Emission Factors'!$6:$6,,MATCH(L22,'Emission Factors'!$2:$2,0))</f>
        <v>1.772578167146974</v>
      </c>
      <c r="M24" s="48">
        <f>M23*INDEX('Emission Factors'!$6:$6,,MATCH(M22,'Emission Factors'!$2:$2,0))</f>
        <v>1.7736126452381478</v>
      </c>
      <c r="N24" s="48">
        <f>N23*INDEX('Emission Factors'!$6:$6,,MATCH(N22,'Emission Factors'!$2:$2,0))</f>
        <v>1.7749305199674059</v>
      </c>
      <c r="O24" s="48">
        <f>O23*INDEX('Emission Factors'!$6:$6,,MATCH(O22,'Emission Factors'!$2:$2,0))</f>
        <v>1.7762483946966636</v>
      </c>
      <c r="P24" s="48">
        <f>P23*INDEX('Emission Factors'!$6:$6,,MATCH(P22,'Emission Factors'!$2:$2,0))</f>
        <v>1.7775662694259211</v>
      </c>
      <c r="Q24" s="48">
        <f>Q23*INDEX('Emission Factors'!$6:$6,,MATCH(Q22,'Emission Factors'!$2:$2,0))</f>
        <v>1.7788841441551788</v>
      </c>
      <c r="R24" s="48">
        <f>R23*INDEX('Emission Factors'!$6:$6,,MATCH(R22,'Emission Factors'!$2:$2,0))</f>
        <v>1.7802020188844367</v>
      </c>
      <c r="S24" s="48">
        <f>S23*INDEX('Emission Factors'!$6:$6,,MATCH(S22,'Emission Factors'!$2:$2,0))</f>
        <v>1.7815198936136947</v>
      </c>
      <c r="T24" s="48">
        <f>T23*INDEX('Emission Factors'!$6:$6,,MATCH(T22,'Emission Factors'!$2:$2,0))</f>
        <v>1.7681123621398911</v>
      </c>
      <c r="U24" s="48">
        <f>U23*INDEX('Emission Factors'!$6:$6,,MATCH(U22,'Emission Factors'!$2:$2,0))</f>
        <v>1.782854172203272</v>
      </c>
      <c r="V24" s="48">
        <f>V23*INDEX('Emission Factors'!$6:$6,,MATCH(V22,'Emission Factors'!$2:$2,0))</f>
        <v>1.7828705760635919</v>
      </c>
      <c r="W24" s="48">
        <f>W23*INDEX('Emission Factors'!$6:$6,,MATCH(W22,'Emission Factors'!$2:$2,0))</f>
        <v>1.7828869799239118</v>
      </c>
      <c r="X24" s="48">
        <f>X23*INDEX('Emission Factors'!$6:$6,,MATCH(X22,'Emission Factors'!$2:$2,0))</f>
        <v>1.7829033837842314</v>
      </c>
      <c r="Y24" s="48">
        <f>Y23*INDEX('Emission Factors'!$6:$6,,MATCH(Y22,'Emission Factors'!$2:$2,0))</f>
        <v>1.7829197876445513</v>
      </c>
      <c r="Z24" s="48">
        <f>Z23*INDEX('Emission Factors'!$6:$6,,MATCH(Z22,'Emission Factors'!$2:$2,0))</f>
        <v>1.7829361915048711</v>
      </c>
      <c r="AA24" s="66">
        <f>AA23*INDEX('Emission Factors'!$6:$6,,MATCH(AA22,'Emission Factors'!$2:$2,0))</f>
        <v>1.7817863654178674</v>
      </c>
    </row>
    <row r="25" spans="1:31" ht="14.5" x14ac:dyDescent="0.35">
      <c r="A25" s="50" t="s">
        <v>78</v>
      </c>
      <c r="B25" s="89">
        <f t="shared" ref="B25:AA25" si="0">$B$5/$B$10*1.022^($B$8-2024)*(1-(1.022^(IF(B$22&gt;$B$9,$B$9,B22)-$B$8+1)))/(1-1.022)</f>
        <v>870958.2111999999</v>
      </c>
      <c r="C25" s="89">
        <f t="shared" si="0"/>
        <v>1761077.5030463974</v>
      </c>
      <c r="D25" s="89">
        <f t="shared" si="0"/>
        <v>2670779.4193134191</v>
      </c>
      <c r="E25" s="89">
        <f t="shared" si="0"/>
        <v>3600494.7777383146</v>
      </c>
      <c r="F25" s="89">
        <f t="shared" si="0"/>
        <v>4550663.8740485562</v>
      </c>
      <c r="G25" s="89">
        <f t="shared" si="0"/>
        <v>4550663.8740485562</v>
      </c>
      <c r="H25" s="89">
        <f t="shared" si="0"/>
        <v>4550663.8740485562</v>
      </c>
      <c r="I25" s="89">
        <f t="shared" si="0"/>
        <v>4550663.8740485562</v>
      </c>
      <c r="J25" s="89">
        <f t="shared" si="0"/>
        <v>4550663.8740485562</v>
      </c>
      <c r="K25" s="89">
        <f t="shared" si="0"/>
        <v>4550663.8740485562</v>
      </c>
      <c r="L25" s="89">
        <f t="shared" si="0"/>
        <v>4550663.8740485562</v>
      </c>
      <c r="M25" s="89">
        <f t="shared" si="0"/>
        <v>4550663.8740485562</v>
      </c>
      <c r="N25" s="89">
        <f t="shared" si="0"/>
        <v>4550663.8740485562</v>
      </c>
      <c r="O25" s="89">
        <f t="shared" si="0"/>
        <v>4550663.8740485562</v>
      </c>
      <c r="P25" s="89">
        <f t="shared" si="0"/>
        <v>4550663.8740485562</v>
      </c>
      <c r="Q25" s="89">
        <f t="shared" si="0"/>
        <v>4550663.8740485562</v>
      </c>
      <c r="R25" s="89">
        <f t="shared" si="0"/>
        <v>4550663.8740485562</v>
      </c>
      <c r="S25" s="89">
        <f t="shared" si="0"/>
        <v>4550663.8740485562</v>
      </c>
      <c r="T25" s="89">
        <f t="shared" si="0"/>
        <v>4550663.8740485562</v>
      </c>
      <c r="U25" s="89">
        <f t="shared" si="0"/>
        <v>4550663.8740485562</v>
      </c>
      <c r="V25" s="89">
        <f t="shared" si="0"/>
        <v>4550663.8740485562</v>
      </c>
      <c r="W25" s="89">
        <f t="shared" si="0"/>
        <v>4550663.8740485562</v>
      </c>
      <c r="X25" s="89">
        <f t="shared" si="0"/>
        <v>4550663.8740485562</v>
      </c>
      <c r="Y25" s="89">
        <f t="shared" si="0"/>
        <v>4550663.8740485562</v>
      </c>
      <c r="Z25" s="89">
        <f t="shared" si="0"/>
        <v>4550663.8740485562</v>
      </c>
      <c r="AA25" s="92">
        <f t="shared" si="0"/>
        <v>4550663.8740485562</v>
      </c>
    </row>
    <row r="26" spans="1:31" ht="14.5" x14ac:dyDescent="0.35">
      <c r="A26" s="50" t="s">
        <v>79</v>
      </c>
      <c r="B26" s="90">
        <f>B24</f>
        <v>0.70620675463885163</v>
      </c>
      <c r="C26" s="90">
        <f>C24+B26</f>
        <v>1.7659235596318346</v>
      </c>
      <c r="D26" s="90">
        <f>D24+C26</f>
        <v>3.1794215303354196</v>
      </c>
      <c r="E26" s="90">
        <f t="shared" ref="E26:J26" si="1">E24+D26</f>
        <v>4.9469717821060772</v>
      </c>
      <c r="F26" s="90">
        <f>F24+E26</f>
        <v>7.0688454303002777</v>
      </c>
      <c r="G26" s="90">
        <f>G24+F26</f>
        <v>8.837751258853288</v>
      </c>
      <c r="H26" s="90">
        <f t="shared" si="1"/>
        <v>10.607334875797473</v>
      </c>
      <c r="I26" s="90">
        <f t="shared" si="1"/>
        <v>12.377596281132835</v>
      </c>
      <c r="J26" s="90">
        <f t="shared" si="1"/>
        <v>14.148535474859372</v>
      </c>
      <c r="K26" s="90">
        <f t="shared" ref="K26:AA26" si="2">K24+J26</f>
        <v>15.920152456977085</v>
      </c>
      <c r="L26" s="90">
        <f>L24+K26</f>
        <v>17.69273062412406</v>
      </c>
      <c r="M26" s="90">
        <f t="shared" si="2"/>
        <v>19.466343269362209</v>
      </c>
      <c r="N26" s="90">
        <f t="shared" si="2"/>
        <v>21.241273789329615</v>
      </c>
      <c r="O26" s="90">
        <f t="shared" si="2"/>
        <v>23.017522184026276</v>
      </c>
      <c r="P26" s="90">
        <f t="shared" si="2"/>
        <v>24.795088453452198</v>
      </c>
      <c r="Q26" s="90">
        <f t="shared" si="2"/>
        <v>26.573972597607376</v>
      </c>
      <c r="R26" s="90">
        <f t="shared" si="2"/>
        <v>28.354174616491814</v>
      </c>
      <c r="S26" s="90">
        <f t="shared" si="2"/>
        <v>30.135694510105509</v>
      </c>
      <c r="T26" s="90">
        <f t="shared" si="2"/>
        <v>31.903806872245401</v>
      </c>
      <c r="U26" s="90">
        <f t="shared" si="2"/>
        <v>33.68666104444867</v>
      </c>
      <c r="V26" s="90">
        <f t="shared" si="2"/>
        <v>35.469531620512264</v>
      </c>
      <c r="W26" s="90">
        <f t="shared" si="2"/>
        <v>37.252418600436172</v>
      </c>
      <c r="X26" s="90">
        <f t="shared" si="2"/>
        <v>39.035321984220403</v>
      </c>
      <c r="Y26" s="90">
        <f t="shared" si="2"/>
        <v>40.818241771864955</v>
      </c>
      <c r="Z26" s="90">
        <f t="shared" si="2"/>
        <v>42.601177963369828</v>
      </c>
      <c r="AA26" s="93">
        <f t="shared" si="2"/>
        <v>44.382964328787693</v>
      </c>
    </row>
    <row r="27" spans="1:31" ht="14.5" x14ac:dyDescent="0.35">
      <c r="B27" s="98"/>
      <c r="C27" s="98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</row>
    <row r="28" spans="1:31" ht="15.5" x14ac:dyDescent="0.35">
      <c r="A28" s="99" t="s">
        <v>76</v>
      </c>
      <c r="B28" s="100" t="s">
        <v>68</v>
      </c>
      <c r="C28" s="100" t="s">
        <v>69</v>
      </c>
      <c r="E28" s="103"/>
    </row>
    <row r="29" spans="1:31" ht="14.5" x14ac:dyDescent="0.35">
      <c r="A29" s="94" t="s">
        <v>65</v>
      </c>
      <c r="B29" s="95">
        <f>G26*365</f>
        <v>3225.7792094814499</v>
      </c>
      <c r="C29" s="101">
        <f>AA26*365</f>
        <v>16199.781980007509</v>
      </c>
      <c r="D29" s="104"/>
      <c r="E29" s="108"/>
    </row>
    <row r="30" spans="1:31" ht="14.5" x14ac:dyDescent="0.35">
      <c r="A30" s="96" t="s">
        <v>66</v>
      </c>
      <c r="B30" s="97">
        <f>G25</f>
        <v>4550663.8740485562</v>
      </c>
      <c r="C30" s="102">
        <f>AA25</f>
        <v>4550663.8740485562</v>
      </c>
      <c r="D30" s="105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7"/>
      <c r="R30" s="107"/>
      <c r="S30" s="107"/>
      <c r="T30" s="107"/>
      <c r="U30" s="107"/>
      <c r="V30" s="107"/>
      <c r="W30" s="107"/>
      <c r="X30" s="107"/>
      <c r="Y30" s="107"/>
      <c r="Z30" s="107"/>
      <c r="AA30" s="107"/>
      <c r="AB30" s="107"/>
      <c r="AC30" s="107"/>
      <c r="AD30" s="107"/>
      <c r="AE30" s="107"/>
    </row>
    <row r="31" spans="1:31" ht="14.5" x14ac:dyDescent="0.35">
      <c r="A31" s="96" t="s">
        <v>67</v>
      </c>
      <c r="B31" s="95">
        <f>B30/B29</f>
        <v>1410.7177145518538</v>
      </c>
      <c r="C31" s="101">
        <f>C30/C29</f>
        <v>280.90895788996579</v>
      </c>
      <c r="D31" s="106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7"/>
      <c r="S31" s="107"/>
      <c r="T31" s="107"/>
      <c r="U31" s="107"/>
      <c r="V31" s="107"/>
      <c r="W31" s="107"/>
      <c r="X31" s="107"/>
      <c r="Y31" s="107"/>
      <c r="Z31" s="107"/>
      <c r="AA31" s="107"/>
      <c r="AB31" s="107"/>
      <c r="AC31" s="107"/>
      <c r="AD31" s="107"/>
      <c r="AE31" s="107"/>
    </row>
  </sheetData>
  <phoneticPr fontId="17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1C8BAF-5A21-48CE-B778-14E7DE2ECD89}">
  <dimension ref="A1:C33"/>
  <sheetViews>
    <sheetView workbookViewId="0">
      <selection activeCell="B9" sqref="B9"/>
    </sheetView>
  </sheetViews>
  <sheetFormatPr defaultRowHeight="14.5" x14ac:dyDescent="0.35"/>
  <cols>
    <col min="1" max="1" width="9.1796875" style="1"/>
    <col min="2" max="2" width="12" bestFit="1" customWidth="1"/>
  </cols>
  <sheetData>
    <row r="1" spans="1:3" x14ac:dyDescent="0.35">
      <c r="A1" s="45" t="s">
        <v>37</v>
      </c>
      <c r="B1" s="2" t="s">
        <v>38</v>
      </c>
      <c r="C1" s="2" t="s">
        <v>39</v>
      </c>
    </row>
    <row r="3" spans="1:3" x14ac:dyDescent="0.35">
      <c r="A3" s="1">
        <v>2020</v>
      </c>
      <c r="B3">
        <f>IF(AND(A3&gt;='Main sheet'!$B$8,A3&lt;='Main sheet'!$B$9),'Main sheet'!$B$13/'Main sheet'!$B$10,0)</f>
        <v>0</v>
      </c>
      <c r="C3">
        <v>0</v>
      </c>
    </row>
    <row r="4" spans="1:3" x14ac:dyDescent="0.35">
      <c r="A4" s="1">
        <v>2021</v>
      </c>
      <c r="B4">
        <f>IF(AND(A4&gt;='Main sheet'!$B$8,A4&lt;='Main sheet'!$B$9),'Main sheet'!$B$13/'Main sheet'!$B$10,0)</f>
        <v>0</v>
      </c>
      <c r="C4">
        <f>SUM(B3)</f>
        <v>0</v>
      </c>
    </row>
    <row r="5" spans="1:3" x14ac:dyDescent="0.35">
      <c r="A5" s="1">
        <v>2022</v>
      </c>
      <c r="B5">
        <f>IF(AND(A5&gt;='Main sheet'!$B$8,A5&lt;='Main sheet'!$B$9),'Main sheet'!$B$13/'Main sheet'!$B$10,0)</f>
        <v>0</v>
      </c>
      <c r="C5">
        <f>SUM(B3:B4)</f>
        <v>0</v>
      </c>
    </row>
    <row r="6" spans="1:3" x14ac:dyDescent="0.35">
      <c r="A6" s="1">
        <v>2023</v>
      </c>
      <c r="B6">
        <f>IF(AND(A6&gt;='Main sheet'!$B$8,A6&lt;='Main sheet'!$B$9),'Main sheet'!$B$13/'Main sheet'!$B$10,0)</f>
        <v>0</v>
      </c>
      <c r="C6">
        <f>SUM(B3:B5)</f>
        <v>0</v>
      </c>
    </row>
    <row r="7" spans="1:3" x14ac:dyDescent="0.35">
      <c r="A7" s="1">
        <v>2024</v>
      </c>
      <c r="B7">
        <f>IF(AND(A7&gt;='Main sheet'!$B$8,A7&lt;='Main sheet'!$B$9),'Main sheet'!$B$13/'Main sheet'!$B$10,0)</f>
        <v>0</v>
      </c>
      <c r="C7">
        <f>C6+B6</f>
        <v>0</v>
      </c>
    </row>
    <row r="8" spans="1:3" x14ac:dyDescent="0.35">
      <c r="A8" s="1">
        <v>2025</v>
      </c>
      <c r="B8">
        <f>IF(AND(A8&gt;='Main sheet'!$B$8,A8&lt;='Main sheet'!$B$9),'Main sheet'!$B$13/'Main sheet'!$B$10,0)</f>
        <v>649.44000000000005</v>
      </c>
      <c r="C8">
        <f t="shared" ref="C8:C33" si="0">C7+B7</f>
        <v>0</v>
      </c>
    </row>
    <row r="9" spans="1:3" x14ac:dyDescent="0.35">
      <c r="A9" s="1">
        <v>2026</v>
      </c>
      <c r="B9">
        <f>IF(AND(A9&gt;='Main sheet'!$B$8,A9&lt;='Main sheet'!$B$9),'Main sheet'!$B$13/'Main sheet'!$B$10,0)</f>
        <v>649.44000000000005</v>
      </c>
      <c r="C9">
        <f t="shared" si="0"/>
        <v>649.44000000000005</v>
      </c>
    </row>
    <row r="10" spans="1:3" x14ac:dyDescent="0.35">
      <c r="A10" s="1">
        <v>2027</v>
      </c>
      <c r="B10">
        <f>IF(AND(A10&gt;='Main sheet'!$B$8,A10&lt;='Main sheet'!$B$9),'Main sheet'!$B$13/'Main sheet'!$B$10,0)</f>
        <v>649.44000000000005</v>
      </c>
      <c r="C10">
        <f t="shared" si="0"/>
        <v>1298.8800000000001</v>
      </c>
    </row>
    <row r="11" spans="1:3" x14ac:dyDescent="0.35">
      <c r="A11" s="1">
        <v>2028</v>
      </c>
      <c r="B11">
        <f>IF(AND(A11&gt;='Main sheet'!$B$8,A11&lt;='Main sheet'!$B$9),'Main sheet'!$B$13/'Main sheet'!$B$10,0)</f>
        <v>649.44000000000005</v>
      </c>
      <c r="C11">
        <f t="shared" si="0"/>
        <v>1948.3200000000002</v>
      </c>
    </row>
    <row r="12" spans="1:3" x14ac:dyDescent="0.35">
      <c r="A12" s="1">
        <v>2029</v>
      </c>
      <c r="B12">
        <f>IF(AND(A12&gt;='Main sheet'!$B$8,A12&lt;='Main sheet'!$B$9),'Main sheet'!$B$13/'Main sheet'!$B$10,0)</f>
        <v>649.44000000000005</v>
      </c>
      <c r="C12">
        <f t="shared" si="0"/>
        <v>2597.7600000000002</v>
      </c>
    </row>
    <row r="13" spans="1:3" x14ac:dyDescent="0.35">
      <c r="A13" s="1">
        <v>2030</v>
      </c>
      <c r="B13">
        <f>IF(AND(A13&gt;='Main sheet'!$B$8,A13&lt;='Main sheet'!$B$9),'Main sheet'!$B$13/'Main sheet'!$B$10,0)</f>
        <v>0</v>
      </c>
      <c r="C13">
        <f t="shared" si="0"/>
        <v>3247.2000000000003</v>
      </c>
    </row>
    <row r="14" spans="1:3" x14ac:dyDescent="0.35">
      <c r="A14" s="1">
        <v>2031</v>
      </c>
      <c r="B14">
        <f>IF(AND(A14&gt;='Main sheet'!$B$8,A14&lt;='Main sheet'!$B$9),'Main sheet'!$B$13/'Main sheet'!$B$10,0)</f>
        <v>0</v>
      </c>
      <c r="C14">
        <f t="shared" si="0"/>
        <v>3247.2000000000003</v>
      </c>
    </row>
    <row r="15" spans="1:3" x14ac:dyDescent="0.35">
      <c r="A15" s="1">
        <v>2032</v>
      </c>
      <c r="B15">
        <f>IF(AND(A15&gt;='Main sheet'!$B$8,A15&lt;='Main sheet'!$B$9),'Main sheet'!$B$13/'Main sheet'!$B$10,0)</f>
        <v>0</v>
      </c>
      <c r="C15">
        <f t="shared" si="0"/>
        <v>3247.2000000000003</v>
      </c>
    </row>
    <row r="16" spans="1:3" x14ac:dyDescent="0.35">
      <c r="A16" s="1">
        <v>2033</v>
      </c>
      <c r="B16">
        <f>IF(AND(A16&gt;='Main sheet'!$B$8,A16&lt;='Main sheet'!$B$9),'Main sheet'!$B$13/'Main sheet'!$B$10,0)</f>
        <v>0</v>
      </c>
      <c r="C16">
        <f t="shared" si="0"/>
        <v>3247.2000000000003</v>
      </c>
    </row>
    <row r="17" spans="1:3" x14ac:dyDescent="0.35">
      <c r="A17" s="1">
        <v>2034</v>
      </c>
      <c r="B17">
        <f>IF(AND(A17&gt;='Main sheet'!$B$8,A17&lt;='Main sheet'!$B$9),'Main sheet'!$B$13/'Main sheet'!$B$10,0)</f>
        <v>0</v>
      </c>
      <c r="C17">
        <f t="shared" si="0"/>
        <v>3247.2000000000003</v>
      </c>
    </row>
    <row r="18" spans="1:3" x14ac:dyDescent="0.35">
      <c r="A18" s="1">
        <v>2035</v>
      </c>
      <c r="B18">
        <f>IF(AND(A18&gt;='Main sheet'!$B$8,A18&lt;='Main sheet'!$B$9),'Main sheet'!$B$13/'Main sheet'!$B$10,0)</f>
        <v>0</v>
      </c>
      <c r="C18">
        <f t="shared" si="0"/>
        <v>3247.2000000000003</v>
      </c>
    </row>
    <row r="19" spans="1:3" x14ac:dyDescent="0.35">
      <c r="A19" s="1">
        <v>2036</v>
      </c>
      <c r="B19">
        <f>IF(AND(A19&gt;='Main sheet'!$B$8,A19&lt;='Main sheet'!$B$9),'Main sheet'!$B$13/'Main sheet'!$B$10,0)</f>
        <v>0</v>
      </c>
      <c r="C19">
        <f t="shared" si="0"/>
        <v>3247.2000000000003</v>
      </c>
    </row>
    <row r="20" spans="1:3" x14ac:dyDescent="0.35">
      <c r="A20" s="1">
        <v>2037</v>
      </c>
      <c r="B20">
        <f>IF(AND(A20&gt;='Main sheet'!$B$8,A20&lt;='Main sheet'!$B$9),'Main sheet'!$B$13/'Main sheet'!$B$10,0)</f>
        <v>0</v>
      </c>
      <c r="C20">
        <f t="shared" si="0"/>
        <v>3247.2000000000003</v>
      </c>
    </row>
    <row r="21" spans="1:3" x14ac:dyDescent="0.35">
      <c r="A21" s="1">
        <v>2038</v>
      </c>
      <c r="B21">
        <f>IF(AND(A21&gt;='Main sheet'!$B$8,A21&lt;='Main sheet'!$B$9),'Main sheet'!$B$13/'Main sheet'!$B$10,0)</f>
        <v>0</v>
      </c>
      <c r="C21">
        <f t="shared" si="0"/>
        <v>3247.2000000000003</v>
      </c>
    </row>
    <row r="22" spans="1:3" x14ac:dyDescent="0.35">
      <c r="A22" s="1">
        <v>2039</v>
      </c>
      <c r="B22">
        <f>IF(AND(A22&gt;='Main sheet'!$B$8,A22&lt;='Main sheet'!$B$9),'Main sheet'!$B$13/'Main sheet'!$B$10,0)</f>
        <v>0</v>
      </c>
      <c r="C22">
        <f t="shared" si="0"/>
        <v>3247.2000000000003</v>
      </c>
    </row>
    <row r="23" spans="1:3" x14ac:dyDescent="0.35">
      <c r="A23" s="1">
        <v>2040</v>
      </c>
      <c r="B23">
        <f>IF(AND(A23&gt;='Main sheet'!$B$8,A23&lt;='Main sheet'!$B$9),'Main sheet'!$B$13/'Main sheet'!$B$10,0)</f>
        <v>0</v>
      </c>
      <c r="C23">
        <f t="shared" si="0"/>
        <v>3247.2000000000003</v>
      </c>
    </row>
    <row r="24" spans="1:3" x14ac:dyDescent="0.35">
      <c r="A24" s="1">
        <v>2041</v>
      </c>
      <c r="B24">
        <f>IF(AND(A24&gt;='Main sheet'!$B$8,A24&lt;='Main sheet'!$B$9),'Main sheet'!$B$13/'Main sheet'!$B$10,0)</f>
        <v>0</v>
      </c>
      <c r="C24">
        <f t="shared" si="0"/>
        <v>3247.2000000000003</v>
      </c>
    </row>
    <row r="25" spans="1:3" x14ac:dyDescent="0.35">
      <c r="A25" s="1">
        <v>2042</v>
      </c>
      <c r="B25">
        <f>IF(AND(A25&gt;='Main sheet'!$B$8,A25&lt;='Main sheet'!$B$9),'Main sheet'!$B$13/'Main sheet'!$B$10,0)</f>
        <v>0</v>
      </c>
      <c r="C25">
        <f t="shared" si="0"/>
        <v>3247.2000000000003</v>
      </c>
    </row>
    <row r="26" spans="1:3" x14ac:dyDescent="0.35">
      <c r="A26" s="1">
        <v>2043</v>
      </c>
      <c r="B26">
        <f>IF(AND(A26&gt;='Main sheet'!$B$8,A26&lt;='Main sheet'!$B$9),'Main sheet'!$B$13/'Main sheet'!$B$10,0)</f>
        <v>0</v>
      </c>
      <c r="C26">
        <f t="shared" si="0"/>
        <v>3247.2000000000003</v>
      </c>
    </row>
    <row r="27" spans="1:3" x14ac:dyDescent="0.35">
      <c r="A27" s="1">
        <v>2044</v>
      </c>
      <c r="B27">
        <f>IF(AND(A27&gt;='Main sheet'!$B$8,A27&lt;='Main sheet'!$B$9),'Main sheet'!$B$13/'Main sheet'!$B$10,0)</f>
        <v>0</v>
      </c>
      <c r="C27">
        <f t="shared" si="0"/>
        <v>3247.2000000000003</v>
      </c>
    </row>
    <row r="28" spans="1:3" x14ac:dyDescent="0.35">
      <c r="A28" s="1">
        <v>2045</v>
      </c>
      <c r="B28">
        <f>IF(AND(A28&gt;='Main sheet'!$B$8,A28&lt;='Main sheet'!$B$9),'Main sheet'!$B$13/'Main sheet'!$B$10,0)</f>
        <v>0</v>
      </c>
      <c r="C28">
        <f t="shared" si="0"/>
        <v>3247.2000000000003</v>
      </c>
    </row>
    <row r="29" spans="1:3" x14ac:dyDescent="0.35">
      <c r="A29" s="1">
        <v>2046</v>
      </c>
      <c r="B29">
        <f>IF(AND(A29&gt;='Main sheet'!$B$8,A29&lt;='Main sheet'!$B$9),'Main sheet'!$B$13/'Main sheet'!$B$10,0)</f>
        <v>0</v>
      </c>
      <c r="C29">
        <f t="shared" si="0"/>
        <v>3247.2000000000003</v>
      </c>
    </row>
    <row r="30" spans="1:3" x14ac:dyDescent="0.35">
      <c r="A30" s="1">
        <v>2047</v>
      </c>
      <c r="B30">
        <f>IF(AND(A30&gt;='Main sheet'!$B$8,A30&lt;='Main sheet'!$B$9),'Main sheet'!$B$13/'Main sheet'!$B$10,0)</f>
        <v>0</v>
      </c>
      <c r="C30">
        <f t="shared" si="0"/>
        <v>3247.2000000000003</v>
      </c>
    </row>
    <row r="31" spans="1:3" x14ac:dyDescent="0.35">
      <c r="A31" s="1">
        <v>2048</v>
      </c>
      <c r="B31">
        <f>IF(AND(A31&gt;='Main sheet'!$B$8,A31&lt;='Main sheet'!$B$9),'Main sheet'!$B$13/'Main sheet'!$B$10,0)</f>
        <v>0</v>
      </c>
      <c r="C31">
        <f t="shared" si="0"/>
        <v>3247.2000000000003</v>
      </c>
    </row>
    <row r="32" spans="1:3" x14ac:dyDescent="0.35">
      <c r="A32" s="1">
        <v>2049</v>
      </c>
      <c r="B32">
        <f>IF(AND(A32&gt;='Main sheet'!$B$8,A32&lt;='Main sheet'!$B$9),'Main sheet'!$B$13/'Main sheet'!$B$10,0)</f>
        <v>0</v>
      </c>
      <c r="C32">
        <f t="shared" si="0"/>
        <v>3247.2000000000003</v>
      </c>
    </row>
    <row r="33" spans="1:3" x14ac:dyDescent="0.35">
      <c r="A33" s="1">
        <v>2050</v>
      </c>
      <c r="B33">
        <f>IF(AND(A33&gt;='Main sheet'!$B$8,A33&lt;='Main sheet'!$B$9),'Main sheet'!$B$13/'Main sheet'!$B$10,0)</f>
        <v>0</v>
      </c>
      <c r="C33">
        <f t="shared" si="0"/>
        <v>3247.2000000000003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4472C4"/>
  </sheetPr>
  <dimension ref="A1:F8"/>
  <sheetViews>
    <sheetView workbookViewId="0">
      <pane ySplit="2" topLeftCell="A3" activePane="bottomLeft" state="frozen"/>
      <selection pane="bottomLeft" activeCell="A2" sqref="A2"/>
    </sheetView>
  </sheetViews>
  <sheetFormatPr defaultColWidth="9.1796875" defaultRowHeight="13" x14ac:dyDescent="0.3"/>
  <cols>
    <col min="1" max="1" width="32.453125" style="1" bestFit="1" customWidth="1"/>
    <col min="2" max="2" width="18.453125" style="1" bestFit="1" customWidth="1"/>
    <col min="3" max="3" width="18.7265625" style="1" bestFit="1" customWidth="1"/>
    <col min="4" max="4" width="38.453125" style="1" bestFit="1" customWidth="1"/>
    <col min="5" max="5" width="15.453125" style="1" bestFit="1" customWidth="1"/>
    <col min="6" max="6" width="14.453125" style="3" customWidth="1"/>
    <col min="7" max="16384" width="9.1796875" style="1"/>
  </cols>
  <sheetData>
    <row r="1" spans="1:4" ht="15.5" x14ac:dyDescent="0.35">
      <c r="A1" s="68" t="s">
        <v>84</v>
      </c>
    </row>
    <row r="2" spans="1:4" s="5" customFormat="1" x14ac:dyDescent="0.3">
      <c r="A2" s="49" t="s">
        <v>75</v>
      </c>
      <c r="B2" s="49" t="s">
        <v>23</v>
      </c>
      <c r="C2" s="49" t="s">
        <v>24</v>
      </c>
      <c r="D2" s="49" t="s">
        <v>25</v>
      </c>
    </row>
    <row r="3" spans="1:4" s="5" customFormat="1" x14ac:dyDescent="0.3">
      <c r="A3" s="50" t="s">
        <v>26</v>
      </c>
      <c r="B3" s="50">
        <v>150</v>
      </c>
      <c r="C3" s="50">
        <v>300</v>
      </c>
      <c r="D3" s="50" t="s">
        <v>27</v>
      </c>
    </row>
    <row r="4" spans="1:4" s="5" customFormat="1" x14ac:dyDescent="0.3">
      <c r="A4" s="50" t="s">
        <v>28</v>
      </c>
      <c r="B4" s="50">
        <v>500</v>
      </c>
      <c r="C4" s="50">
        <v>500</v>
      </c>
      <c r="D4" s="50" t="s">
        <v>29</v>
      </c>
    </row>
    <row r="5" spans="1:4" s="5" customFormat="1" x14ac:dyDescent="0.3">
      <c r="A5" s="50" t="s">
        <v>30</v>
      </c>
      <c r="B5" s="50">
        <v>100</v>
      </c>
      <c r="C5" s="50">
        <v>600</v>
      </c>
      <c r="D5" s="50" t="s">
        <v>31</v>
      </c>
    </row>
    <row r="6" spans="1:4" s="5" customFormat="1" x14ac:dyDescent="0.3">
      <c r="A6" s="50" t="s">
        <v>32</v>
      </c>
      <c r="B6" s="50">
        <v>50</v>
      </c>
      <c r="C6" s="50">
        <v>500</v>
      </c>
      <c r="D6" s="50" t="s">
        <v>33</v>
      </c>
    </row>
    <row r="7" spans="1:4" s="5" customFormat="1" x14ac:dyDescent="0.3">
      <c r="A7" s="50" t="s">
        <v>34</v>
      </c>
      <c r="B7" s="50">
        <v>300</v>
      </c>
      <c r="C7" s="50">
        <v>1000</v>
      </c>
      <c r="D7" s="50" t="s">
        <v>35</v>
      </c>
    </row>
    <row r="8" spans="1:4" s="5" customFormat="1" ht="15" customHeight="1" x14ac:dyDescent="0.3">
      <c r="A8" s="50" t="s">
        <v>36</v>
      </c>
      <c r="B8" s="109">
        <f>AVERAGE(B3:C7)</f>
        <v>400</v>
      </c>
      <c r="C8" s="109"/>
      <c r="D8" s="50"/>
    </row>
  </sheetData>
  <mergeCells count="1">
    <mergeCell ref="B8:C8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814B4-892A-442D-94F6-085DB4E127BE}">
  <sheetPr>
    <tabColor rgb="FF7030A0"/>
  </sheetPr>
  <dimension ref="A1:AA81"/>
  <sheetViews>
    <sheetView workbookViewId="0">
      <selection activeCell="B1" sqref="B1"/>
    </sheetView>
  </sheetViews>
  <sheetFormatPr defaultColWidth="8.54296875" defaultRowHeight="14.5" x14ac:dyDescent="0.35"/>
  <cols>
    <col min="1" max="1" width="40.54296875" bestFit="1" customWidth="1"/>
    <col min="2" max="4" width="17.81640625" bestFit="1" customWidth="1"/>
    <col min="5" max="5" width="18.7265625" customWidth="1"/>
    <col min="6" max="9" width="12" customWidth="1"/>
  </cols>
  <sheetData>
    <row r="1" spans="1:27" x14ac:dyDescent="0.35">
      <c r="A1" s="51" t="s">
        <v>40</v>
      </c>
      <c r="B1" s="51" t="s">
        <v>70</v>
      </c>
      <c r="C1" s="51" t="s">
        <v>47</v>
      </c>
      <c r="D1" s="51"/>
      <c r="E1" s="51" t="s">
        <v>71</v>
      </c>
      <c r="H1" s="51" t="s">
        <v>77</v>
      </c>
      <c r="I1" s="51"/>
      <c r="J1" s="53"/>
    </row>
    <row r="2" spans="1:27" x14ac:dyDescent="0.35">
      <c r="A2" s="52"/>
      <c r="B2" s="83">
        <v>2025</v>
      </c>
      <c r="C2" s="69">
        <v>2026</v>
      </c>
      <c r="D2" s="69">
        <v>2027</v>
      </c>
      <c r="E2" s="69">
        <v>2028</v>
      </c>
      <c r="F2" s="69">
        <v>2029</v>
      </c>
      <c r="G2" s="69">
        <v>2030</v>
      </c>
      <c r="H2" s="69">
        <v>2031</v>
      </c>
      <c r="I2" s="69">
        <v>2032</v>
      </c>
      <c r="J2" s="69">
        <v>2033</v>
      </c>
      <c r="K2" s="69">
        <v>2034</v>
      </c>
      <c r="L2" s="83">
        <v>2035</v>
      </c>
      <c r="M2" s="69">
        <v>2036</v>
      </c>
      <c r="N2" s="69">
        <v>2037</v>
      </c>
      <c r="O2" s="69">
        <v>2038</v>
      </c>
      <c r="P2" s="69">
        <v>2039</v>
      </c>
      <c r="Q2" s="69">
        <v>2040</v>
      </c>
      <c r="R2" s="69">
        <v>2041</v>
      </c>
      <c r="S2" s="69">
        <v>2042</v>
      </c>
      <c r="T2" s="83">
        <v>2043</v>
      </c>
      <c r="U2" s="69">
        <v>2044</v>
      </c>
      <c r="V2" s="69">
        <v>2045</v>
      </c>
      <c r="W2" s="69">
        <v>2046</v>
      </c>
      <c r="X2" s="69">
        <v>2047</v>
      </c>
      <c r="Y2" s="69">
        <v>2048</v>
      </c>
      <c r="Z2" s="69">
        <v>2049</v>
      </c>
      <c r="AA2" s="83">
        <v>2050</v>
      </c>
    </row>
    <row r="3" spans="1:27" x14ac:dyDescent="0.35">
      <c r="A3" s="51" t="s">
        <v>41</v>
      </c>
      <c r="B3" s="84">
        <v>347.87449708016311</v>
      </c>
      <c r="C3" s="70">
        <f>$B$3+(($L$3-$B$3)/(2035-2025)*(C2-$B$2))</f>
        <v>348.00804737214679</v>
      </c>
      <c r="D3" s="70">
        <f t="shared" ref="D3:K3" si="0">$B$3+(($L$3-$B$3)/(2035-2025)*(D2-$B$2))</f>
        <v>348.14159766413047</v>
      </c>
      <c r="E3" s="70">
        <f t="shared" si="0"/>
        <v>348.27514795611415</v>
      </c>
      <c r="F3" s="70">
        <f t="shared" si="0"/>
        <v>348.40869824809783</v>
      </c>
      <c r="G3" s="70">
        <f t="shared" si="0"/>
        <v>348.54224854008157</v>
      </c>
      <c r="H3" s="70">
        <f t="shared" si="0"/>
        <v>348.67579883206525</v>
      </c>
      <c r="I3" s="70">
        <f t="shared" si="0"/>
        <v>348.80934912404894</v>
      </c>
      <c r="J3" s="70">
        <f t="shared" si="0"/>
        <v>348.94289941603262</v>
      </c>
      <c r="K3" s="70">
        <f t="shared" si="0"/>
        <v>349.0764497080163</v>
      </c>
      <c r="L3" s="85">
        <v>349.21</v>
      </c>
      <c r="M3" s="70">
        <f>$L$3+(($T$3-$L$3)/(2043-2035)*(M2-$L$2))</f>
        <v>349.46967183442734</v>
      </c>
      <c r="N3" s="70">
        <f t="shared" ref="N3:S3" si="1">$L$3+(($T$3-$L$3)/(2043-2035)*(N2-$L$2))</f>
        <v>349.72934366885477</v>
      </c>
      <c r="O3" s="70">
        <f t="shared" si="1"/>
        <v>349.98901550328213</v>
      </c>
      <c r="P3" s="70">
        <f t="shared" si="1"/>
        <v>350.2486873377095</v>
      </c>
      <c r="Q3" s="70">
        <f t="shared" si="1"/>
        <v>350.50835917213686</v>
      </c>
      <c r="R3" s="70">
        <f t="shared" si="1"/>
        <v>350.76803100656423</v>
      </c>
      <c r="S3" s="70">
        <f t="shared" si="1"/>
        <v>351.02770284099165</v>
      </c>
      <c r="T3" s="84">
        <v>351.28737467541902</v>
      </c>
      <c r="U3" s="70">
        <f>$T$3+(($AA$3-$T$3)/(2050-2043)*(U2-$T$2))</f>
        <v>351.29060686464487</v>
      </c>
      <c r="V3" s="70">
        <f t="shared" ref="V3:Z3" si="2">$T$3+(($AA$3-$T$3)/(2050-2043)*(V2-$T$2))</f>
        <v>351.29383905387073</v>
      </c>
      <c r="W3" s="70">
        <f t="shared" si="2"/>
        <v>351.29707124309658</v>
      </c>
      <c r="X3" s="70">
        <f t="shared" si="2"/>
        <v>351.30030343232244</v>
      </c>
      <c r="Y3" s="70">
        <f t="shared" si="2"/>
        <v>351.30353562154829</v>
      </c>
      <c r="Z3" s="70">
        <f t="shared" si="2"/>
        <v>351.30676781077415</v>
      </c>
      <c r="AA3" s="85">
        <v>351.31</v>
      </c>
    </row>
    <row r="4" spans="1:27" x14ac:dyDescent="0.35">
      <c r="A4" s="51" t="s">
        <v>42</v>
      </c>
      <c r="B4" s="85">
        <v>453.59199999999998</v>
      </c>
      <c r="C4" s="71">
        <v>453.59199999999998</v>
      </c>
      <c r="D4" s="71">
        <v>453.59199999999998</v>
      </c>
      <c r="E4" s="71">
        <v>453.59199999999998</v>
      </c>
      <c r="F4" s="71">
        <v>453.59199999999998</v>
      </c>
      <c r="G4" s="71">
        <v>453.59199999999998</v>
      </c>
      <c r="H4" s="71">
        <v>453.59199999999998</v>
      </c>
      <c r="I4" s="71">
        <v>453.59199999999998</v>
      </c>
      <c r="J4" s="71">
        <v>453.59199999999998</v>
      </c>
      <c r="K4" s="71">
        <v>453.59199999999998</v>
      </c>
      <c r="L4" s="85">
        <v>453.59199999999998</v>
      </c>
      <c r="M4" s="71">
        <v>453.59199999999998</v>
      </c>
      <c r="N4" s="71">
        <v>453.59199999999998</v>
      </c>
      <c r="O4" s="71">
        <v>453.59199999999998</v>
      </c>
      <c r="P4" s="71">
        <v>453.59199999999998</v>
      </c>
      <c r="Q4" s="71">
        <v>453.59199999999998</v>
      </c>
      <c r="R4" s="71">
        <v>453.59199999999998</v>
      </c>
      <c r="S4" s="71">
        <v>453.59199999999998</v>
      </c>
      <c r="T4" s="85">
        <v>453.59199999999998</v>
      </c>
      <c r="U4" s="71">
        <v>453.59199999999998</v>
      </c>
      <c r="V4" s="71">
        <v>453.59199999999998</v>
      </c>
      <c r="W4" s="71">
        <v>453.59199999999998</v>
      </c>
      <c r="X4" s="71">
        <v>453.59199999999998</v>
      </c>
      <c r="Y4" s="71">
        <v>453.59199999999998</v>
      </c>
      <c r="Z4" s="71">
        <v>453.59199999999998</v>
      </c>
      <c r="AA4" s="85">
        <v>453.59199999999998</v>
      </c>
    </row>
    <row r="5" spans="1:27" x14ac:dyDescent="0.35">
      <c r="A5" s="51" t="s">
        <v>43</v>
      </c>
      <c r="B5" s="85">
        <v>2000</v>
      </c>
      <c r="C5" s="71">
        <v>2000</v>
      </c>
      <c r="D5" s="71">
        <v>2000</v>
      </c>
      <c r="E5" s="71">
        <v>2000</v>
      </c>
      <c r="F5" s="71">
        <v>2000</v>
      </c>
      <c r="G5" s="71">
        <v>2000</v>
      </c>
      <c r="H5" s="71">
        <v>2000</v>
      </c>
      <c r="I5" s="71">
        <v>2000</v>
      </c>
      <c r="J5" s="71">
        <v>2000</v>
      </c>
      <c r="K5" s="71">
        <v>2000</v>
      </c>
      <c r="L5" s="85">
        <v>2000</v>
      </c>
      <c r="M5" s="71">
        <v>2000</v>
      </c>
      <c r="N5" s="71">
        <v>2000</v>
      </c>
      <c r="O5" s="71">
        <v>2000</v>
      </c>
      <c r="P5" s="71">
        <v>2000</v>
      </c>
      <c r="Q5" s="71">
        <v>2000</v>
      </c>
      <c r="R5" s="71">
        <v>2000</v>
      </c>
      <c r="S5" s="71">
        <v>2000</v>
      </c>
      <c r="T5" s="85">
        <v>2000</v>
      </c>
      <c r="U5" s="71">
        <v>2000</v>
      </c>
      <c r="V5" s="71">
        <v>2000</v>
      </c>
      <c r="W5" s="71">
        <v>2000</v>
      </c>
      <c r="X5" s="71">
        <v>2000</v>
      </c>
      <c r="Y5" s="71">
        <v>2000</v>
      </c>
      <c r="Z5" s="71">
        <v>2000</v>
      </c>
      <c r="AA5" s="85">
        <v>2000</v>
      </c>
    </row>
    <row r="6" spans="1:27" s="2" customFormat="1" x14ac:dyDescent="0.35">
      <c r="A6" s="52" t="s">
        <v>44</v>
      </c>
      <c r="B6" s="86">
        <v>3.834663057110389E-4</v>
      </c>
      <c r="C6" s="88">
        <f>C3/(C4*C5)</f>
        <v>3.8361351982855383E-4</v>
      </c>
      <c r="D6" s="72">
        <f t="shared" ref="D6:K6" si="3">D3/(D4*D5)</f>
        <v>3.8376073394606877E-4</v>
      </c>
      <c r="E6" s="72">
        <f t="shared" si="3"/>
        <v>3.8390794806358376E-4</v>
      </c>
      <c r="F6" s="72">
        <f t="shared" si="3"/>
        <v>3.8405516218109869E-4</v>
      </c>
      <c r="G6" s="72">
        <f t="shared" si="3"/>
        <v>3.8420237629861368E-4</v>
      </c>
      <c r="H6" s="72">
        <f t="shared" si="3"/>
        <v>3.8434959041612867E-4</v>
      </c>
      <c r="I6" s="72">
        <f t="shared" si="3"/>
        <v>3.844968045336436E-4</v>
      </c>
      <c r="J6" s="72">
        <f t="shared" si="3"/>
        <v>3.8464401865115854E-4</v>
      </c>
      <c r="K6" s="72">
        <f t="shared" si="3"/>
        <v>3.8479123276867347E-4</v>
      </c>
      <c r="L6" s="83">
        <v>3.8499999999999998E-4</v>
      </c>
      <c r="M6" s="72">
        <f>M3/(M4*M5)</f>
        <v>3.8522468631989467E-4</v>
      </c>
      <c r="N6" s="72">
        <f t="shared" ref="N6:Z6" si="4">N3/(N4*N5)</f>
        <v>3.8551092575360099E-4</v>
      </c>
      <c r="O6" s="72">
        <f t="shared" si="4"/>
        <v>3.8579716518730725E-4</v>
      </c>
      <c r="P6" s="72">
        <f t="shared" si="4"/>
        <v>3.8608340462101346E-4</v>
      </c>
      <c r="Q6" s="72">
        <f t="shared" si="4"/>
        <v>3.8636964405471973E-4</v>
      </c>
      <c r="R6" s="72">
        <f t="shared" si="4"/>
        <v>3.8665588348842599E-4</v>
      </c>
      <c r="S6" s="72">
        <f t="shared" si="4"/>
        <v>3.8694212292213231E-4</v>
      </c>
      <c r="T6" s="86">
        <v>3.8403003717432991E-4</v>
      </c>
      <c r="U6" s="72">
        <f t="shared" si="4"/>
        <v>3.8723192523748752E-4</v>
      </c>
      <c r="V6" s="72">
        <f t="shared" si="4"/>
        <v>3.8723548811913652E-4</v>
      </c>
      <c r="W6" s="72">
        <f t="shared" si="4"/>
        <v>3.8723905100078551E-4</v>
      </c>
      <c r="X6" s="72">
        <f t="shared" si="4"/>
        <v>3.8724261388243446E-4</v>
      </c>
      <c r="Y6" s="72">
        <f t="shared" si="4"/>
        <v>3.8724617676408346E-4</v>
      </c>
      <c r="Z6" s="72">
        <f t="shared" si="4"/>
        <v>3.8724973964573246E-4</v>
      </c>
      <c r="AA6" s="83">
        <v>3.8699999999999997E-4</v>
      </c>
    </row>
    <row r="7" spans="1:27" s="2" customFormat="1" x14ac:dyDescent="0.35">
      <c r="A7" s="51" t="s">
        <v>45</v>
      </c>
      <c r="B7" s="84">
        <v>80.719844858066523</v>
      </c>
      <c r="C7" s="69">
        <f>$B$7+(($L$7-$B$7)/(2035-2025)*(C2-$B$2))</f>
        <v>80.75186037225987</v>
      </c>
      <c r="D7" s="69">
        <f t="shared" ref="D7:K7" si="5">$B$7+(($L$7-$B$7)/(2035-2025)*(D2-$B$2))</f>
        <v>80.783875886453217</v>
      </c>
      <c r="E7" s="69">
        <f t="shared" si="5"/>
        <v>80.815891400646564</v>
      </c>
      <c r="F7" s="69">
        <f t="shared" si="5"/>
        <v>80.847906914839911</v>
      </c>
      <c r="G7" s="69">
        <f t="shared" si="5"/>
        <v>80.879922429033257</v>
      </c>
      <c r="H7" s="69">
        <f t="shared" si="5"/>
        <v>80.911937943226619</v>
      </c>
      <c r="I7" s="69">
        <f t="shared" si="5"/>
        <v>80.943953457419966</v>
      </c>
      <c r="J7" s="69">
        <f t="shared" si="5"/>
        <v>80.975968971613312</v>
      </c>
      <c r="K7" s="69">
        <f t="shared" si="5"/>
        <v>81.007984485806659</v>
      </c>
      <c r="L7" s="85">
        <v>81.040000000000006</v>
      </c>
      <c r="M7" s="69">
        <f>$L$7+(($T$7-$L$7)/(2043-2035)*(M2-$L$2))</f>
        <v>81.080827320302021</v>
      </c>
      <c r="N7" s="69">
        <f t="shared" ref="N7:S7" si="6">$L$7+(($T$7-$L$7)/(2043-2035)*(N2-$L$2))</f>
        <v>81.121654640604021</v>
      </c>
      <c r="O7" s="69">
        <f t="shared" si="6"/>
        <v>81.162481960906035</v>
      </c>
      <c r="P7" s="69">
        <f t="shared" si="6"/>
        <v>81.20330928120805</v>
      </c>
      <c r="Q7" s="69">
        <f t="shared" si="6"/>
        <v>81.244136601510064</v>
      </c>
      <c r="R7" s="69">
        <f t="shared" si="6"/>
        <v>81.284963921812079</v>
      </c>
      <c r="S7" s="69">
        <f t="shared" si="6"/>
        <v>81.325791242114079</v>
      </c>
      <c r="T7" s="84">
        <v>81.366618562416093</v>
      </c>
      <c r="U7">
        <f>$T$7+(($AA$7-$T$7)/(2050-2043)*(U2-$T$2))</f>
        <v>81.371387339213797</v>
      </c>
      <c r="V7">
        <f t="shared" ref="V7:Z7" si="7">$T$7+(($AA$7-$T$7)/(2050-2043)*(V2-$T$2))</f>
        <v>81.376156116011501</v>
      </c>
      <c r="W7">
        <f t="shared" si="7"/>
        <v>81.380924892809205</v>
      </c>
      <c r="X7">
        <f t="shared" si="7"/>
        <v>81.385693669606894</v>
      </c>
      <c r="Y7">
        <f t="shared" si="7"/>
        <v>81.390462446404598</v>
      </c>
      <c r="Z7">
        <f t="shared" si="7"/>
        <v>81.395231223202302</v>
      </c>
      <c r="AA7" s="85">
        <v>81.400000000000006</v>
      </c>
    </row>
    <row r="8" spans="1:27" s="2" customFormat="1" x14ac:dyDescent="0.35">
      <c r="A8" s="51" t="s">
        <v>42</v>
      </c>
      <c r="B8" s="85">
        <v>453.59199999999998</v>
      </c>
      <c r="C8" s="71">
        <v>453.59199999999998</v>
      </c>
      <c r="D8" s="71">
        <v>453.59199999999998</v>
      </c>
      <c r="E8" s="71">
        <v>453.59199999999998</v>
      </c>
      <c r="F8" s="71">
        <v>453.59199999999998</v>
      </c>
      <c r="G8" s="71">
        <v>453.59199999999998</v>
      </c>
      <c r="H8" s="71">
        <v>453.59199999999998</v>
      </c>
      <c r="I8" s="71">
        <v>453.59199999999998</v>
      </c>
      <c r="J8" s="71">
        <v>453.59199999999998</v>
      </c>
      <c r="K8" s="71">
        <v>453.59199999999998</v>
      </c>
      <c r="L8" s="85">
        <v>453.59199999999998</v>
      </c>
      <c r="M8" s="71">
        <v>453.59199999999998</v>
      </c>
      <c r="N8" s="71">
        <v>453.59199999999998</v>
      </c>
      <c r="O8" s="71">
        <v>453.59199999999998</v>
      </c>
      <c r="P8" s="71">
        <v>453.59199999999998</v>
      </c>
      <c r="Q8" s="71">
        <v>453.59199999999998</v>
      </c>
      <c r="R8" s="71">
        <v>453.59199999999998</v>
      </c>
      <c r="S8" s="71">
        <v>453.59199999999998</v>
      </c>
      <c r="T8" s="85">
        <v>453.59199999999998</v>
      </c>
      <c r="U8" s="71">
        <v>453.59199999999998</v>
      </c>
      <c r="V8" s="71">
        <v>453.59199999999998</v>
      </c>
      <c r="W8" s="71">
        <v>453.59199999999998</v>
      </c>
      <c r="X8" s="71">
        <v>453.59199999999998</v>
      </c>
      <c r="Y8" s="71">
        <v>453.59199999999998</v>
      </c>
      <c r="Z8" s="71">
        <v>453.59199999999998</v>
      </c>
      <c r="AA8" s="85">
        <v>453.59199999999998</v>
      </c>
    </row>
    <row r="9" spans="1:27" s="2" customFormat="1" x14ac:dyDescent="0.35">
      <c r="A9" s="51" t="s">
        <v>43</v>
      </c>
      <c r="B9" s="85">
        <v>2000</v>
      </c>
      <c r="C9" s="71">
        <v>2000</v>
      </c>
      <c r="D9" s="71">
        <v>2000</v>
      </c>
      <c r="E9" s="71">
        <v>2000</v>
      </c>
      <c r="F9" s="71">
        <v>2000</v>
      </c>
      <c r="G9" s="71">
        <v>2000</v>
      </c>
      <c r="H9" s="71">
        <v>2000</v>
      </c>
      <c r="I9" s="71">
        <v>2000</v>
      </c>
      <c r="J9" s="71">
        <v>2000</v>
      </c>
      <c r="K9" s="71">
        <v>2000</v>
      </c>
      <c r="L9" s="85">
        <v>2000</v>
      </c>
      <c r="M9" s="71">
        <v>2000</v>
      </c>
      <c r="N9" s="71">
        <v>2000</v>
      </c>
      <c r="O9" s="71">
        <v>2000</v>
      </c>
      <c r="P9" s="71">
        <v>2000</v>
      </c>
      <c r="Q9" s="71">
        <v>2000</v>
      </c>
      <c r="R9" s="71">
        <v>2000</v>
      </c>
      <c r="S9" s="71">
        <v>2000</v>
      </c>
      <c r="T9" s="85">
        <v>2000</v>
      </c>
      <c r="U9" s="71">
        <v>2000</v>
      </c>
      <c r="V9" s="71">
        <v>2000</v>
      </c>
      <c r="W9" s="71">
        <v>2000</v>
      </c>
      <c r="X9" s="71">
        <v>2000</v>
      </c>
      <c r="Y9" s="71">
        <v>2000</v>
      </c>
      <c r="Z9" s="71">
        <v>2000</v>
      </c>
      <c r="AA9" s="85">
        <v>2000</v>
      </c>
    </row>
    <row r="10" spans="1:27" s="2" customFormat="1" x14ac:dyDescent="0.35">
      <c r="A10" s="52" t="s">
        <v>46</v>
      </c>
      <c r="B10" s="87">
        <v>8.8900000000000006E-5</v>
      </c>
      <c r="C10" s="72">
        <f>C7/(C8*C9)</f>
        <v>8.9013761675977386E-5</v>
      </c>
      <c r="D10" s="72">
        <f t="shared" ref="D10:Z10" si="8">D7/(D8*D9)</f>
        <v>8.9049052768185079E-5</v>
      </c>
      <c r="E10" s="72">
        <f t="shared" si="8"/>
        <v>8.9084343860392786E-5</v>
      </c>
      <c r="F10" s="72">
        <f t="shared" si="8"/>
        <v>8.9119634952600479E-5</v>
      </c>
      <c r="G10" s="72">
        <f t="shared" si="8"/>
        <v>8.9154926044808172E-5</v>
      </c>
      <c r="H10" s="72">
        <f t="shared" si="8"/>
        <v>8.9190217137015879E-5</v>
      </c>
      <c r="I10" s="72">
        <f t="shared" si="8"/>
        <v>8.9225508229223585E-5</v>
      </c>
      <c r="J10" s="72">
        <f t="shared" si="8"/>
        <v>8.9260799321431278E-5</v>
      </c>
      <c r="K10" s="72">
        <f t="shared" si="8"/>
        <v>8.9296090413638971E-5</v>
      </c>
      <c r="L10" s="87">
        <v>8.9300000000000002E-5</v>
      </c>
      <c r="M10" s="72">
        <f t="shared" si="8"/>
        <v>8.9376385959520914E-5</v>
      </c>
      <c r="N10" s="72">
        <f t="shared" si="8"/>
        <v>8.9421390413195137E-5</v>
      </c>
      <c r="O10" s="72">
        <f t="shared" si="8"/>
        <v>8.9466394866869386E-5</v>
      </c>
      <c r="P10" s="72">
        <f t="shared" si="8"/>
        <v>8.9511399320543622E-5</v>
      </c>
      <c r="Q10" s="72">
        <f t="shared" si="8"/>
        <v>8.9556403774217872E-5</v>
      </c>
      <c r="R10" s="72">
        <f t="shared" si="8"/>
        <v>8.9601408227892108E-5</v>
      </c>
      <c r="S10" s="72">
        <f t="shared" si="8"/>
        <v>8.9646412681566344E-5</v>
      </c>
      <c r="T10" s="87">
        <v>8.9599999999999996E-5</v>
      </c>
      <c r="U10" s="72">
        <f t="shared" si="8"/>
        <v>8.9696673816131895E-5</v>
      </c>
      <c r="V10" s="72">
        <f t="shared" si="8"/>
        <v>8.970193049702321E-5</v>
      </c>
      <c r="W10" s="72">
        <f t="shared" si="8"/>
        <v>8.9707187177914512E-5</v>
      </c>
      <c r="X10" s="72">
        <f t="shared" si="8"/>
        <v>8.9712443858805814E-5</v>
      </c>
      <c r="Y10" s="72">
        <f t="shared" si="8"/>
        <v>8.9717700539697129E-5</v>
      </c>
      <c r="Z10" s="72">
        <f t="shared" si="8"/>
        <v>8.9722957220588444E-5</v>
      </c>
      <c r="AA10" s="87">
        <v>8.9699999999999998E-5</v>
      </c>
    </row>
    <row r="11" spans="1:27" ht="15.5" x14ac:dyDescent="0.35">
      <c r="A11" s="52"/>
      <c r="B11" s="62"/>
      <c r="C11" s="62"/>
      <c r="D11" s="63"/>
      <c r="E11" s="62"/>
      <c r="F11" s="52"/>
      <c r="G11" s="55"/>
      <c r="H11" s="55"/>
      <c r="I11" s="55"/>
      <c r="J11" s="55"/>
    </row>
    <row r="12" spans="1:27" x14ac:dyDescent="0.35">
      <c r="A12" s="73" t="s">
        <v>72</v>
      </c>
      <c r="G12" s="55"/>
      <c r="H12" s="55"/>
      <c r="I12" s="55"/>
      <c r="J12" s="55"/>
    </row>
    <row r="13" spans="1:27" ht="16.5" x14ac:dyDescent="0.45">
      <c r="A13" s="74" t="s">
        <v>73</v>
      </c>
      <c r="C13" s="2" t="s">
        <v>50</v>
      </c>
      <c r="D13" s="2" t="s">
        <v>51</v>
      </c>
      <c r="G13" s="55"/>
      <c r="H13" s="55"/>
      <c r="I13" s="55"/>
      <c r="J13" s="55"/>
    </row>
    <row r="14" spans="1:27" x14ac:dyDescent="0.35">
      <c r="A14" s="74"/>
      <c r="E14" s="2"/>
      <c r="F14" s="2"/>
      <c r="G14" s="55"/>
      <c r="H14" s="55"/>
      <c r="I14" s="55"/>
      <c r="J14" s="55"/>
    </row>
    <row r="15" spans="1:27" x14ac:dyDescent="0.35">
      <c r="A15" s="75" t="s">
        <v>52</v>
      </c>
      <c r="B15" s="75"/>
      <c r="C15" s="76">
        <v>343.59316167666555</v>
      </c>
      <c r="D15" s="76">
        <v>79.719118382694518</v>
      </c>
      <c r="G15" s="55"/>
      <c r="H15" s="55"/>
      <c r="I15" s="55"/>
      <c r="J15" s="55"/>
    </row>
    <row r="16" spans="1:27" x14ac:dyDescent="0.35">
      <c r="A16" s="75" t="s">
        <v>53</v>
      </c>
      <c r="B16" s="75"/>
      <c r="C16" s="76">
        <v>351.28625678128037</v>
      </c>
      <c r="D16" s="76">
        <v>81.470318031551315</v>
      </c>
      <c r="G16" s="55"/>
      <c r="H16" s="55"/>
      <c r="I16" s="55"/>
      <c r="J16" s="55"/>
    </row>
    <row r="17" spans="1:10" x14ac:dyDescent="0.35">
      <c r="A17" s="75" t="s">
        <v>54</v>
      </c>
      <c r="B17" s="75"/>
      <c r="C17" s="76">
        <v>347.33020900359679</v>
      </c>
      <c r="D17" s="76">
        <v>80.821329698885663</v>
      </c>
      <c r="G17" s="55"/>
      <c r="H17" s="55"/>
      <c r="I17" s="55"/>
      <c r="J17" s="55"/>
    </row>
    <row r="18" spans="1:10" x14ac:dyDescent="0.35">
      <c r="A18" s="75" t="s">
        <v>55</v>
      </c>
      <c r="B18" s="75"/>
      <c r="C18" s="76">
        <v>349.36503522798228</v>
      </c>
      <c r="D18" s="76">
        <v>82.669818879695413</v>
      </c>
      <c r="G18" s="55"/>
      <c r="H18" s="55"/>
      <c r="I18" s="55"/>
      <c r="J18" s="55"/>
    </row>
    <row r="19" spans="1:10" x14ac:dyDescent="0.35">
      <c r="A19" s="75" t="s">
        <v>56</v>
      </c>
      <c r="B19" s="75"/>
      <c r="C19" s="76">
        <v>366.02311102060145</v>
      </c>
      <c r="D19" s="76">
        <v>79.804165153721669</v>
      </c>
      <c r="G19" s="55"/>
      <c r="H19" s="55"/>
      <c r="I19" s="55"/>
      <c r="J19" s="55"/>
    </row>
    <row r="20" spans="1:10" x14ac:dyDescent="0.35">
      <c r="A20" s="75" t="s">
        <v>57</v>
      </c>
      <c r="B20" s="75"/>
      <c r="C20" s="76">
        <v>358.19099909524721</v>
      </c>
      <c r="D20" s="76">
        <v>83.087136496459507</v>
      </c>
      <c r="G20" s="55"/>
      <c r="H20" s="55"/>
      <c r="I20" s="55"/>
      <c r="J20" s="55"/>
    </row>
    <row r="21" spans="1:10" x14ac:dyDescent="0.35">
      <c r="A21" s="75" t="s">
        <v>58</v>
      </c>
      <c r="B21" s="75"/>
      <c r="C21" s="76">
        <v>339.26957001020548</v>
      </c>
      <c r="D21" s="76">
        <v>79.517213874083112</v>
      </c>
      <c r="G21" s="55"/>
      <c r="H21" s="55"/>
      <c r="I21" s="55"/>
      <c r="J21" s="55"/>
    </row>
    <row r="22" spans="1:10" x14ac:dyDescent="0.35">
      <c r="A22" s="75" t="s">
        <v>59</v>
      </c>
      <c r="B22" s="75"/>
      <c r="C22" s="76">
        <v>353.14282759287374</v>
      </c>
      <c r="D22" s="76">
        <v>81.640882199618076</v>
      </c>
      <c r="G22" s="55"/>
      <c r="H22" s="55"/>
      <c r="I22" s="55"/>
      <c r="J22" s="55"/>
    </row>
    <row r="23" spans="1:10" x14ac:dyDescent="0.35">
      <c r="A23" s="75" t="s">
        <v>60</v>
      </c>
      <c r="B23" s="75"/>
      <c r="C23" s="76">
        <v>359.1047488648415</v>
      </c>
      <c r="D23" s="76">
        <v>82.502385087036544</v>
      </c>
      <c r="G23" s="55"/>
      <c r="H23" s="55"/>
      <c r="I23" s="55"/>
      <c r="J23" s="55"/>
    </row>
    <row r="24" spans="1:10" x14ac:dyDescent="0.35">
      <c r="A24" s="75" t="s">
        <v>61</v>
      </c>
      <c r="B24" s="75"/>
      <c r="C24" s="76">
        <v>353.73622420274012</v>
      </c>
      <c r="D24" s="76">
        <v>82.284726542953578</v>
      </c>
      <c r="G24" s="55"/>
      <c r="H24" s="55"/>
      <c r="I24" s="55"/>
      <c r="J24" s="55"/>
    </row>
    <row r="25" spans="1:10" x14ac:dyDescent="0.35">
      <c r="A25" s="75" t="s">
        <v>62</v>
      </c>
      <c r="B25" s="75"/>
      <c r="C25" s="76">
        <v>347.8457146519242</v>
      </c>
      <c r="D25" s="76">
        <v>81.842040682574989</v>
      </c>
      <c r="G25" s="55"/>
      <c r="H25" s="55"/>
      <c r="I25" s="55"/>
      <c r="J25" s="55"/>
    </row>
    <row r="26" spans="1:10" x14ac:dyDescent="0.35">
      <c r="A26" s="75"/>
      <c r="B26" s="75"/>
      <c r="C26" s="76"/>
      <c r="D26" s="76"/>
      <c r="G26" s="55"/>
      <c r="H26" s="55"/>
      <c r="I26" s="55"/>
      <c r="J26" s="55"/>
    </row>
    <row r="27" spans="1:10" x14ac:dyDescent="0.35">
      <c r="A27" s="73" t="s">
        <v>63</v>
      </c>
      <c r="B27" s="73"/>
      <c r="C27" s="77">
        <v>347.87449708016311</v>
      </c>
      <c r="D27" s="77">
        <v>80.719844858066523</v>
      </c>
      <c r="G27" s="55"/>
      <c r="H27" s="55"/>
      <c r="I27" s="55"/>
      <c r="J27" s="55"/>
    </row>
    <row r="28" spans="1:10" ht="15.5" x14ac:dyDescent="0.35">
      <c r="A28" s="52"/>
      <c r="B28" s="54"/>
      <c r="C28" s="52"/>
      <c r="D28" s="54"/>
      <c r="E28" s="52"/>
      <c r="F28" s="52"/>
      <c r="G28" s="52"/>
      <c r="H28" s="51"/>
      <c r="I28" s="51"/>
      <c r="J28" s="51"/>
    </row>
    <row r="29" spans="1:10" s="4" customFormat="1" x14ac:dyDescent="0.35">
      <c r="A29" s="56" t="s">
        <v>48</v>
      </c>
      <c r="B29" s="52"/>
      <c r="C29" s="52"/>
      <c r="D29" s="52"/>
      <c r="E29" s="52"/>
      <c r="F29" s="51"/>
      <c r="G29" s="51"/>
      <c r="H29" s="51"/>
      <c r="I29" s="51"/>
      <c r="J29" s="51"/>
    </row>
    <row r="30" spans="1:10" s="4" customFormat="1" ht="16.5" x14ac:dyDescent="0.45">
      <c r="A30" s="57" t="s">
        <v>49</v>
      </c>
      <c r="B30" s="57"/>
      <c r="C30" s="52" t="s">
        <v>50</v>
      </c>
      <c r="D30" s="52" t="s">
        <v>51</v>
      </c>
      <c r="E30" s="51"/>
      <c r="F30" s="51"/>
      <c r="G30" s="17"/>
      <c r="H30" s="58"/>
      <c r="I30" s="16"/>
      <c r="J30" s="51"/>
    </row>
    <row r="31" spans="1:10" s="4" customFormat="1" x14ac:dyDescent="0.35">
      <c r="A31" s="51"/>
      <c r="B31" s="51"/>
      <c r="C31" s="52"/>
      <c r="D31" s="52"/>
      <c r="E31" s="51"/>
      <c r="F31" s="51"/>
      <c r="G31" s="17"/>
      <c r="H31" s="17"/>
      <c r="I31" s="16"/>
      <c r="J31" s="51"/>
    </row>
    <row r="32" spans="1:10" s="4" customFormat="1" x14ac:dyDescent="0.35">
      <c r="A32" s="59" t="s">
        <v>52</v>
      </c>
      <c r="B32" s="59"/>
      <c r="C32" s="59">
        <v>348.17399999999998</v>
      </c>
      <c r="D32" s="59">
        <v>80.076999999999998</v>
      </c>
      <c r="E32" s="51"/>
      <c r="F32" s="51"/>
      <c r="G32" s="60"/>
      <c r="H32" s="60"/>
      <c r="I32" s="60"/>
      <c r="J32" s="51"/>
    </row>
    <row r="33" spans="1:10" s="4" customFormat="1" x14ac:dyDescent="0.35">
      <c r="A33" s="59" t="s">
        <v>53</v>
      </c>
      <c r="B33" s="59"/>
      <c r="C33" s="59">
        <v>346.57900000000001</v>
      </c>
      <c r="D33" s="59">
        <v>80.480999999999995</v>
      </c>
      <c r="E33" s="51"/>
      <c r="F33" s="51"/>
      <c r="G33" s="18"/>
      <c r="H33" s="51"/>
      <c r="I33" s="16"/>
      <c r="J33" s="51"/>
    </row>
    <row r="34" spans="1:10" s="4" customFormat="1" x14ac:dyDescent="0.35">
      <c r="A34" s="59" t="s">
        <v>54</v>
      </c>
      <c r="B34" s="59"/>
      <c r="C34" s="59">
        <v>344.23599999999999</v>
      </c>
      <c r="D34" s="59">
        <v>81.233999999999995</v>
      </c>
      <c r="E34" s="51"/>
      <c r="F34" s="51"/>
      <c r="G34" s="18"/>
      <c r="H34" s="51"/>
      <c r="I34" s="16"/>
      <c r="J34" s="51"/>
    </row>
    <row r="35" spans="1:10" s="4" customFormat="1" x14ac:dyDescent="0.35">
      <c r="A35" s="59" t="s">
        <v>55</v>
      </c>
      <c r="B35" s="59"/>
      <c r="C35" s="59">
        <v>337.17899999999997</v>
      </c>
      <c r="D35" s="59">
        <v>80.350999999999999</v>
      </c>
      <c r="E35" s="51"/>
      <c r="F35" s="51"/>
      <c r="G35" s="18"/>
      <c r="H35" s="51"/>
      <c r="I35" s="16"/>
      <c r="J35" s="51"/>
    </row>
    <row r="36" spans="1:10" s="4" customFormat="1" x14ac:dyDescent="0.35">
      <c r="A36" s="59" t="s">
        <v>56</v>
      </c>
      <c r="B36" s="59"/>
      <c r="C36" s="59">
        <v>366.88900000000001</v>
      </c>
      <c r="D36" s="59">
        <v>81.132999999999996</v>
      </c>
      <c r="E36" s="51"/>
      <c r="F36" s="51"/>
      <c r="G36" s="18"/>
      <c r="H36" s="51"/>
      <c r="I36" s="16"/>
      <c r="J36" s="51"/>
    </row>
    <row r="37" spans="1:10" s="4" customFormat="1" x14ac:dyDescent="0.35">
      <c r="A37" s="59" t="s">
        <v>57</v>
      </c>
      <c r="B37" s="59"/>
      <c r="C37" s="59">
        <v>373.488</v>
      </c>
      <c r="D37" s="59">
        <v>85.457999999999998</v>
      </c>
      <c r="E37" s="51"/>
      <c r="F37" s="51"/>
      <c r="G37" s="18"/>
      <c r="H37" s="51"/>
      <c r="I37" s="16"/>
      <c r="J37" s="51"/>
    </row>
    <row r="38" spans="1:10" s="4" customFormat="1" x14ac:dyDescent="0.35">
      <c r="A38" s="59" t="s">
        <v>58</v>
      </c>
      <c r="B38" s="59"/>
      <c r="C38" s="59">
        <v>345.50799999999998</v>
      </c>
      <c r="D38" s="59">
        <v>80.152000000000001</v>
      </c>
      <c r="E38" s="51"/>
      <c r="F38" s="51"/>
      <c r="G38" s="18"/>
      <c r="H38" s="51"/>
      <c r="I38" s="16"/>
      <c r="J38" s="51"/>
    </row>
    <row r="39" spans="1:10" s="4" customFormat="1" x14ac:dyDescent="0.35">
      <c r="A39" s="59" t="s">
        <v>59</v>
      </c>
      <c r="B39" s="59"/>
      <c r="C39" s="59">
        <v>337.959</v>
      </c>
      <c r="D39" s="59">
        <v>80.064999999999998</v>
      </c>
      <c r="E39" s="51"/>
      <c r="F39" s="51"/>
      <c r="G39" s="18"/>
      <c r="H39" s="51"/>
      <c r="I39" s="16"/>
      <c r="J39" s="51"/>
    </row>
    <row r="40" spans="1:10" s="4" customFormat="1" x14ac:dyDescent="0.35">
      <c r="A40" s="59" t="s">
        <v>60</v>
      </c>
      <c r="B40" s="59"/>
      <c r="C40" s="59">
        <v>343.20100000000002</v>
      </c>
      <c r="D40" s="59">
        <v>80.863</v>
      </c>
      <c r="E40" s="51"/>
      <c r="F40" s="51"/>
      <c r="G40" s="18"/>
      <c r="H40" s="51"/>
      <c r="I40" s="16"/>
      <c r="J40" s="51"/>
    </row>
    <row r="41" spans="1:10" s="4" customFormat="1" x14ac:dyDescent="0.35">
      <c r="A41" s="59" t="s">
        <v>61</v>
      </c>
      <c r="B41" s="59"/>
      <c r="C41" s="59">
        <v>343.15499999999997</v>
      </c>
      <c r="D41" s="59">
        <v>79.667000000000002</v>
      </c>
      <c r="E41" s="51"/>
      <c r="F41" s="51"/>
      <c r="G41" s="18"/>
      <c r="H41" s="51"/>
      <c r="I41" s="16"/>
      <c r="J41" s="51"/>
    </row>
    <row r="42" spans="1:10" s="4" customFormat="1" x14ac:dyDescent="0.35">
      <c r="A42" s="59" t="s">
        <v>62</v>
      </c>
      <c r="B42" s="59"/>
      <c r="C42" s="59">
        <v>338.96100000000001</v>
      </c>
      <c r="D42" s="59">
        <v>79.858999999999995</v>
      </c>
      <c r="E42" s="51"/>
      <c r="F42" s="51"/>
      <c r="G42" s="19"/>
      <c r="H42" s="51"/>
      <c r="I42" s="17"/>
      <c r="J42" s="51"/>
    </row>
    <row r="43" spans="1:10" s="4" customFormat="1" x14ac:dyDescent="0.35">
      <c r="A43" s="59"/>
      <c r="B43" s="59"/>
      <c r="C43" s="59"/>
      <c r="D43" s="59"/>
      <c r="E43" s="51"/>
      <c r="F43" s="51"/>
      <c r="G43" s="110"/>
      <c r="H43" s="110"/>
      <c r="I43" s="110"/>
      <c r="J43" s="51"/>
    </row>
    <row r="44" spans="1:10" s="4" customFormat="1" x14ac:dyDescent="0.35">
      <c r="A44" s="56" t="s">
        <v>63</v>
      </c>
      <c r="B44" s="56"/>
      <c r="C44" s="56">
        <v>349.20800000000003</v>
      </c>
      <c r="D44" s="56">
        <v>81.040999999999997</v>
      </c>
      <c r="E44" s="51"/>
      <c r="F44" s="51"/>
      <c r="G44" s="51"/>
      <c r="H44" s="51"/>
      <c r="I44" s="51"/>
      <c r="J44" s="51"/>
    </row>
    <row r="45" spans="1:10" s="4" customFormat="1" x14ac:dyDescent="0.35">
      <c r="A45" s="56"/>
      <c r="B45" s="56"/>
      <c r="C45" s="56"/>
      <c r="D45" s="56"/>
      <c r="E45" s="51"/>
      <c r="F45" s="51"/>
      <c r="G45" s="51"/>
      <c r="H45" s="51"/>
      <c r="I45" s="51"/>
      <c r="J45" s="51"/>
    </row>
    <row r="46" spans="1:10" s="4" customFormat="1" x14ac:dyDescent="0.35">
      <c r="A46" s="78" t="s">
        <v>74</v>
      </c>
      <c r="B46"/>
      <c r="C46"/>
      <c r="D46"/>
      <c r="E46"/>
      <c r="F46"/>
      <c r="G46" s="51"/>
      <c r="H46" s="51"/>
      <c r="I46" s="51"/>
      <c r="J46" s="51"/>
    </row>
    <row r="47" spans="1:10" s="4" customFormat="1" ht="16.5" x14ac:dyDescent="0.45">
      <c r="A47" s="74" t="s">
        <v>73</v>
      </c>
      <c r="B47"/>
      <c r="C47" s="2" t="s">
        <v>50</v>
      </c>
      <c r="D47" s="2" t="s">
        <v>51</v>
      </c>
      <c r="G47" s="51"/>
      <c r="H47" s="51"/>
      <c r="I47" s="51"/>
      <c r="J47" s="51"/>
    </row>
    <row r="48" spans="1:10" s="4" customFormat="1" x14ac:dyDescent="0.35">
      <c r="A48" s="74"/>
      <c r="B48"/>
      <c r="C48"/>
      <c r="D48"/>
      <c r="E48" s="2"/>
      <c r="F48" s="2"/>
      <c r="G48" s="51"/>
      <c r="H48" s="51"/>
      <c r="I48" s="51"/>
      <c r="J48" s="51"/>
    </row>
    <row r="49" spans="1:10" s="4" customFormat="1" x14ac:dyDescent="0.35">
      <c r="A49" s="79"/>
      <c r="B49"/>
      <c r="C49"/>
      <c r="D49"/>
      <c r="E49"/>
      <c r="F49"/>
      <c r="G49" s="51"/>
      <c r="H49" s="51"/>
      <c r="I49" s="51"/>
      <c r="J49" s="51"/>
    </row>
    <row r="50" spans="1:10" s="4" customFormat="1" x14ac:dyDescent="0.35">
      <c r="A50" s="80" t="s">
        <v>52</v>
      </c>
      <c r="B50" s="80"/>
      <c r="C50" s="81">
        <v>346.38635005012969</v>
      </c>
      <c r="D50" s="81">
        <v>80.483991758686571</v>
      </c>
      <c r="G50" s="51"/>
      <c r="H50" s="51"/>
      <c r="I50" s="51"/>
      <c r="J50" s="51"/>
    </row>
    <row r="51" spans="1:10" s="4" customFormat="1" x14ac:dyDescent="0.35">
      <c r="A51" s="80" t="s">
        <v>53</v>
      </c>
      <c r="B51" s="80"/>
      <c r="C51" s="81">
        <v>345.66823658443798</v>
      </c>
      <c r="D51" s="81">
        <v>80.353373013387483</v>
      </c>
      <c r="G51" s="51"/>
      <c r="H51" s="51"/>
      <c r="I51" s="51"/>
      <c r="J51" s="51"/>
    </row>
    <row r="52" spans="1:10" s="4" customFormat="1" x14ac:dyDescent="0.35">
      <c r="A52" s="80" t="s">
        <v>54</v>
      </c>
      <c r="B52" s="80"/>
      <c r="C52" s="81">
        <v>347.28975613515087</v>
      </c>
      <c r="D52" s="81">
        <v>81.520009188317999</v>
      </c>
      <c r="G52" s="51"/>
      <c r="H52" s="51"/>
      <c r="I52" s="51"/>
      <c r="J52" s="51"/>
    </row>
    <row r="53" spans="1:10" s="4" customFormat="1" x14ac:dyDescent="0.35">
      <c r="A53" s="80" t="s">
        <v>55</v>
      </c>
      <c r="B53" s="80"/>
      <c r="C53" s="81">
        <v>335.32924147772366</v>
      </c>
      <c r="D53" s="81">
        <v>79.798150202934153</v>
      </c>
      <c r="G53" s="51"/>
      <c r="H53" s="51"/>
      <c r="I53" s="51"/>
      <c r="J53" s="51"/>
    </row>
    <row r="54" spans="1:10" s="4" customFormat="1" x14ac:dyDescent="0.35">
      <c r="A54" s="80" t="s">
        <v>56</v>
      </c>
      <c r="B54" s="80"/>
      <c r="C54" s="81">
        <v>373.54348830390211</v>
      </c>
      <c r="D54" s="81">
        <v>81.615234061411996</v>
      </c>
      <c r="G54" s="51"/>
      <c r="H54" s="51"/>
      <c r="I54" s="51"/>
      <c r="J54" s="51"/>
    </row>
    <row r="55" spans="1:10" s="4" customFormat="1" x14ac:dyDescent="0.35">
      <c r="A55" s="80" t="s">
        <v>57</v>
      </c>
      <c r="B55" s="80"/>
      <c r="C55" s="81">
        <v>369.4341897821306</v>
      </c>
      <c r="D55" s="81">
        <v>86.13842607229904</v>
      </c>
      <c r="G55" s="51"/>
      <c r="H55" s="51"/>
      <c r="I55" s="51"/>
      <c r="J55" s="51"/>
    </row>
    <row r="56" spans="1:10" s="4" customFormat="1" x14ac:dyDescent="0.35">
      <c r="A56" s="80" t="s">
        <v>58</v>
      </c>
      <c r="B56" s="80"/>
      <c r="C56" s="81">
        <v>343.46947407367293</v>
      </c>
      <c r="D56" s="81">
        <v>80.630294504339687</v>
      </c>
      <c r="G56" s="51"/>
      <c r="H56" s="51"/>
      <c r="I56" s="51"/>
      <c r="J56" s="51"/>
    </row>
    <row r="57" spans="1:10" s="4" customFormat="1" x14ac:dyDescent="0.35">
      <c r="A57" s="80" t="s">
        <v>59</v>
      </c>
      <c r="B57" s="80"/>
      <c r="C57" s="81">
        <v>343.22498281643919</v>
      </c>
      <c r="D57" s="81">
        <v>79.729895862521289</v>
      </c>
      <c r="G57" s="51"/>
      <c r="H57" s="51"/>
      <c r="I57" s="51"/>
      <c r="J57" s="51"/>
    </row>
    <row r="58" spans="1:10" s="4" customFormat="1" x14ac:dyDescent="0.35">
      <c r="A58" s="80" t="s">
        <v>60</v>
      </c>
      <c r="B58" s="80"/>
      <c r="C58" s="81">
        <v>348.57312940091583</v>
      </c>
      <c r="D58" s="81">
        <v>80.505884644272385</v>
      </c>
      <c r="G58" s="51"/>
      <c r="H58" s="51"/>
      <c r="I58" s="51"/>
      <c r="J58" s="51"/>
    </row>
    <row r="59" spans="1:10" s="4" customFormat="1" x14ac:dyDescent="0.35">
      <c r="A59" s="80" t="s">
        <v>61</v>
      </c>
      <c r="B59" s="80"/>
      <c r="C59" s="81">
        <v>339.83891845424222</v>
      </c>
      <c r="D59" s="81">
        <v>79.097342226692277</v>
      </c>
      <c r="G59" s="51"/>
      <c r="H59" s="51"/>
      <c r="I59" s="51"/>
      <c r="J59" s="51"/>
    </row>
    <row r="60" spans="1:10" s="4" customFormat="1" x14ac:dyDescent="0.35">
      <c r="A60" s="80" t="s">
        <v>62</v>
      </c>
      <c r="B60" s="80"/>
      <c r="C60" s="81">
        <v>336.67951946818664</v>
      </c>
      <c r="D60" s="81">
        <v>79.45909483733837</v>
      </c>
      <c r="G60" s="51"/>
      <c r="H60" s="51"/>
      <c r="I60" s="51"/>
      <c r="J60" s="51"/>
    </row>
    <row r="61" spans="1:10" s="4" customFormat="1" x14ac:dyDescent="0.35">
      <c r="A61" s="80"/>
      <c r="B61" s="80"/>
      <c r="C61" s="81"/>
      <c r="D61" s="81"/>
      <c r="G61" s="51"/>
      <c r="H61" s="51"/>
      <c r="I61" s="51"/>
      <c r="J61" s="51"/>
    </row>
    <row r="62" spans="1:10" s="4" customFormat="1" x14ac:dyDescent="0.35">
      <c r="A62" s="78" t="s">
        <v>63</v>
      </c>
      <c r="B62" s="78"/>
      <c r="C62" s="82">
        <v>348.38590524395732</v>
      </c>
      <c r="D62" s="82">
        <v>81.336101730883158</v>
      </c>
      <c r="G62" s="51"/>
      <c r="H62" s="51"/>
      <c r="I62" s="51"/>
      <c r="J62" s="51"/>
    </row>
    <row r="63" spans="1:10" s="4" customFormat="1" x14ac:dyDescent="0.35">
      <c r="A63" s="56"/>
      <c r="B63" s="56"/>
      <c r="C63" s="56"/>
      <c r="D63" s="56"/>
      <c r="E63" s="51"/>
      <c r="F63" s="51"/>
      <c r="G63" s="51"/>
      <c r="H63" s="51"/>
      <c r="I63" s="51"/>
      <c r="J63" s="51"/>
    </row>
    <row r="64" spans="1:10" s="4" customFormat="1" x14ac:dyDescent="0.35">
      <c r="A64" s="56"/>
      <c r="B64" s="56"/>
      <c r="C64" s="56"/>
      <c r="D64" s="56"/>
      <c r="E64" s="51"/>
      <c r="F64" s="51"/>
      <c r="G64" s="51"/>
      <c r="H64" s="51"/>
      <c r="I64" s="51"/>
      <c r="J64" s="51"/>
    </row>
    <row r="65" spans="1:10" s="4" customFormat="1" x14ac:dyDescent="0.35">
      <c r="A65" s="55" t="s">
        <v>64</v>
      </c>
      <c r="B65" s="51"/>
      <c r="C65" s="51"/>
      <c r="D65" s="51"/>
      <c r="E65" s="51"/>
      <c r="F65" s="51"/>
      <c r="G65" s="51"/>
      <c r="H65" s="51"/>
      <c r="I65" s="51"/>
      <c r="J65" s="51"/>
    </row>
    <row r="66" spans="1:10" s="4" customFormat="1" ht="16.5" x14ac:dyDescent="0.45">
      <c r="A66" s="57" t="s">
        <v>49</v>
      </c>
      <c r="B66" s="57"/>
      <c r="C66" s="52" t="s">
        <v>50</v>
      </c>
      <c r="D66" s="52" t="s">
        <v>51</v>
      </c>
      <c r="E66" s="51"/>
      <c r="F66" s="51"/>
      <c r="G66" s="17"/>
      <c r="H66" s="58"/>
      <c r="I66" s="16"/>
      <c r="J66" s="51"/>
    </row>
    <row r="67" spans="1:10" s="4" customFormat="1" x14ac:dyDescent="0.35">
      <c r="A67" s="51"/>
      <c r="B67" s="51"/>
      <c r="C67" s="52"/>
      <c r="D67" s="52"/>
      <c r="E67" s="51"/>
      <c r="F67" s="51"/>
      <c r="G67" s="17"/>
      <c r="H67" s="17"/>
      <c r="I67" s="16"/>
      <c r="J67" s="51"/>
    </row>
    <row r="68" spans="1:10" s="4" customFormat="1" x14ac:dyDescent="0.35">
      <c r="A68" s="51"/>
      <c r="B68" s="51"/>
      <c r="C68" s="51"/>
      <c r="D68" s="51"/>
      <c r="E68" s="51"/>
      <c r="F68" s="51"/>
      <c r="G68" s="17"/>
      <c r="H68" s="17"/>
      <c r="I68" s="17"/>
      <c r="J68" s="51"/>
    </row>
    <row r="69" spans="1:10" s="4" customFormat="1" x14ac:dyDescent="0.35">
      <c r="A69" s="53" t="s">
        <v>52</v>
      </c>
      <c r="B69" s="53"/>
      <c r="C69" s="53">
        <v>351.08100000000002</v>
      </c>
      <c r="D69" s="53">
        <v>80.52</v>
      </c>
      <c r="E69" s="51"/>
      <c r="F69" s="51"/>
      <c r="G69" s="18"/>
      <c r="H69" s="61"/>
      <c r="I69" s="16"/>
      <c r="J69" s="51"/>
    </row>
    <row r="70" spans="1:10" s="4" customFormat="1" x14ac:dyDescent="0.35">
      <c r="A70" s="53" t="s">
        <v>53</v>
      </c>
      <c r="B70" s="53"/>
      <c r="C70" s="53">
        <v>345.95400000000001</v>
      </c>
      <c r="D70" s="53">
        <v>80.269000000000005</v>
      </c>
      <c r="E70" s="51"/>
      <c r="F70" s="51"/>
      <c r="G70" s="18"/>
      <c r="H70" s="61"/>
      <c r="I70" s="16"/>
      <c r="J70" s="51"/>
    </row>
    <row r="71" spans="1:10" s="4" customFormat="1" x14ac:dyDescent="0.35">
      <c r="A71" s="53" t="s">
        <v>54</v>
      </c>
      <c r="B71" s="53"/>
      <c r="C71" s="53">
        <v>345.95800000000003</v>
      </c>
      <c r="D71" s="53">
        <v>81.55</v>
      </c>
      <c r="E71" s="51"/>
      <c r="F71" s="51"/>
      <c r="G71" s="18"/>
      <c r="H71" s="61"/>
      <c r="I71" s="16"/>
      <c r="J71" s="51"/>
    </row>
    <row r="72" spans="1:10" s="4" customFormat="1" x14ac:dyDescent="0.35">
      <c r="A72" s="53" t="s">
        <v>55</v>
      </c>
      <c r="B72" s="53"/>
      <c r="C72" s="53">
        <v>334.67</v>
      </c>
      <c r="D72" s="53">
        <v>79.578000000000003</v>
      </c>
      <c r="E72" s="51"/>
      <c r="F72" s="51"/>
      <c r="G72" s="18"/>
      <c r="H72" s="61"/>
      <c r="I72" s="16"/>
      <c r="J72" s="51"/>
    </row>
    <row r="73" spans="1:10" s="4" customFormat="1" x14ac:dyDescent="0.35">
      <c r="A73" s="53" t="s">
        <v>56</v>
      </c>
      <c r="B73" s="53"/>
      <c r="C73" s="53">
        <v>368.428</v>
      </c>
      <c r="D73" s="53">
        <v>81.701999999999998</v>
      </c>
      <c r="E73" s="51"/>
      <c r="F73" s="51"/>
      <c r="G73" s="18"/>
      <c r="H73" s="61"/>
      <c r="I73" s="16"/>
      <c r="J73" s="51"/>
    </row>
    <row r="74" spans="1:10" s="4" customFormat="1" x14ac:dyDescent="0.35">
      <c r="A74" s="53" t="s">
        <v>57</v>
      </c>
      <c r="B74" s="53"/>
      <c r="C74" s="53">
        <v>377.42</v>
      </c>
      <c r="D74" s="53">
        <v>86.298000000000002</v>
      </c>
      <c r="E74" s="51"/>
      <c r="F74" s="51"/>
      <c r="G74" s="18"/>
      <c r="H74" s="61"/>
      <c r="I74" s="16"/>
      <c r="J74" s="51"/>
    </row>
    <row r="75" spans="1:10" s="4" customFormat="1" x14ac:dyDescent="0.35">
      <c r="A75" s="53" t="s">
        <v>58</v>
      </c>
      <c r="B75" s="53"/>
      <c r="C75" s="53">
        <v>349.97800000000001</v>
      </c>
      <c r="D75" s="53">
        <v>80.677999999999997</v>
      </c>
      <c r="E75" s="51"/>
      <c r="F75" s="51"/>
      <c r="G75" s="18"/>
      <c r="H75" s="61"/>
      <c r="I75" s="16"/>
      <c r="J75" s="51"/>
    </row>
    <row r="76" spans="1:10" s="4" customFormat="1" x14ac:dyDescent="0.35">
      <c r="A76" s="53" t="s">
        <v>59</v>
      </c>
      <c r="B76" s="53"/>
      <c r="C76" s="53">
        <v>336.392</v>
      </c>
      <c r="D76" s="53">
        <v>79.561000000000007</v>
      </c>
      <c r="E76" s="51"/>
      <c r="F76" s="51"/>
      <c r="G76" s="18"/>
      <c r="H76" s="61"/>
      <c r="I76" s="16"/>
      <c r="J76" s="51"/>
    </row>
    <row r="77" spans="1:10" s="4" customFormat="1" x14ac:dyDescent="0.35">
      <c r="A77" s="53" t="s">
        <v>60</v>
      </c>
      <c r="B77" s="53"/>
      <c r="C77" s="53">
        <v>341.66899999999998</v>
      </c>
      <c r="D77" s="53">
        <v>80.350999999999999</v>
      </c>
      <c r="E77" s="51"/>
      <c r="F77" s="51"/>
      <c r="G77" s="18"/>
      <c r="H77" s="61"/>
      <c r="I77" s="16"/>
      <c r="J77" s="51"/>
    </row>
    <row r="78" spans="1:10" s="4" customFormat="1" x14ac:dyDescent="0.35">
      <c r="A78" s="53" t="s">
        <v>61</v>
      </c>
      <c r="B78" s="53"/>
      <c r="C78" s="53">
        <v>340.88200000000001</v>
      </c>
      <c r="D78" s="53">
        <v>78.867000000000004</v>
      </c>
      <c r="E78" s="51"/>
      <c r="F78" s="51"/>
      <c r="G78" s="19"/>
      <c r="H78" s="58"/>
      <c r="I78" s="17"/>
      <c r="J78" s="51"/>
    </row>
    <row r="79" spans="1:10" s="4" customFormat="1" ht="15.75" customHeight="1" x14ac:dyDescent="0.35">
      <c r="A79" s="53" t="s">
        <v>62</v>
      </c>
      <c r="B79" s="53"/>
      <c r="C79" s="53">
        <v>337.185</v>
      </c>
      <c r="D79" s="53">
        <v>79.293000000000006</v>
      </c>
      <c r="E79" s="51"/>
      <c r="F79" s="51"/>
      <c r="G79" s="110"/>
      <c r="H79" s="110"/>
      <c r="I79" s="110"/>
      <c r="J79" s="51"/>
    </row>
    <row r="80" spans="1:10" s="4" customFormat="1" x14ac:dyDescent="0.35">
      <c r="A80" s="53"/>
      <c r="B80" s="53"/>
      <c r="C80" s="53"/>
      <c r="D80" s="53"/>
      <c r="E80" s="51"/>
      <c r="F80" s="51"/>
      <c r="G80" s="51"/>
      <c r="H80" s="51"/>
      <c r="I80" s="51"/>
      <c r="J80" s="51"/>
    </row>
    <row r="81" spans="1:10" s="4" customFormat="1" x14ac:dyDescent="0.35">
      <c r="A81" s="55" t="s">
        <v>63</v>
      </c>
      <c r="B81" s="55"/>
      <c r="C81" s="55">
        <v>351.31099999999998</v>
      </c>
      <c r="D81" s="55">
        <v>81.397000000000006</v>
      </c>
      <c r="E81" s="51"/>
      <c r="F81" s="51"/>
      <c r="G81" s="53"/>
      <c r="H81" s="51"/>
      <c r="I81" s="51"/>
      <c r="J81" s="51"/>
    </row>
  </sheetData>
  <mergeCells count="2">
    <mergeCell ref="G43:I43"/>
    <mergeCell ref="G79:I7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f758dc8-839e-489e-a80f-fff00b4baf60">
      <Terms xmlns="http://schemas.microsoft.com/office/infopath/2007/PartnerControls"/>
    </lcf76f155ced4ddcb4097134ff3c332f>
    <TaxCatchAll xmlns="e8161222-89b8-4df9-88e0-63f255b2bc9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582C4148E3B440BFB62DD623A30E67" ma:contentTypeVersion="14" ma:contentTypeDescription="Create a new document." ma:contentTypeScope="" ma:versionID="4033c883ecaa469677da7c59df627333">
  <xsd:schema xmlns:xsd="http://www.w3.org/2001/XMLSchema" xmlns:xs="http://www.w3.org/2001/XMLSchema" xmlns:p="http://schemas.microsoft.com/office/2006/metadata/properties" xmlns:ns2="2f758dc8-839e-489e-a80f-fff00b4baf60" xmlns:ns3="e8161222-89b8-4df9-88e0-63f255b2bc9a" targetNamespace="http://schemas.microsoft.com/office/2006/metadata/properties" ma:root="true" ma:fieldsID="05671fb9574e30b71aa16da82977c5fe" ns2:_="" ns3:_="">
    <xsd:import namespace="2f758dc8-839e-489e-a80f-fff00b4baf60"/>
    <xsd:import namespace="e8161222-89b8-4df9-88e0-63f255b2bc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758dc8-839e-489e-a80f-fff00b4baf6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Image Tags" ma:readOnly="false" ma:fieldId="{5cf76f15-5ced-4ddc-b409-7134ff3c332f}" ma:taxonomyMulti="true" ma:sspId="a7334e89-0b5a-479c-ac9f-74724dd37f6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161222-89b8-4df9-88e0-63f255b2bc9a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1934df99-d168-43da-a03e-f40fe2ce4e2a}" ma:internalName="TaxCatchAll" ma:showField="CatchAllData" ma:web="e8161222-89b8-4df9-88e0-63f255b2bc9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3B9EE10-07F0-41FA-B6AC-5891C21A9529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www.w3.org/XML/1998/namespace"/>
    <ds:schemaRef ds:uri="e81f6177-841f-4ee6-ad02-47046d02c0f1"/>
    <ds:schemaRef ds:uri="http://purl.org/dc/dcmitype/"/>
    <ds:schemaRef ds:uri="b7ece6a9-67e0-4ef2-94c7-230e207357cb"/>
    <ds:schemaRef ds:uri="http://schemas.microsoft.com/office/infopath/2007/PartnerControls"/>
    <ds:schemaRef ds:uri="2f758dc8-839e-489e-a80f-fff00b4baf60"/>
    <ds:schemaRef ds:uri="e8161222-89b8-4df9-88e0-63f255b2bc9a"/>
  </ds:schemaRefs>
</ds:datastoreItem>
</file>

<file path=customXml/itemProps2.xml><?xml version="1.0" encoding="utf-8"?>
<ds:datastoreItem xmlns:ds="http://schemas.openxmlformats.org/officeDocument/2006/customXml" ds:itemID="{8E47F0C4-724C-44EC-85E9-DD42A636403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D169ED4-0265-4518-B3A0-7F3FBD9C52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f758dc8-839e-489e-a80f-fff00b4baf60"/>
    <ds:schemaRef ds:uri="e8161222-89b8-4df9-88e0-63f255b2bc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cf90b97b-be46-4a00-9700-81ce4ff1b7f6}" enabled="0" method="" siteId="{cf90b97b-be46-4a00-9700-81ce4ff1b7f6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Main sheet</vt:lpstr>
      <vt:lpstr>Calculations</vt:lpstr>
      <vt:lpstr>Research</vt:lpstr>
      <vt:lpstr>Emission Factors</vt:lpstr>
    </vt:vector>
  </TitlesOfParts>
  <Manager/>
  <Company>ICFI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Rose, Eliot</dc:creator>
  <cp:keywords/>
  <dc:description/>
  <cp:lastModifiedBy>Krute Singa</cp:lastModifiedBy>
  <cp:revision/>
  <dcterms:created xsi:type="dcterms:W3CDTF">2017-02-10T00:03:04Z</dcterms:created>
  <dcterms:modified xsi:type="dcterms:W3CDTF">2024-03-29T03:18:30Z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0x010100C6582C4148E3B440BFB62DD623A30E67</vt:lpwstr>
  </property>
</Properties>
</file>