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202300"/>
  <mc:AlternateContent xmlns:mc="http://schemas.openxmlformats.org/markup-compatibility/2006">
    <mc:Choice Requires="x15">
      <x15ac:absPath xmlns:x15ac="http://schemas.microsoft.com/office/spreadsheetml/2010/11/ac" url="H:\EPA Grant\Ready to be uploaded\Narrative Attachment Form\GHG Methodology\"/>
    </mc:Choice>
  </mc:AlternateContent>
  <xr:revisionPtr revIDLastSave="0" documentId="13_ncr:1_{F18757E8-71AF-4623-9BC0-E9AE5E75E8CA}" xr6:coauthVersionLast="47" xr6:coauthVersionMax="47" xr10:uidLastSave="{00000000-0000-0000-0000-000000000000}"/>
  <bookViews>
    <workbookView xWindow="5330" yWindow="3180" windowWidth="16920" windowHeight="10540" xr2:uid="{40382C1D-10DA-4E46-809F-5E62C64F7CE8}"/>
  </bookViews>
  <sheets>
    <sheet name="MAIN SHEET GHG TOTALS" sheetId="5" r:id="rId1"/>
    <sheet name="BART Forecast" sheetId="1" r:id="rId2"/>
    <sheet name="Grant-based Ridership Increases" sheetId="2" r:id="rId3"/>
    <sheet name="Avoided Trips" sheetId="3" r:id="rId4"/>
    <sheet name="GHG Estimates" sheetId="4" r:id="rId5"/>
    <sheet name="Emission Factors" sheetId="6" r:id="rId6"/>
  </sheets>
  <externalReferences>
    <externalReference r:id="rId7"/>
    <externalReference r:id="rId8"/>
    <externalReference r:id="rId9"/>
    <externalReference r:id="rId10"/>
  </externalReferences>
  <definedNames>
    <definedName name="altWord">[1]info!$G$22</definedName>
    <definedName name="altWord2">[2]info!$G$22</definedName>
    <definedName name="missingWord">[3]info!$G$20</definedName>
    <definedName name="runA" localSheetId="5">#REF!</definedName>
    <definedName name="runA">#REF!</definedName>
    <definedName name="runB" localSheetId="5">#REF!</definedName>
    <definedName name="runB">#REF!</definedName>
    <definedName name="runC" localSheetId="5">#REF!</definedName>
    <definedName name="runC">#REF!</definedName>
    <definedName name="Shifted2035">[4]TransitJobs!$P$15</definedName>
    <definedName name="tourpurpose">#REF!</definedName>
    <definedName name="toururpose">#REF!</definedName>
    <definedName name="tripA" localSheetId="5">#REF!</definedName>
    <definedName name="tripA">#REF!</definedName>
    <definedName name="tripB" localSheetId="5">#REF!</definedName>
    <definedName name="tripB">#REF!</definedName>
    <definedName name="tripC" localSheetId="5">#REF!</definedName>
    <definedName name="tripC">#REF!</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5" i="5" l="1"/>
  <c r="B5" i="5"/>
  <c r="C4" i="5"/>
  <c r="B4" i="5"/>
  <c r="Q5" i="2"/>
  <c r="Z5" i="2" s="1"/>
  <c r="Q11" i="2"/>
  <c r="U11" i="2" s="1"/>
  <c r="Q6" i="2"/>
  <c r="U6" i="2" s="1"/>
  <c r="Q10" i="2"/>
  <c r="T10" i="2" s="1"/>
  <c r="Q9" i="2"/>
  <c r="W9" i="2" s="1"/>
  <c r="Q8" i="2"/>
  <c r="U8" i="2" s="1"/>
  <c r="Q7" i="2"/>
  <c r="U7" i="2" s="1"/>
  <c r="X8" i="2"/>
  <c r="X10" i="6"/>
  <c r="W10" i="6"/>
  <c r="S10" i="6"/>
  <c r="R10" i="6"/>
  <c r="O10" i="6"/>
  <c r="N10" i="6"/>
  <c r="J10" i="6"/>
  <c r="I10" i="6"/>
  <c r="F10" i="6"/>
  <c r="E10" i="6"/>
  <c r="Z7" i="6"/>
  <c r="Z10" i="6" s="1"/>
  <c r="Y7" i="6"/>
  <c r="Y10" i="6" s="1"/>
  <c r="X7" i="6"/>
  <c r="W7" i="6"/>
  <c r="V7" i="6"/>
  <c r="V10" i="6" s="1"/>
  <c r="U7" i="6"/>
  <c r="U10" i="6" s="1"/>
  <c r="S7" i="6"/>
  <c r="R7" i="6"/>
  <c r="Q7" i="6"/>
  <c r="Q10" i="6" s="1"/>
  <c r="P7" i="6"/>
  <c r="P10" i="6" s="1"/>
  <c r="O7" i="6"/>
  <c r="N7" i="6"/>
  <c r="M7" i="6"/>
  <c r="M10" i="6" s="1"/>
  <c r="K7" i="6"/>
  <c r="K10" i="6" s="1"/>
  <c r="J7" i="6"/>
  <c r="I7" i="6"/>
  <c r="H7" i="6"/>
  <c r="H10" i="6" s="1"/>
  <c r="G7" i="6"/>
  <c r="G10" i="6" s="1"/>
  <c r="F7" i="6"/>
  <c r="E7" i="6"/>
  <c r="D7" i="6"/>
  <c r="D10" i="6" s="1"/>
  <c r="C7" i="6"/>
  <c r="C10" i="6" s="1"/>
  <c r="X6" i="6"/>
  <c r="W6" i="6"/>
  <c r="S6" i="6"/>
  <c r="R6" i="6"/>
  <c r="O6" i="6"/>
  <c r="N6" i="6"/>
  <c r="J6" i="6"/>
  <c r="I6" i="6"/>
  <c r="F6" i="6"/>
  <c r="E6" i="6"/>
  <c r="Z3" i="6"/>
  <c r="Z6" i="6" s="1"/>
  <c r="Y3" i="6"/>
  <c r="Y6" i="6" s="1"/>
  <c r="X3" i="6"/>
  <c r="W3" i="6"/>
  <c r="V3" i="6"/>
  <c r="V6" i="6" s="1"/>
  <c r="U3" i="6"/>
  <c r="U6" i="6" s="1"/>
  <c r="S3" i="6"/>
  <c r="R3" i="6"/>
  <c r="Q3" i="6"/>
  <c r="Q6" i="6" s="1"/>
  <c r="P3" i="6"/>
  <c r="P6" i="6" s="1"/>
  <c r="O3" i="6"/>
  <c r="N3" i="6"/>
  <c r="M3" i="6"/>
  <c r="M6" i="6" s="1"/>
  <c r="K3" i="6"/>
  <c r="K6" i="6" s="1"/>
  <c r="J3" i="6"/>
  <c r="I3" i="6"/>
  <c r="H3" i="6"/>
  <c r="H6" i="6" s="1"/>
  <c r="G3" i="6"/>
  <c r="G6" i="6" s="1"/>
  <c r="F3" i="6"/>
  <c r="E3" i="6"/>
  <c r="D3" i="6"/>
  <c r="D6" i="6" s="1"/>
  <c r="C3" i="6"/>
  <c r="C6" i="6" s="1"/>
  <c r="B4" i="2"/>
  <c r="M3" i="1"/>
  <c r="M4" i="1"/>
  <c r="M5" i="1"/>
  <c r="M6" i="1"/>
  <c r="M7" i="1"/>
  <c r="M8" i="1"/>
  <c r="M9" i="1"/>
  <c r="M10" i="1"/>
  <c r="M11" i="1"/>
  <c r="M12" i="1"/>
  <c r="M13" i="1"/>
  <c r="M14" i="1"/>
  <c r="M15" i="1"/>
  <c r="M16" i="1"/>
  <c r="M17" i="1"/>
  <c r="M18" i="1"/>
  <c r="M19" i="1"/>
  <c r="M20" i="1"/>
  <c r="M21" i="1"/>
  <c r="M22" i="1"/>
  <c r="M23" i="1"/>
  <c r="M24" i="1"/>
  <c r="M25" i="1"/>
  <c r="M26" i="1"/>
  <c r="M27" i="1"/>
  <c r="M28" i="1"/>
  <c r="M29" i="1"/>
  <c r="M30" i="1"/>
  <c r="M31" i="1"/>
  <c r="M32" i="1"/>
  <c r="M33" i="1"/>
  <c r="M34" i="1"/>
  <c r="M2" i="1"/>
  <c r="B6" i="5" l="1"/>
  <c r="C6" i="5"/>
  <c r="W8" i="2"/>
  <c r="R8" i="2"/>
  <c r="T8" i="2"/>
  <c r="AA8" i="2"/>
  <c r="S8" i="2"/>
  <c r="Z8" i="2"/>
  <c r="Y8" i="2"/>
  <c r="V8" i="2"/>
  <c r="X9" i="2"/>
  <c r="V7" i="2"/>
  <c r="U10" i="2"/>
  <c r="Z10" i="2"/>
  <c r="T5" i="2"/>
  <c r="U5" i="2"/>
  <c r="Y5" i="2"/>
  <c r="S11" i="2"/>
  <c r="S12" i="2" s="1"/>
  <c r="Z11" i="2"/>
  <c r="T11" i="2"/>
  <c r="Y11" i="2"/>
  <c r="R11" i="2"/>
  <c r="X11" i="2"/>
  <c r="V11" i="2"/>
  <c r="W11" i="2"/>
  <c r="X6" i="2"/>
  <c r="Y6" i="2"/>
  <c r="R6" i="2"/>
  <c r="W6" i="2"/>
  <c r="Z6" i="2"/>
  <c r="T6" i="2"/>
  <c r="Y10" i="2"/>
  <c r="AA9" i="2"/>
  <c r="R9" i="2"/>
  <c r="V9" i="2"/>
  <c r="W7" i="2"/>
  <c r="X7" i="2"/>
  <c r="Y7" i="2"/>
  <c r="R7" i="2"/>
  <c r="T7" i="2"/>
  <c r="B2" i="3"/>
  <c r="I4" i="2"/>
  <c r="I2" i="3" s="1"/>
  <c r="J4" i="2"/>
  <c r="J2" i="3" s="1"/>
  <c r="K4" i="2"/>
  <c r="K2" i="3" s="1"/>
  <c r="I5" i="2"/>
  <c r="I3" i="3" s="1"/>
  <c r="J5" i="2"/>
  <c r="J3" i="3" s="1"/>
  <c r="K5" i="2"/>
  <c r="K3" i="3" s="1"/>
  <c r="I6" i="2"/>
  <c r="I4" i="3" s="1"/>
  <c r="J6" i="2"/>
  <c r="J4" i="3" s="1"/>
  <c r="K6" i="2"/>
  <c r="K4" i="3" s="1"/>
  <c r="I7" i="2"/>
  <c r="I5" i="3" s="1"/>
  <c r="J7" i="2"/>
  <c r="J5" i="3" s="1"/>
  <c r="K7" i="2"/>
  <c r="K5" i="3" s="1"/>
  <c r="I8" i="2"/>
  <c r="I6" i="3" s="1"/>
  <c r="J8" i="2"/>
  <c r="J6" i="3" s="1"/>
  <c r="K8" i="2"/>
  <c r="K6" i="3" s="1"/>
  <c r="I9" i="2"/>
  <c r="I7" i="3" s="1"/>
  <c r="J9" i="2"/>
  <c r="J7" i="3" s="1"/>
  <c r="K9" i="2"/>
  <c r="K7" i="3" s="1"/>
  <c r="I10" i="2"/>
  <c r="I8" i="3" s="1"/>
  <c r="J10" i="2"/>
  <c r="J8" i="3" s="1"/>
  <c r="K10" i="2"/>
  <c r="K8" i="3" s="1"/>
  <c r="C4" i="2"/>
  <c r="C2" i="3" s="1"/>
  <c r="D4" i="2"/>
  <c r="D2" i="3" s="1"/>
  <c r="E4" i="2"/>
  <c r="E2" i="3" s="1"/>
  <c r="F4" i="2"/>
  <c r="F2" i="3" s="1"/>
  <c r="G4" i="2"/>
  <c r="G2" i="3" s="1"/>
  <c r="H4" i="2"/>
  <c r="H2" i="3" s="1"/>
  <c r="B5" i="2"/>
  <c r="B3" i="3" s="1"/>
  <c r="C5" i="2"/>
  <c r="C3" i="3" s="1"/>
  <c r="D5" i="2"/>
  <c r="D3" i="3" s="1"/>
  <c r="E5" i="2"/>
  <c r="E3" i="3" s="1"/>
  <c r="F5" i="2"/>
  <c r="F3" i="3" s="1"/>
  <c r="G5" i="2"/>
  <c r="G3" i="3" s="1"/>
  <c r="H5" i="2"/>
  <c r="H3" i="3" s="1"/>
  <c r="B6" i="2"/>
  <c r="C6" i="2"/>
  <c r="C4" i="3" s="1"/>
  <c r="D6" i="2"/>
  <c r="D4" i="3" s="1"/>
  <c r="E6" i="2"/>
  <c r="E4" i="3" s="1"/>
  <c r="F6" i="2"/>
  <c r="F4" i="3" s="1"/>
  <c r="G6" i="2"/>
  <c r="G4" i="3" s="1"/>
  <c r="H6" i="2"/>
  <c r="H4" i="3" s="1"/>
  <c r="B7" i="2"/>
  <c r="B5" i="3" s="1"/>
  <c r="C7" i="2"/>
  <c r="C5" i="3" s="1"/>
  <c r="D7" i="2"/>
  <c r="D5" i="3" s="1"/>
  <c r="E7" i="2"/>
  <c r="E5" i="3" s="1"/>
  <c r="F7" i="2"/>
  <c r="F5" i="3" s="1"/>
  <c r="G7" i="2"/>
  <c r="G5" i="3" s="1"/>
  <c r="H7" i="2"/>
  <c r="H5" i="3" s="1"/>
  <c r="B8" i="2"/>
  <c r="C8" i="2"/>
  <c r="C6" i="3" s="1"/>
  <c r="D8" i="2"/>
  <c r="D6" i="3" s="1"/>
  <c r="E8" i="2"/>
  <c r="E6" i="3" s="1"/>
  <c r="F8" i="2"/>
  <c r="F6" i="3" s="1"/>
  <c r="G8" i="2"/>
  <c r="G6" i="3" s="1"/>
  <c r="H8" i="2"/>
  <c r="H6" i="3" s="1"/>
  <c r="B9" i="2"/>
  <c r="C9" i="2"/>
  <c r="C7" i="3" s="1"/>
  <c r="D9" i="2"/>
  <c r="D7" i="3" s="1"/>
  <c r="E9" i="2"/>
  <c r="E7" i="3" s="1"/>
  <c r="F9" i="2"/>
  <c r="F7" i="3" s="1"/>
  <c r="G9" i="2"/>
  <c r="G7" i="3" s="1"/>
  <c r="H9" i="2"/>
  <c r="H7" i="3" s="1"/>
  <c r="B10" i="2"/>
  <c r="B8" i="3" s="1"/>
  <c r="C10" i="2"/>
  <c r="C8" i="3" s="1"/>
  <c r="D10" i="2"/>
  <c r="D8" i="3" s="1"/>
  <c r="E10" i="2"/>
  <c r="E8" i="3" s="1"/>
  <c r="F10" i="2"/>
  <c r="F8" i="3" s="1"/>
  <c r="G10" i="2"/>
  <c r="G8" i="3" s="1"/>
  <c r="H10" i="2"/>
  <c r="H8" i="3" s="1"/>
  <c r="Y12" i="2" l="1"/>
  <c r="I36" i="2" s="1"/>
  <c r="I34" i="3" s="1"/>
  <c r="AA12" i="2"/>
  <c r="K19" i="2" s="1"/>
  <c r="K17" i="3" s="1"/>
  <c r="Z12" i="2"/>
  <c r="J20" i="2" s="1"/>
  <c r="J18" i="3" s="1"/>
  <c r="U12" i="2"/>
  <c r="E19" i="2" s="1"/>
  <c r="E17" i="3" s="1"/>
  <c r="K25" i="2"/>
  <c r="K23" i="3" s="1"/>
  <c r="K20" i="2"/>
  <c r="K18" i="3" s="1"/>
  <c r="K15" i="2"/>
  <c r="K13" i="3" s="1"/>
  <c r="K17" i="2"/>
  <c r="K15" i="3" s="1"/>
  <c r="K13" i="2"/>
  <c r="K11" i="3" s="1"/>
  <c r="K35" i="2"/>
  <c r="K33" i="3" s="1"/>
  <c r="K26" i="2"/>
  <c r="K24" i="3" s="1"/>
  <c r="K36" i="2"/>
  <c r="K34" i="3" s="1"/>
  <c r="K31" i="2"/>
  <c r="K29" i="3" s="1"/>
  <c r="K22" i="2"/>
  <c r="K20" i="3" s="1"/>
  <c r="L3" i="3"/>
  <c r="K11" i="2"/>
  <c r="K9" i="3" s="1"/>
  <c r="K32" i="2"/>
  <c r="K30" i="3" s="1"/>
  <c r="K27" i="2"/>
  <c r="K25" i="3" s="1"/>
  <c r="K18" i="2"/>
  <c r="K16" i="3" s="1"/>
  <c r="K16" i="2"/>
  <c r="K14" i="3" s="1"/>
  <c r="K34" i="2"/>
  <c r="K32" i="3" s="1"/>
  <c r="K30" i="2"/>
  <c r="K28" i="3" s="1"/>
  <c r="L9" i="2"/>
  <c r="L8" i="3"/>
  <c r="K33" i="2"/>
  <c r="K31" i="3" s="1"/>
  <c r="K28" i="2"/>
  <c r="K26" i="3" s="1"/>
  <c r="K23" i="2"/>
  <c r="K21" i="3" s="1"/>
  <c r="K14" i="2"/>
  <c r="K12" i="3" s="1"/>
  <c r="K21" i="2"/>
  <c r="K19" i="3" s="1"/>
  <c r="K12" i="2"/>
  <c r="K10" i="3" s="1"/>
  <c r="X12" i="2"/>
  <c r="H23" i="2" s="1"/>
  <c r="H21" i="3" s="1"/>
  <c r="K29" i="2"/>
  <c r="K27" i="3" s="1"/>
  <c r="K24" i="2"/>
  <c r="K22" i="3" s="1"/>
  <c r="L5" i="3"/>
  <c r="J17" i="2"/>
  <c r="J15" i="3" s="1"/>
  <c r="J16" i="2"/>
  <c r="J14" i="3" s="1"/>
  <c r="I35" i="2"/>
  <c r="I33" i="3" s="1"/>
  <c r="I20" i="2"/>
  <c r="I18" i="3" s="1"/>
  <c r="J26" i="2"/>
  <c r="J24" i="3" s="1"/>
  <c r="I31" i="2"/>
  <c r="I29" i="3" s="1"/>
  <c r="I22" i="2"/>
  <c r="I20" i="3" s="1"/>
  <c r="I33" i="2"/>
  <c r="I31" i="3" s="1"/>
  <c r="I29" i="2"/>
  <c r="I27" i="3" s="1"/>
  <c r="I25" i="2"/>
  <c r="I23" i="3" s="1"/>
  <c r="R12" i="2"/>
  <c r="B33" i="2" s="1"/>
  <c r="B31" i="3" s="1"/>
  <c r="C27" i="2"/>
  <c r="C25" i="3" s="1"/>
  <c r="C32" i="2"/>
  <c r="C30" i="3" s="1"/>
  <c r="C11" i="2"/>
  <c r="C9" i="3" s="1"/>
  <c r="C31" i="2"/>
  <c r="C29" i="3" s="1"/>
  <c r="C36" i="2"/>
  <c r="C34" i="3" s="1"/>
  <c r="C14" i="2"/>
  <c r="C12" i="3" s="1"/>
  <c r="C23" i="2"/>
  <c r="C21" i="3" s="1"/>
  <c r="C35" i="2"/>
  <c r="C33" i="3" s="1"/>
  <c r="C13" i="2"/>
  <c r="C11" i="3" s="1"/>
  <c r="C18" i="2"/>
  <c r="C16" i="3" s="1"/>
  <c r="C20" i="2"/>
  <c r="C18" i="3" s="1"/>
  <c r="C24" i="2"/>
  <c r="C22" i="3" s="1"/>
  <c r="C28" i="2"/>
  <c r="C26" i="3" s="1"/>
  <c r="C12" i="2"/>
  <c r="C10" i="3" s="1"/>
  <c r="C17" i="2"/>
  <c r="C15" i="3" s="1"/>
  <c r="C22" i="2"/>
  <c r="C20" i="3" s="1"/>
  <c r="C15" i="2"/>
  <c r="C13" i="3" s="1"/>
  <c r="C19" i="2"/>
  <c r="C17" i="3" s="1"/>
  <c r="C29" i="2"/>
  <c r="C27" i="3" s="1"/>
  <c r="C34" i="2"/>
  <c r="C32" i="3" s="1"/>
  <c r="C16" i="2"/>
  <c r="C14" i="3" s="1"/>
  <c r="C21" i="2"/>
  <c r="C19" i="3" s="1"/>
  <c r="C26" i="2"/>
  <c r="C24" i="3" s="1"/>
  <c r="C25" i="2"/>
  <c r="C23" i="3" s="1"/>
  <c r="C30" i="2"/>
  <c r="C28" i="3" s="1"/>
  <c r="C33" i="2"/>
  <c r="C31" i="3" s="1"/>
  <c r="J36" i="2"/>
  <c r="J34" i="3" s="1"/>
  <c r="J22" i="2"/>
  <c r="J20" i="3" s="1"/>
  <c r="J13" i="2"/>
  <c r="J11" i="3" s="1"/>
  <c r="J33" i="2"/>
  <c r="J31" i="3" s="1"/>
  <c r="J18" i="2"/>
  <c r="J16" i="3" s="1"/>
  <c r="J11" i="2"/>
  <c r="J9" i="3" s="1"/>
  <c r="J15" i="2"/>
  <c r="J13" i="3" s="1"/>
  <c r="J31" i="2"/>
  <c r="J29" i="3" s="1"/>
  <c r="J24" i="2"/>
  <c r="J22" i="3" s="1"/>
  <c r="J30" i="2"/>
  <c r="J28" i="3" s="1"/>
  <c r="J21" i="2"/>
  <c r="J19" i="3" s="1"/>
  <c r="W12" i="2"/>
  <c r="G30" i="2" s="1"/>
  <c r="G28" i="3" s="1"/>
  <c r="V12" i="2"/>
  <c r="F12" i="2" s="1"/>
  <c r="F10" i="3" s="1"/>
  <c r="I24" i="2"/>
  <c r="I22" i="3" s="1"/>
  <c r="T12" i="2"/>
  <c r="D17" i="2" s="1"/>
  <c r="D15" i="3" s="1"/>
  <c r="E17" i="2"/>
  <c r="E15" i="3" s="1"/>
  <c r="E30" i="2"/>
  <c r="E28" i="3" s="1"/>
  <c r="I19" i="2"/>
  <c r="I17" i="3" s="1"/>
  <c r="I21" i="2"/>
  <c r="I19" i="3" s="1"/>
  <c r="I15" i="2"/>
  <c r="I13" i="3" s="1"/>
  <c r="I13" i="2"/>
  <c r="I11" i="3" s="1"/>
  <c r="I34" i="2"/>
  <c r="I32" i="3" s="1"/>
  <c r="I32" i="2"/>
  <c r="I30" i="3" s="1"/>
  <c r="I30" i="2"/>
  <c r="I28" i="3" s="1"/>
  <c r="I28" i="2"/>
  <c r="I26" i="3" s="1"/>
  <c r="E16" i="2"/>
  <c r="E14" i="3" s="1"/>
  <c r="B21" i="2"/>
  <c r="B19" i="3" s="1"/>
  <c r="B29" i="2"/>
  <c r="B27" i="3" s="1"/>
  <c r="B28" i="2"/>
  <c r="B26" i="3" s="1"/>
  <c r="B14" i="2"/>
  <c r="B12" i="3" s="1"/>
  <c r="I26" i="2"/>
  <c r="I24" i="3" s="1"/>
  <c r="I17" i="2"/>
  <c r="I15" i="3" s="1"/>
  <c r="I16" i="2"/>
  <c r="I14" i="3" s="1"/>
  <c r="I12" i="2"/>
  <c r="I10" i="3" s="1"/>
  <c r="E36" i="2"/>
  <c r="E34" i="3" s="1"/>
  <c r="E31" i="2"/>
  <c r="E29" i="3" s="1"/>
  <c r="H33" i="2"/>
  <c r="H31" i="3" s="1"/>
  <c r="H12" i="2"/>
  <c r="H10" i="3" s="1"/>
  <c r="H35" i="2"/>
  <c r="H33" i="3" s="1"/>
  <c r="I27" i="2"/>
  <c r="I25" i="3" s="1"/>
  <c r="I18" i="2"/>
  <c r="I16" i="3" s="1"/>
  <c r="I11" i="2"/>
  <c r="I9" i="3" s="1"/>
  <c r="E33" i="2"/>
  <c r="E31" i="3" s="1"/>
  <c r="E18" i="2"/>
  <c r="E16" i="3" s="1"/>
  <c r="I23" i="2"/>
  <c r="I21" i="3" s="1"/>
  <c r="I14" i="2"/>
  <c r="I12" i="3" s="1"/>
  <c r="E29" i="2"/>
  <c r="E27" i="3" s="1"/>
  <c r="E28" i="2"/>
  <c r="E26" i="3" s="1"/>
  <c r="E23" i="2"/>
  <c r="E21" i="3" s="1"/>
  <c r="E24" i="2"/>
  <c r="E22" i="3" s="1"/>
  <c r="L2" i="3"/>
  <c r="L4" i="2"/>
  <c r="L5" i="2"/>
  <c r="B7" i="3"/>
  <c r="L7" i="3" s="1"/>
  <c r="L10" i="2"/>
  <c r="L6" i="2"/>
  <c r="B4" i="3"/>
  <c r="L4" i="3" s="1"/>
  <c r="L7" i="2"/>
  <c r="L8" i="2"/>
  <c r="B6" i="3"/>
  <c r="L6" i="3" s="1"/>
  <c r="E25" i="2" l="1"/>
  <c r="E23" i="3" s="1"/>
  <c r="E27" i="2"/>
  <c r="E25" i="3" s="1"/>
  <c r="E15" i="2"/>
  <c r="E13" i="3" s="1"/>
  <c r="E13" i="2"/>
  <c r="E11" i="3" s="1"/>
  <c r="J28" i="2"/>
  <c r="J26" i="3" s="1"/>
  <c r="J19" i="2"/>
  <c r="J17" i="3" s="1"/>
  <c r="J35" i="2"/>
  <c r="J33" i="3" s="1"/>
  <c r="E14" i="2"/>
  <c r="E12" i="3" s="1"/>
  <c r="E32" i="2"/>
  <c r="E30" i="3" s="1"/>
  <c r="E22" i="2"/>
  <c r="E20" i="3" s="1"/>
  <c r="J29" i="2"/>
  <c r="J27" i="3" s="1"/>
  <c r="J12" i="2"/>
  <c r="J10" i="3" s="1"/>
  <c r="E26" i="2"/>
  <c r="E24" i="3" s="1"/>
  <c r="E20" i="2"/>
  <c r="E18" i="3" s="1"/>
  <c r="E21" i="2"/>
  <c r="E19" i="3" s="1"/>
  <c r="J25" i="2"/>
  <c r="J23" i="3" s="1"/>
  <c r="J27" i="2"/>
  <c r="J25" i="3" s="1"/>
  <c r="J14" i="2"/>
  <c r="J12" i="3" s="1"/>
  <c r="E11" i="2"/>
  <c r="E9" i="3" s="1"/>
  <c r="E34" i="2"/>
  <c r="E32" i="3" s="1"/>
  <c r="J34" i="2"/>
  <c r="J32" i="3" s="1"/>
  <c r="J32" i="2"/>
  <c r="J30" i="3" s="1"/>
  <c r="J23" i="2"/>
  <c r="J21" i="3" s="1"/>
  <c r="B11" i="2"/>
  <c r="B9" i="3" s="1"/>
  <c r="E35" i="2"/>
  <c r="E33" i="3" s="1"/>
  <c r="B24" i="2"/>
  <c r="B22" i="3" s="1"/>
  <c r="E12" i="2"/>
  <c r="E10" i="3" s="1"/>
  <c r="H29" i="2"/>
  <c r="H27" i="3" s="1"/>
  <c r="B16" i="2"/>
  <c r="B14" i="3" s="1"/>
  <c r="H28" i="2"/>
  <c r="H26" i="3" s="1"/>
  <c r="B30" i="2"/>
  <c r="B28" i="3" s="1"/>
  <c r="B12" i="2"/>
  <c r="B10" i="3" s="1"/>
  <c r="H24" i="2"/>
  <c r="H22" i="3" s="1"/>
  <c r="H17" i="2"/>
  <c r="H15" i="3" s="1"/>
  <c r="H18" i="2"/>
  <c r="H16" i="3" s="1"/>
  <c r="B26" i="2"/>
  <c r="B24" i="3" s="1"/>
  <c r="B15" i="2"/>
  <c r="B13" i="3" s="1"/>
  <c r="B31" i="2"/>
  <c r="B29" i="3" s="1"/>
  <c r="H36" i="2"/>
  <c r="H34" i="3" s="1"/>
  <c r="H30" i="2"/>
  <c r="H28" i="3" s="1"/>
  <c r="B20" i="2"/>
  <c r="B18" i="3" s="1"/>
  <c r="H32" i="2"/>
  <c r="H30" i="3" s="1"/>
  <c r="H25" i="2"/>
  <c r="H23" i="3" s="1"/>
  <c r="H26" i="2"/>
  <c r="H24" i="3" s="1"/>
  <c r="B34" i="2"/>
  <c r="B32" i="3" s="1"/>
  <c r="B13" i="2"/>
  <c r="B11" i="3" s="1"/>
  <c r="H21" i="2"/>
  <c r="H19" i="3" s="1"/>
  <c r="H20" i="2"/>
  <c r="H18" i="3" s="1"/>
  <c r="H14" i="2"/>
  <c r="H12" i="3" s="1"/>
  <c r="B22" i="2"/>
  <c r="B20" i="3" s="1"/>
  <c r="B36" i="2"/>
  <c r="B34" i="3" s="1"/>
  <c r="B23" i="2"/>
  <c r="B21" i="3" s="1"/>
  <c r="H19" i="2"/>
  <c r="H17" i="3" s="1"/>
  <c r="H31" i="2"/>
  <c r="H29" i="3" s="1"/>
  <c r="H34" i="2"/>
  <c r="H32" i="3" s="1"/>
  <c r="F36" i="2"/>
  <c r="F34" i="3" s="1"/>
  <c r="B25" i="2"/>
  <c r="B23" i="3" s="1"/>
  <c r="B35" i="2"/>
  <c r="B33" i="3" s="1"/>
  <c r="B17" i="2"/>
  <c r="B15" i="3" s="1"/>
  <c r="B27" i="2"/>
  <c r="B25" i="3" s="1"/>
  <c r="H22" i="2"/>
  <c r="H20" i="3" s="1"/>
  <c r="B19" i="2"/>
  <c r="B17" i="3" s="1"/>
  <c r="H27" i="2"/>
  <c r="H25" i="3" s="1"/>
  <c r="H13" i="2"/>
  <c r="H11" i="3" s="1"/>
  <c r="H15" i="2"/>
  <c r="H13" i="3" s="1"/>
  <c r="H16" i="2"/>
  <c r="H14" i="3" s="1"/>
  <c r="H11" i="2"/>
  <c r="H9" i="3" s="1"/>
  <c r="B18" i="2"/>
  <c r="B16" i="3" s="1"/>
  <c r="B32" i="2"/>
  <c r="B30" i="3" s="1"/>
  <c r="F31" i="2"/>
  <c r="F29" i="3" s="1"/>
  <c r="G36" i="2"/>
  <c r="G34" i="3" s="1"/>
  <c r="G22" i="2"/>
  <c r="G20" i="3" s="1"/>
  <c r="F23" i="2"/>
  <c r="F21" i="3" s="1"/>
  <c r="F33" i="2"/>
  <c r="F31" i="3" s="1"/>
  <c r="F35" i="2"/>
  <c r="F33" i="3" s="1"/>
  <c r="G29" i="2"/>
  <c r="G27" i="3" s="1"/>
  <c r="F28" i="2"/>
  <c r="F26" i="3" s="1"/>
  <c r="F16" i="2"/>
  <c r="F14" i="3" s="1"/>
  <c r="G25" i="2"/>
  <c r="G23" i="3" s="1"/>
  <c r="F19" i="2"/>
  <c r="F17" i="3" s="1"/>
  <c r="F27" i="2"/>
  <c r="F25" i="3" s="1"/>
  <c r="F11" i="2"/>
  <c r="F9" i="3" s="1"/>
  <c r="G26" i="2"/>
  <c r="G24" i="3" s="1"/>
  <c r="G32" i="2"/>
  <c r="G30" i="3" s="1"/>
  <c r="F15" i="2"/>
  <c r="F13" i="3" s="1"/>
  <c r="D26" i="2"/>
  <c r="D24" i="3" s="1"/>
  <c r="F25" i="2"/>
  <c r="F23" i="3" s="1"/>
  <c r="G21" i="2"/>
  <c r="G19" i="3" s="1"/>
  <c r="G31" i="2"/>
  <c r="G29" i="3" s="1"/>
  <c r="G24" i="2"/>
  <c r="G22" i="3" s="1"/>
  <c r="G17" i="2"/>
  <c r="G15" i="3" s="1"/>
  <c r="G14" i="2"/>
  <c r="G12" i="3" s="1"/>
  <c r="F24" i="2"/>
  <c r="F22" i="3" s="1"/>
  <c r="F21" i="2"/>
  <c r="F19" i="3" s="1"/>
  <c r="G35" i="2"/>
  <c r="G33" i="3" s="1"/>
  <c r="G18" i="2"/>
  <c r="G16" i="3" s="1"/>
  <c r="G27" i="2"/>
  <c r="G25" i="3" s="1"/>
  <c r="G20" i="2"/>
  <c r="G18" i="3" s="1"/>
  <c r="F14" i="2"/>
  <c r="F12" i="3" s="1"/>
  <c r="F26" i="2"/>
  <c r="F24" i="3" s="1"/>
  <c r="G13" i="2"/>
  <c r="G11" i="3" s="1"/>
  <c r="G23" i="2"/>
  <c r="G21" i="3" s="1"/>
  <c r="G16" i="2"/>
  <c r="G14" i="3" s="1"/>
  <c r="G11" i="2"/>
  <c r="G9" i="3" s="1"/>
  <c r="F34" i="2"/>
  <c r="F32" i="3" s="1"/>
  <c r="F22" i="2"/>
  <c r="F20" i="3" s="1"/>
  <c r="G28" i="2"/>
  <c r="G26" i="3" s="1"/>
  <c r="G19" i="2"/>
  <c r="G17" i="3" s="1"/>
  <c r="G12" i="2"/>
  <c r="G10" i="3" s="1"/>
  <c r="G34" i="2"/>
  <c r="G32" i="3" s="1"/>
  <c r="F13" i="2"/>
  <c r="F11" i="3" s="1"/>
  <c r="F17" i="2"/>
  <c r="F15" i="3" s="1"/>
  <c r="F30" i="2"/>
  <c r="F28" i="3" s="1"/>
  <c r="F18" i="2"/>
  <c r="F16" i="3" s="1"/>
  <c r="G15" i="2"/>
  <c r="G13" i="3" s="1"/>
  <c r="G33" i="2"/>
  <c r="G31" i="3" s="1"/>
  <c r="F20" i="2"/>
  <c r="F18" i="3" s="1"/>
  <c r="F32" i="2"/>
  <c r="F30" i="3" s="1"/>
  <c r="F29" i="2"/>
  <c r="F27" i="3" s="1"/>
  <c r="D15" i="2"/>
  <c r="D13" i="3" s="1"/>
  <c r="D13" i="2"/>
  <c r="D11" i="3" s="1"/>
  <c r="D34" i="2"/>
  <c r="D32" i="3" s="1"/>
  <c r="D21" i="2"/>
  <c r="D19" i="3" s="1"/>
  <c r="D16" i="2"/>
  <c r="D14" i="3" s="1"/>
  <c r="D12" i="2"/>
  <c r="D10" i="3" s="1"/>
  <c r="D22" i="2"/>
  <c r="D20" i="3" s="1"/>
  <c r="D11" i="2"/>
  <c r="D9" i="3" s="1"/>
  <c r="D35" i="2"/>
  <c r="D33" i="3" s="1"/>
  <c r="D36" i="2"/>
  <c r="D34" i="3" s="1"/>
  <c r="D18" i="2"/>
  <c r="D16" i="3" s="1"/>
  <c r="D31" i="2"/>
  <c r="D29" i="3" s="1"/>
  <c r="D14" i="2"/>
  <c r="D12" i="3" s="1"/>
  <c r="D32" i="2"/>
  <c r="D30" i="3" s="1"/>
  <c r="D27" i="2"/>
  <c r="D25" i="3" s="1"/>
  <c r="D33" i="2"/>
  <c r="D31" i="3" s="1"/>
  <c r="D28" i="2"/>
  <c r="D26" i="3" s="1"/>
  <c r="D23" i="2"/>
  <c r="D21" i="3" s="1"/>
  <c r="D30" i="2"/>
  <c r="D28" i="3" s="1"/>
  <c r="D29" i="2"/>
  <c r="D27" i="3" s="1"/>
  <c r="D24" i="2"/>
  <c r="D22" i="3" s="1"/>
  <c r="D19" i="2"/>
  <c r="D17" i="3" s="1"/>
  <c r="D25" i="2"/>
  <c r="D23" i="3" s="1"/>
  <c r="D20" i="2"/>
  <c r="D18" i="3" s="1"/>
  <c r="L29" i="3" l="1"/>
  <c r="B22" i="4" s="1"/>
  <c r="C22" i="4" s="1"/>
  <c r="L15" i="3"/>
  <c r="B8" i="4" s="1"/>
  <c r="L17" i="2"/>
  <c r="L25" i="3"/>
  <c r="B18" i="4" s="1"/>
  <c r="C18" i="4" s="1"/>
  <c r="L17" i="3"/>
  <c r="B10" i="4" s="1"/>
  <c r="C10" i="4" s="1"/>
  <c r="L10" i="3"/>
  <c r="B3" i="4" s="1"/>
  <c r="C3" i="4" s="1"/>
  <c r="L34" i="3"/>
  <c r="B27" i="4" s="1"/>
  <c r="C27" i="4" s="1"/>
  <c r="L23" i="3"/>
  <c r="B16" i="4" s="1"/>
  <c r="C16" i="4" s="1"/>
  <c r="L22" i="3"/>
  <c r="B15" i="4" s="1"/>
  <c r="C15" i="4" s="1"/>
  <c r="L9" i="3"/>
  <c r="B2" i="4" s="1"/>
  <c r="C2" i="4" s="1"/>
  <c r="L20" i="3"/>
  <c r="B13" i="4" s="1"/>
  <c r="C13" i="4" s="1"/>
  <c r="L24" i="2"/>
  <c r="L12" i="3"/>
  <c r="B5" i="4" s="1"/>
  <c r="C5" i="4" s="1"/>
  <c r="L12" i="2"/>
  <c r="L26" i="3"/>
  <c r="B19" i="4" s="1"/>
  <c r="C19" i="4" s="1"/>
  <c r="L14" i="2"/>
  <c r="L18" i="3"/>
  <c r="B11" i="4" s="1"/>
  <c r="C11" i="4" s="1"/>
  <c r="L31" i="3"/>
  <c r="B24" i="4" s="1"/>
  <c r="C24" i="4" s="1"/>
  <c r="L24" i="3"/>
  <c r="B17" i="4" s="1"/>
  <c r="C17" i="4" s="1"/>
  <c r="L16" i="3"/>
  <c r="B9" i="4" s="1"/>
  <c r="C9" i="4" s="1"/>
  <c r="L26" i="2"/>
  <c r="L27" i="2"/>
  <c r="L18" i="2"/>
  <c r="L34" i="2"/>
  <c r="L32" i="3"/>
  <c r="B25" i="4" s="1"/>
  <c r="C25" i="4" s="1"/>
  <c r="L21" i="3"/>
  <c r="B14" i="4" s="1"/>
  <c r="C14" i="4" s="1"/>
  <c r="L22" i="2"/>
  <c r="L36" i="2"/>
  <c r="L28" i="3"/>
  <c r="B21" i="4" s="1"/>
  <c r="C21" i="4" s="1"/>
  <c r="L14" i="3"/>
  <c r="B7" i="4" s="1"/>
  <c r="C7" i="4" s="1"/>
  <c r="L20" i="2"/>
  <c r="L21" i="2"/>
  <c r="L30" i="3"/>
  <c r="B23" i="4" s="1"/>
  <c r="C23" i="4" s="1"/>
  <c r="L32" i="2"/>
  <c r="L33" i="2"/>
  <c r="L16" i="2"/>
  <c r="L31" i="2"/>
  <c r="L11" i="2"/>
  <c r="L27" i="3"/>
  <c r="B20" i="4" s="1"/>
  <c r="C20" i="4" s="1"/>
  <c r="L19" i="3"/>
  <c r="B12" i="4" s="1"/>
  <c r="C12" i="4" s="1"/>
  <c r="L11" i="3"/>
  <c r="B4" i="4" s="1"/>
  <c r="C4" i="4" s="1"/>
  <c r="L33" i="3"/>
  <c r="B26" i="4" s="1"/>
  <c r="C26" i="4" s="1"/>
  <c r="L13" i="3"/>
  <c r="B6" i="4" s="1"/>
  <c r="C6" i="4" s="1"/>
  <c r="L19" i="2"/>
  <c r="L13" i="2"/>
  <c r="L23" i="2"/>
  <c r="L29" i="2"/>
  <c r="L35" i="2"/>
  <c r="L30" i="2"/>
  <c r="L25" i="2"/>
  <c r="L28" i="2"/>
  <c r="L15" i="2"/>
  <c r="C8" i="4"/>
  <c r="F3" i="4"/>
  <c r="C10" i="5" s="1"/>
  <c r="F22" i="4"/>
  <c r="F10" i="4"/>
  <c r="F18" i="4"/>
  <c r="F5" i="4" l="1"/>
  <c r="E10" i="5" s="1"/>
  <c r="F27" i="4"/>
  <c r="J10" i="5" s="1"/>
  <c r="F9" i="4"/>
  <c r="F15" i="4"/>
  <c r="F14" i="4"/>
  <c r="F26" i="4"/>
  <c r="F25" i="4"/>
  <c r="F13" i="4"/>
  <c r="F2" i="4"/>
  <c r="B10" i="5" s="1"/>
  <c r="B11" i="5" s="1"/>
  <c r="C11" i="5" s="1"/>
  <c r="F16" i="4"/>
  <c r="F11" i="4"/>
  <c r="F19" i="4"/>
  <c r="F20" i="4"/>
  <c r="F6" i="4"/>
  <c r="F10" i="5" s="1"/>
  <c r="F17" i="4"/>
  <c r="F4" i="4"/>
  <c r="D10" i="5" s="1"/>
  <c r="F21" i="4"/>
  <c r="F12" i="4"/>
  <c r="F23" i="4"/>
  <c r="F7" i="4"/>
  <c r="G10" i="5" s="1"/>
  <c r="F24" i="4"/>
  <c r="F8" i="4"/>
  <c r="H10" i="5" s="1"/>
  <c r="D11" i="5" l="1"/>
  <c r="E11" i="5" s="1"/>
  <c r="F11" i="5" s="1"/>
  <c r="G11" i="5" s="1"/>
  <c r="H11" i="5" s="1"/>
  <c r="G7" i="4"/>
  <c r="G27" i="4"/>
  <c r="J11" i="5"/>
</calcChain>
</file>

<file path=xl/sharedStrings.xml><?xml version="1.0" encoding="utf-8"?>
<sst xmlns="http://schemas.openxmlformats.org/spreadsheetml/2006/main" count="293" uniqueCount="113">
  <si>
    <t>Fiscal Year</t>
  </si>
  <si>
    <t>Annual Ridership</t>
  </si>
  <si>
    <t>Coliseum</t>
  </si>
  <si>
    <t>El Cerrito Del Norte</t>
  </si>
  <si>
    <t>Fruitvale</t>
  </si>
  <si>
    <t>Hayward</t>
  </si>
  <si>
    <t>Lake Merritt</t>
  </si>
  <si>
    <t>Richmond</t>
  </si>
  <si>
    <t>Balboa Park</t>
  </si>
  <si>
    <t>Colma</t>
  </si>
  <si>
    <t>Daly City</t>
  </si>
  <si>
    <t>16th Street / Mission</t>
  </si>
  <si>
    <t>Notes</t>
  </si>
  <si>
    <t>FY18</t>
  </si>
  <si>
    <t>Actuals</t>
  </si>
  <si>
    <t>FY19</t>
  </si>
  <si>
    <t>FY20</t>
  </si>
  <si>
    <t>FY21</t>
  </si>
  <si>
    <t>FY22</t>
  </si>
  <si>
    <t>FY23</t>
  </si>
  <si>
    <t>FY24</t>
  </si>
  <si>
    <t>FY24 Budget</t>
  </si>
  <si>
    <t>FY25</t>
  </si>
  <si>
    <t>FY25-FY26 Preliminary Budget</t>
  </si>
  <si>
    <t>FY26</t>
  </si>
  <si>
    <t>FY27</t>
  </si>
  <si>
    <t>FY28</t>
  </si>
  <si>
    <t>FY29</t>
  </si>
  <si>
    <t>FY30</t>
  </si>
  <si>
    <t>FY31</t>
  </si>
  <si>
    <t>Core Capacity Service Increase</t>
  </si>
  <si>
    <t>FY32</t>
  </si>
  <si>
    <t>FY33</t>
  </si>
  <si>
    <t>FY34</t>
  </si>
  <si>
    <t>FY35</t>
  </si>
  <si>
    <t>FY36</t>
  </si>
  <si>
    <t>VTA Phase 2 Service Increase - NOTE that Annual Ridership # does not include the Phase 2 Extension.</t>
  </si>
  <si>
    <t>FY37</t>
  </si>
  <si>
    <t>FY38</t>
  </si>
  <si>
    <t>FY39</t>
  </si>
  <si>
    <t>FY40</t>
  </si>
  <si>
    <t>FY41</t>
  </si>
  <si>
    <t>FY42</t>
  </si>
  <si>
    <t>FY43</t>
  </si>
  <si>
    <t>FY44</t>
  </si>
  <si>
    <t>FY45</t>
  </si>
  <si>
    <t>FY46</t>
  </si>
  <si>
    <t>FY47</t>
  </si>
  <si>
    <t>FY48</t>
  </si>
  <si>
    <t>FY49</t>
  </si>
  <si>
    <t>FY50</t>
  </si>
  <si>
    <t>Total Automobile Trips Avoided (Mode shift factor * avoided trips)</t>
  </si>
  <si>
    <t>VMT avoided</t>
  </si>
  <si>
    <t>Average BART trip distance (FY23)</t>
  </si>
  <si>
    <t>GHG avoided</t>
  </si>
  <si>
    <t>Total (10 Stations)</t>
  </si>
  <si>
    <t>Total Avoided Trips (10 stations)</t>
  </si>
  <si>
    <t>Value</t>
  </si>
  <si>
    <t>2031...</t>
  </si>
  <si>
    <t>...</t>
  </si>
  <si>
    <t>Yearly MT CO2e reduced</t>
  </si>
  <si>
    <t>Emission Factors</t>
  </si>
  <si>
    <t>EMFAC2021 v1.0.2</t>
  </si>
  <si>
    <t>All rates in grams per mile</t>
  </si>
  <si>
    <t>Provided 10-26-23 and updated 3-20-24</t>
  </si>
  <si>
    <t>Years in italics are interpolated between model-provided years</t>
  </si>
  <si>
    <t>Regional CO2 running EF (grams/mi)</t>
  </si>
  <si>
    <t>g/lb conversion</t>
  </si>
  <si>
    <t>lb/ton conversion</t>
  </si>
  <si>
    <t>Regional CO2 running EF (tons/mi)</t>
  </si>
  <si>
    <t>Regional CO2 tripend EF (grams/trip)</t>
  </si>
  <si>
    <t>Regional CO2 tripend EF (tons/trip)</t>
  </si>
  <si>
    <t>YEAR 2025</t>
  </si>
  <si>
    <r>
      <t>NO CONTROLS CO</t>
    </r>
    <r>
      <rPr>
        <b/>
        <i/>
        <u/>
        <vertAlign val="subscript"/>
        <sz val="11"/>
        <rFont val="Aptos Narrow"/>
        <family val="2"/>
        <scheme val="minor"/>
      </rPr>
      <t>2</t>
    </r>
    <r>
      <rPr>
        <b/>
        <i/>
        <u/>
        <sz val="11"/>
        <rFont val="Aptos Narrow"/>
        <family val="2"/>
        <scheme val="minor"/>
      </rPr>
      <t xml:space="preserve"> Exhaust &amp; Tripend Emission Rates</t>
    </r>
  </si>
  <si>
    <t>Exhaust</t>
  </si>
  <si>
    <t>Tripend</t>
  </si>
  <si>
    <t xml:space="preserve">Alameda </t>
  </si>
  <si>
    <t xml:space="preserve">Contra Costa </t>
  </si>
  <si>
    <t xml:space="preserve">Marin </t>
  </si>
  <si>
    <t xml:space="preserve">Napa </t>
  </si>
  <si>
    <t xml:space="preserve">San Francisco </t>
  </si>
  <si>
    <t xml:space="preserve">San Mateo </t>
  </si>
  <si>
    <t xml:space="preserve">Santa Clara </t>
  </si>
  <si>
    <t>Solano (SF)</t>
  </si>
  <si>
    <t>Solano (SV)</t>
  </si>
  <si>
    <t>Sonoma (NC)</t>
  </si>
  <si>
    <t>Sonoma (SF)</t>
  </si>
  <si>
    <t>Regionwide</t>
  </si>
  <si>
    <t>YEAR 2035</t>
  </si>
  <si>
    <r>
      <t>NO CONTROLS CO</t>
    </r>
    <r>
      <rPr>
        <b/>
        <i/>
        <u/>
        <vertAlign val="subscript"/>
        <sz val="11"/>
        <rFont val="Calibri"/>
        <family val="2"/>
      </rPr>
      <t>2</t>
    </r>
    <r>
      <rPr>
        <b/>
        <i/>
        <u/>
        <sz val="11"/>
        <rFont val="Calibri"/>
        <family val="2"/>
      </rPr>
      <t xml:space="preserve"> Exhaust &amp; Tripend Emission Rates</t>
    </r>
  </si>
  <si>
    <t>YEAR 2043</t>
  </si>
  <si>
    <t>YEAR 2050</t>
  </si>
  <si>
    <t>Year</t>
  </si>
  <si>
    <t>wayfinding</t>
  </si>
  <si>
    <t>lighting</t>
  </si>
  <si>
    <t>Cumulative MT CO2e reduced</t>
  </si>
  <si>
    <t>% Increase</t>
  </si>
  <si>
    <t>Total</t>
  </si>
  <si>
    <t>delivery.php (ssrn.com)</t>
  </si>
  <si>
    <t>real-time displays</t>
  </si>
  <si>
    <t>GHG Reduction and Cost-effectiveness: Mobility Hub Capital Improvements</t>
  </si>
  <si>
    <t>Grant Impact Results across Main sheets</t>
  </si>
  <si>
    <t>2025-2030</t>
  </si>
  <si>
    <t>2025-2050</t>
  </si>
  <si>
    <t>Total mtCO2e reduced</t>
  </si>
  <si>
    <t>Total cost</t>
  </si>
  <si>
    <t>Cost Effectiveness ($/mtCO2e reduced)</t>
  </si>
  <si>
    <t>7 components</t>
  </si>
  <si>
    <t>bus shelters and other mode transfer amenities</t>
  </si>
  <si>
    <t>ADA improvements</t>
  </si>
  <si>
    <t>community plazas (TOD)</t>
  </si>
  <si>
    <t>bike &amp; pedestrian improvements</t>
  </si>
  <si>
    <t>Methodological Details:
Table below shows the assumed ridership increases associated with each Mobility Hub Capital Improvement component, based on the NITC Utah study with ~2.0% total ridership increase stemming simply from new ADA-compliant sidewalks, benches, shelters, and trash cans at bus stops. This 2.0% has been divided across each of the 5 treatments related to signage, lighting, and bus shelters proposed in this grant application, since they are similar in nature and scope, leading to a value of less than one percent (0.4%) for each of these similar proposed improvement categories.
For the Bike &amp; Pedestrian Infrastructure component, a study examining Atlanta, Chicago, and Twin Cities is used, which suggests that quadrupling the proportion of bike lanes increases the mode share of public transit ridership by 0.6%. This less than one percent number (0.6%) is used here for the grant-proposed bike and pedestrian improvements, due to the large amount of pedestrian improvements and bike improvements and amenities (bike storage/lockers, etc) entailed in the grant application.
The Community Plaza component similarly uses this less than one percent number (0.6%) to estimate the transit ridership impact of building a community plaza at the Mobility Hub location, in the absence of research on this very specific subject. However, overall, this is seen as conservative, especially since COVID ridership decline (accounted for in this analysis) already may be underestimating future ridership recovery, and such open space and community-oriented improvements like community plazas can reasonably help with COVID ridership recovery. 
Study link below.</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</si>
</sst>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_(* #,##0.0_);_(* \(#,##0.0\);_(* &quot;-&quot;??_);_(@_)"/>
    <numFmt numFmtId="165" formatCode="_(* #,##0_);_(* \(#,##0\);_(* &quot;-&quot;??_);_(@_)"/>
    <numFmt numFmtId="166" formatCode="0.000000"/>
    <numFmt numFmtId="167" formatCode="0.000"/>
    <numFmt numFmtId="168" formatCode="0.0%"/>
    <numFmt numFmtId="169" formatCode="&quot;$&quot;#,##0"/>
  </numFmts>
  <fonts count="39" x14ac:knownFonts="1">
    <font>
      <sz val="11"/>
      <color theme="1"/>
      <name val="Aptos Narrow"/>
      <family val="2"/>
      <scheme val="minor"/>
    </font>
    <font>
      <b/>
      <sz val="11"/>
      <color theme="1"/>
      <name val="Aptos Narrow"/>
      <family val="2"/>
      <scheme val="minor"/>
    </font>
    <font>
      <sz val="8"/>
      <name val="Aptos Narrow"/>
      <family val="2"/>
      <scheme val="minor"/>
    </font>
    <font>
      <sz val="11"/>
      <color theme="1"/>
      <name val="Aptos Narrow"/>
      <family val="2"/>
      <scheme val="minor"/>
    </font>
    <font>
      <sz val="11"/>
      <color rgb="FFFF0000"/>
      <name val="Aptos Narrow"/>
      <family val="2"/>
      <scheme val="minor"/>
    </font>
    <font>
      <sz val="11"/>
      <color rgb="FF000000"/>
      <name val="Calibri"/>
      <family val="2"/>
    </font>
    <font>
      <sz val="11"/>
      <color rgb="FFFF0000"/>
      <name val="Calibri"/>
      <family val="2"/>
    </font>
    <font>
      <b/>
      <sz val="11"/>
      <color rgb="FF000000"/>
      <name val="Calibri"/>
      <family val="2"/>
    </font>
    <font>
      <b/>
      <sz val="11"/>
      <name val="Calibri"/>
      <family val="2"/>
    </font>
    <font>
      <i/>
      <sz val="11"/>
      <color theme="1"/>
      <name val="Aptos Narrow"/>
      <family val="2"/>
      <scheme val="minor"/>
    </font>
    <font>
      <sz val="11"/>
      <name val="Calibri"/>
      <family val="2"/>
    </font>
    <font>
      <i/>
      <sz val="11"/>
      <name val="Calibri"/>
      <family val="2"/>
    </font>
    <font>
      <b/>
      <i/>
      <sz val="11"/>
      <color theme="1"/>
      <name val="Aptos Narrow"/>
      <family val="2"/>
      <scheme val="minor"/>
    </font>
    <font>
      <sz val="12"/>
      <name val="Calibri"/>
      <family val="2"/>
    </font>
    <font>
      <b/>
      <sz val="11"/>
      <color rgb="FFFF0000"/>
      <name val="Calibri"/>
      <family val="2"/>
    </font>
    <font>
      <b/>
      <sz val="11"/>
      <color rgb="FF0000FF"/>
      <name val="Aptos Narrow"/>
      <family val="2"/>
      <scheme val="minor"/>
    </font>
    <font>
      <b/>
      <i/>
      <u/>
      <sz val="11"/>
      <name val="Aptos Narrow"/>
      <family val="2"/>
      <scheme val="minor"/>
    </font>
    <font>
      <b/>
      <i/>
      <u/>
      <vertAlign val="subscript"/>
      <sz val="11"/>
      <name val="Aptos Narrow"/>
      <family val="2"/>
      <scheme val="minor"/>
    </font>
    <font>
      <sz val="11"/>
      <color rgb="FF0000FF"/>
      <name val="Aptos Narrow"/>
      <family val="2"/>
      <scheme val="minor"/>
    </font>
    <font>
      <sz val="12"/>
      <color rgb="FF000000"/>
      <name val="Calibri"/>
      <family val="2"/>
    </font>
    <font>
      <b/>
      <sz val="11"/>
      <color rgb="FF0000FF"/>
      <name val="Calibri"/>
      <family val="2"/>
    </font>
    <font>
      <sz val="11"/>
      <name val="Aptos Narrow"/>
      <family val="2"/>
      <scheme val="minor"/>
    </font>
    <font>
      <b/>
      <i/>
      <u/>
      <sz val="11"/>
      <name val="Calibri"/>
      <family val="2"/>
    </font>
    <font>
      <b/>
      <i/>
      <u/>
      <vertAlign val="subscript"/>
      <sz val="11"/>
      <name val="Calibri"/>
      <family val="2"/>
    </font>
    <font>
      <b/>
      <sz val="11"/>
      <name val="Arial"/>
      <family val="2"/>
    </font>
    <font>
      <b/>
      <sz val="11"/>
      <color rgb="FFFF0000"/>
      <name val="Arial"/>
      <family val="2"/>
    </font>
    <font>
      <sz val="11"/>
      <name val="Arial"/>
      <family val="2"/>
    </font>
    <font>
      <sz val="11"/>
      <color rgb="FF0000FF"/>
      <name val="Calibri"/>
      <family val="2"/>
    </font>
    <font>
      <b/>
      <sz val="11"/>
      <color rgb="FFFF0000"/>
      <name val="Aptos Narrow"/>
      <family val="2"/>
      <scheme val="minor"/>
    </font>
    <font>
      <b/>
      <i/>
      <sz val="11"/>
      <name val="Aptos Narrow"/>
      <family val="2"/>
      <scheme val="minor"/>
    </font>
    <font>
      <sz val="11"/>
      <color rgb="FFFF0000"/>
      <name val="Arial"/>
      <family val="2"/>
    </font>
    <font>
      <u/>
      <sz val="11"/>
      <color theme="10"/>
      <name val="Aptos Narrow"/>
      <family val="2"/>
      <scheme val="minor"/>
    </font>
    <font>
      <b/>
      <sz val="16"/>
      <color theme="1"/>
      <name val="Calibri"/>
      <family val="2"/>
    </font>
    <font>
      <sz val="11"/>
      <color theme="1"/>
      <name val="Calibri"/>
      <family val="2"/>
    </font>
    <font>
      <b/>
      <sz val="12"/>
      <color theme="0"/>
      <name val="Calibri"/>
      <family val="2"/>
    </font>
    <font>
      <b/>
      <sz val="10"/>
      <color theme="1"/>
      <name val="Calibri"/>
      <family val="2"/>
    </font>
    <font>
      <b/>
      <sz val="11"/>
      <color theme="1"/>
      <name val="Calibri"/>
      <family val="2"/>
    </font>
    <font>
      <u/>
      <sz val="11"/>
      <color theme="10"/>
      <name val="Calibri"/>
      <family val="2"/>
    </font>
    <font>
      <i/>
      <sz val="11"/>
      <color theme="1"/>
      <name val="Calibri"/>
      <family val="2"/>
    </font>
  </fonts>
  <fills count="7">
    <fill>
      <patternFill patternType="none"/>
    </fill>
    <fill>
      <patternFill patternType="gray125"/>
    </fill>
    <fill>
      <patternFill patternType="solid">
        <fgColor theme="4" tint="0.39997558519241921"/>
        <bgColor indexed="64"/>
      </patternFill>
    </fill>
    <fill>
      <patternFill patternType="solid">
        <fgColor rgb="FFFFFF00"/>
        <bgColor indexed="64"/>
      </patternFill>
    </fill>
    <fill>
      <patternFill patternType="solid">
        <fgColor theme="0"/>
        <bgColor indexed="64"/>
      </patternFill>
    </fill>
    <fill>
      <patternFill patternType="solid">
        <fgColor rgb="FF4472C4"/>
        <bgColor indexed="64"/>
      </patternFill>
    </fill>
    <fill>
      <patternFill patternType="solid">
        <fgColor theme="4"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thin">
        <color auto="1"/>
      </left>
      <right/>
      <top style="thin">
        <color auto="1"/>
      </top>
      <bottom style="thin">
        <color auto="1"/>
      </bottom>
      <diagonal/>
    </border>
  </borders>
  <cellStyleXfs count="4">
    <xf numFmtId="0" fontId="0" fillId="0" borderId="0"/>
    <xf numFmtId="43" fontId="3" fillId="0" borderId="0" applyFont="0" applyFill="0" applyBorder="0" applyAlignment="0" applyProtection="0"/>
    <xf numFmtId="0" fontId="31" fillId="0" borderId="0" applyNumberFormat="0" applyFill="0" applyBorder="0" applyAlignment="0" applyProtection="0"/>
    <xf numFmtId="9" fontId="3" fillId="0" borderId="0" applyFont="0" applyFill="0" applyBorder="0" applyAlignment="0" applyProtection="0"/>
  </cellStyleXfs>
  <cellXfs count="68">
    <xf numFmtId="0" fontId="0" fillId="0" borderId="0" xfId="0"/>
    <xf numFmtId="0" fontId="1" fillId="0" borderId="0" xfId="0" applyFont="1"/>
    <xf numFmtId="0" fontId="5" fillId="0" borderId="0" xfId="0" applyFont="1"/>
    <xf numFmtId="0" fontId="6" fillId="0" borderId="0" xfId="0" applyFont="1"/>
    <xf numFmtId="0" fontId="7" fillId="0" borderId="0" xfId="0" applyFont="1"/>
    <xf numFmtId="0" fontId="8" fillId="2" borderId="0" xfId="0" applyFont="1" applyFill="1"/>
    <xf numFmtId="0" fontId="9" fillId="0" borderId="0" xfId="0" applyFont="1"/>
    <xf numFmtId="2" fontId="10" fillId="2" borderId="0" xfId="0" applyNumberFormat="1" applyFont="1" applyFill="1"/>
    <xf numFmtId="2" fontId="9" fillId="0" borderId="0" xfId="0" applyNumberFormat="1" applyFont="1"/>
    <xf numFmtId="0" fontId="10" fillId="2" borderId="0" xfId="0" applyFont="1" applyFill="1"/>
    <xf numFmtId="0" fontId="11" fillId="0" borderId="0" xfId="0" applyFont="1"/>
    <xf numFmtId="166" fontId="8" fillId="2" borderId="0" xfId="0" applyNumberFormat="1" applyFont="1" applyFill="1"/>
    <xf numFmtId="0" fontId="12" fillId="0" borderId="0" xfId="0" applyFont="1"/>
    <xf numFmtId="11" fontId="8" fillId="2" borderId="0" xfId="0" applyNumberFormat="1" applyFont="1" applyFill="1"/>
    <xf numFmtId="0" fontId="8" fillId="0" borderId="0" xfId="0" applyFont="1"/>
    <xf numFmtId="0" fontId="13" fillId="0" borderId="0" xfId="0" applyFont="1"/>
    <xf numFmtId="0" fontId="14" fillId="0" borderId="0" xfId="0" applyFont="1"/>
    <xf numFmtId="0" fontId="15" fillId="0" borderId="0" xfId="0" applyFont="1"/>
    <xf numFmtId="0" fontId="16" fillId="0" borderId="0" xfId="0" applyFont="1" applyAlignment="1">
      <alignment horizontal="left"/>
    </xf>
    <xf numFmtId="0" fontId="18" fillId="0" borderId="0" xfId="0" applyFont="1"/>
    <xf numFmtId="167" fontId="18" fillId="0" borderId="0" xfId="0" applyNumberFormat="1" applyFont="1"/>
    <xf numFmtId="167" fontId="15" fillId="0" borderId="0" xfId="0" applyNumberFormat="1" applyFont="1"/>
    <xf numFmtId="0" fontId="19" fillId="0" borderId="0" xfId="0" applyFont="1"/>
    <xf numFmtId="0" fontId="20" fillId="0" borderId="0" xfId="0" applyFont="1"/>
    <xf numFmtId="0" fontId="21" fillId="0" borderId="0" xfId="0" applyFont="1"/>
    <xf numFmtId="0" fontId="22" fillId="0" borderId="0" xfId="0" applyFont="1"/>
    <xf numFmtId="0" fontId="24" fillId="0" borderId="0" xfId="0" applyFont="1"/>
    <xf numFmtId="0" fontId="25" fillId="0" borderId="0" xfId="0" applyFont="1"/>
    <xf numFmtId="0" fontId="26" fillId="0" borderId="0" xfId="0" applyFont="1"/>
    <xf numFmtId="0" fontId="27" fillId="0" borderId="0" xfId="0" applyFont="1"/>
    <xf numFmtId="0" fontId="10" fillId="0" borderId="0" xfId="0" applyFont="1"/>
    <xf numFmtId="4" fontId="26" fillId="0" borderId="0" xfId="0" applyNumberFormat="1" applyFont="1"/>
    <xf numFmtId="4" fontId="24" fillId="0" borderId="0" xfId="0" applyNumberFormat="1" applyFont="1"/>
    <xf numFmtId="0" fontId="28" fillId="0" borderId="0" xfId="0" applyFont="1"/>
    <xf numFmtId="0" fontId="29" fillId="0" borderId="0" xfId="0" applyFont="1" applyAlignment="1">
      <alignment horizontal="left"/>
    </xf>
    <xf numFmtId="0" fontId="4" fillId="0" borderId="0" xfId="0" applyFont="1"/>
    <xf numFmtId="167" fontId="4" fillId="0" borderId="0" xfId="0" applyNumberFormat="1" applyFont="1"/>
    <xf numFmtId="167" fontId="28" fillId="0" borderId="0" xfId="0" applyNumberFormat="1" applyFont="1"/>
    <xf numFmtId="0" fontId="30" fillId="0" borderId="0" xfId="0" applyFont="1"/>
    <xf numFmtId="0" fontId="32" fillId="4" borderId="0" xfId="0" applyFont="1" applyFill="1"/>
    <xf numFmtId="0" fontId="33" fillId="0" borderId="0" xfId="0" applyFont="1"/>
    <xf numFmtId="0" fontId="7" fillId="0" borderId="2" xfId="0" applyFont="1" applyBorder="1" applyAlignment="1">
      <alignment vertical="center" wrapText="1"/>
    </xf>
    <xf numFmtId="0" fontId="7" fillId="0" borderId="3" xfId="0" applyFont="1" applyBorder="1" applyAlignment="1">
      <alignment vertical="center" wrapText="1"/>
    </xf>
    <xf numFmtId="0" fontId="33" fillId="0" borderId="1" xfId="0" applyFont="1" applyBorder="1"/>
    <xf numFmtId="3" fontId="33" fillId="0" borderId="1" xfId="0" applyNumberFormat="1" applyFont="1" applyBorder="1"/>
    <xf numFmtId="0" fontId="34" fillId="5" borderId="0" xfId="0" applyFont="1" applyFill="1" applyAlignment="1">
      <alignment horizontal="left"/>
    </xf>
    <xf numFmtId="0" fontId="34" fillId="5" borderId="0" xfId="0" applyFont="1" applyFill="1" applyAlignment="1">
      <alignment horizontal="center"/>
    </xf>
    <xf numFmtId="0" fontId="35" fillId="6" borderId="1" xfId="0" applyFont="1" applyFill="1" applyBorder="1"/>
    <xf numFmtId="164" fontId="36" fillId="6" borderId="1" xfId="1" applyNumberFormat="1" applyFont="1" applyFill="1" applyBorder="1"/>
    <xf numFmtId="0" fontId="35" fillId="6" borderId="4" xfId="0" applyFont="1" applyFill="1" applyBorder="1"/>
    <xf numFmtId="169" fontId="36" fillId="6" borderId="1" xfId="1" applyNumberFormat="1" applyFont="1" applyFill="1" applyBorder="1"/>
    <xf numFmtId="0" fontId="36" fillId="0" borderId="0" xfId="0" applyFont="1" applyAlignment="1">
      <alignment horizontal="center" wrapText="1"/>
    </xf>
    <xf numFmtId="3" fontId="33" fillId="0" borderId="0" xfId="0" applyNumberFormat="1" applyFont="1"/>
    <xf numFmtId="0" fontId="33" fillId="3" borderId="0" xfId="0" applyFont="1" applyFill="1" applyAlignment="1">
      <alignment vertical="top"/>
    </xf>
    <xf numFmtId="0" fontId="37" fillId="3" borderId="0" xfId="2" applyFont="1" applyFill="1"/>
    <xf numFmtId="0" fontId="36" fillId="0" borderId="0" xfId="0" applyFont="1"/>
    <xf numFmtId="0" fontId="38" fillId="0" borderId="0" xfId="0" applyFont="1"/>
    <xf numFmtId="168" fontId="33" fillId="0" borderId="0" xfId="0" applyNumberFormat="1" applyFont="1"/>
    <xf numFmtId="10" fontId="33" fillId="0" borderId="0" xfId="3" applyNumberFormat="1" applyFont="1"/>
    <xf numFmtId="0" fontId="33" fillId="0" borderId="0" xfId="0" applyFont="1" applyAlignment="1">
      <alignment wrapText="1"/>
    </xf>
    <xf numFmtId="165" fontId="33" fillId="0" borderId="0" xfId="1" applyNumberFormat="1" applyFont="1"/>
    <xf numFmtId="43" fontId="36" fillId="0" borderId="0" xfId="0" applyNumberFormat="1" applyFont="1"/>
    <xf numFmtId="164" fontId="33" fillId="0" borderId="0" xfId="1" applyNumberFormat="1" applyFont="1"/>
    <xf numFmtId="0" fontId="35" fillId="0" borderId="0" xfId="0" applyFont="1"/>
    <xf numFmtId="164" fontId="36" fillId="0" borderId="0" xfId="1" applyNumberFormat="1" applyFont="1" applyFill="1" applyBorder="1"/>
    <xf numFmtId="0" fontId="33" fillId="3" borderId="0" xfId="0" applyFont="1" applyFill="1" applyAlignment="1">
      <alignment vertical="top" wrapText="1"/>
    </xf>
    <xf numFmtId="0" fontId="33" fillId="3" borderId="0" xfId="0" applyFont="1" applyFill="1" applyAlignment="1">
      <alignment vertical="top"/>
    </xf>
    <xf numFmtId="0" fontId="24" fillId="0" borderId="0" xfId="0" applyFont="1"/>
  </cellXfs>
  <cellStyles count="4">
    <cellStyle name="Comma" xfId="1" builtinId="3"/>
    <cellStyle name="Hyperlink" xfId="2" builtinId="8"/>
    <cellStyle name="Normal" xfId="0" builtinId="0"/>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icfonline.sharepoint.com/Z/Documents%20and%20Settings/25004/Local%20Settings/Temporary%20Internet%20Files/Content.Outlook/7PYWN2VZ/From%20MTC/forFrank/2005/CommuteByEmploymentLocation.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icfonline.sharepoint.com/Z/Documents%20and%20Settings/25004/Local%20Settings/Temporary%20Internet%20Files/Content.Outlook/7PYWN2VZ/From%20MTC/forFrank/2035%20CRP/CommuteByEmploymentLocation.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icfonline.sharepoint.com/Users/eliotrose/Downloads/CommuteByEmploymentLocation.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icfonline.sharepoint.com/Users/29480/Desktop/MTC%20strategies/Resources/MTC%20CBO%20Calculator%20v5.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fo"/>
      <sheetName val="summary.tours"/>
      <sheetName val="summary.mode share"/>
      <sheetName val="summary.distance"/>
      <sheetName val="summary.cost"/>
      <sheetName val="CommuteByEmploymentLocation.csv"/>
      <sheetName val="reference.taz to county"/>
      <sheetName val="reference.county names"/>
      <sheetName val="reference.inflation"/>
    </sheetNames>
    <sheetDataSet>
      <sheetData sheetId="0" refreshError="1">
        <row r="22">
          <cell r="G22" t="str">
            <v>Year 2005 (version 0.0)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fo"/>
      <sheetName val="summary.tours"/>
      <sheetName val="summary.mode share"/>
      <sheetName val="summary.distance"/>
      <sheetName val="summary.cost"/>
      <sheetName val="CommuteByEmploymentLocation.csv"/>
      <sheetName val="reference.taz to county"/>
      <sheetName val="reference.county names"/>
      <sheetName val="reference.inflation"/>
    </sheetNames>
    <sheetDataSet>
      <sheetData sheetId="0">
        <row r="22">
          <cell r="G22" t="str">
            <v>Year 2035, Draft Adopted and Anticipated Policies (v 0.0)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fo"/>
      <sheetName val="summary.tours"/>
      <sheetName val="summary.mode share"/>
      <sheetName val="summary.distance"/>
      <sheetName val="summary.cost"/>
      <sheetName val="CommuteByEmploymentLocation.csv"/>
      <sheetName val="reference.taz to county"/>
      <sheetName val="reference.county names"/>
      <sheetName val="reference.inflation"/>
    </sheetNames>
    <sheetDataSet>
      <sheetData sheetId="0" refreshError="1">
        <row r="1">
          <cell r="A1" t="str">
            <v>Commuter Characteristics by Employment Location</v>
          </cell>
        </row>
        <row r="20">
          <cell r="G20" t="str">
            <v>---</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ap"/>
      <sheetName val="Index"/>
      <sheetName val="Summary"/>
      <sheetName val="SB 375"/>
      <sheetName val="CBO-1_2020"/>
      <sheetName val="CBO-1_2035"/>
      <sheetName val="CBO-2_2020"/>
      <sheetName val="CBO-2_2035"/>
      <sheetName val="CBO1+2_2020"/>
      <sheetName val="CBO1+2_2035"/>
      <sheetName val="Job Growth and Trip Rates"/>
      <sheetName val="Emissions Impacts"/>
      <sheetName val="Assumptions"/>
      <sheetName val="TransitJobs"/>
      <sheetName val="TransitStations"/>
      <sheetName val="Cost"/>
      <sheetName val="Trips2020"/>
      <sheetName val="Trips2035"/>
      <sheetName val="tazData2005"/>
      <sheetName val="tazData2020"/>
      <sheetName val="tazData2035"/>
      <sheetName val="EmFactors2020"/>
      <sheetName val="EmFactors2035"/>
      <sheetName val="EmployerDistribution"/>
      <sheetName val="TransitEmp"/>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row r="15">
          <cell r="P15">
            <v>0</v>
          </cell>
        </row>
      </sheetData>
      <sheetData sheetId="14"/>
      <sheetData sheetId="15"/>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3.xml.rels><?xml version="1.0" encoding="UTF-8" standalone="yes"?>
<Relationships xmlns="http://schemas.openxmlformats.org/package/2006/relationships"><Relationship Id="rId1" Type="http://schemas.openxmlformats.org/officeDocument/2006/relationships/hyperlink" Target="https://deliverypdf.ssrn.com/delivery.php?ID=158006120027101095073117125116101023054073004041071075072012012014113068079122078040098099091101023083116023101088001001044100124119094091096003018025026001038085010077086079107071121017006032031025086087085066104118020077124085069109081026079011075103109101091096100090002027099004&amp;EXT=pdf&amp;INDEX=TRU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F0F26D-148C-4F97-A295-05857714FF50}">
  <sheetPr>
    <tabColor rgb="FFFF0000"/>
  </sheetPr>
  <dimension ref="A1:K19"/>
  <sheetViews>
    <sheetView tabSelected="1" workbookViewId="0"/>
  </sheetViews>
  <sheetFormatPr defaultRowHeight="14.5" x14ac:dyDescent="0.35"/>
  <cols>
    <col min="1" max="1" width="22.26953125" bestFit="1" customWidth="1"/>
    <col min="2" max="2" width="11.90625" bestFit="1" customWidth="1"/>
    <col min="3" max="3" width="14.6328125" customWidth="1"/>
    <col min="4" max="6" width="8.90625" bestFit="1" customWidth="1"/>
    <col min="7" max="8" width="10.453125" bestFit="1" customWidth="1"/>
    <col min="10" max="10" width="11.453125" bestFit="1" customWidth="1"/>
  </cols>
  <sheetData>
    <row r="1" spans="1:11" ht="21" x14ac:dyDescent="0.5">
      <c r="A1" s="39" t="s">
        <v>100</v>
      </c>
      <c r="B1" s="40"/>
      <c r="C1" s="40"/>
      <c r="D1" s="40"/>
      <c r="E1" s="40"/>
      <c r="F1" s="40"/>
      <c r="G1" s="40"/>
      <c r="H1" s="40"/>
      <c r="I1" s="40"/>
      <c r="J1" s="40"/>
      <c r="K1" s="40"/>
    </row>
    <row r="2" spans="1:11" x14ac:dyDescent="0.35">
      <c r="A2" s="40"/>
      <c r="B2" s="40"/>
      <c r="C2" s="40"/>
      <c r="D2" s="40"/>
      <c r="E2" s="40"/>
      <c r="F2" s="40"/>
      <c r="G2" s="40"/>
      <c r="H2" s="40"/>
      <c r="I2" s="40"/>
      <c r="J2" s="40"/>
      <c r="K2" s="40"/>
    </row>
    <row r="3" spans="1:11" ht="15.5" x14ac:dyDescent="0.35">
      <c r="A3" s="45" t="s">
        <v>101</v>
      </c>
      <c r="B3" s="46" t="s">
        <v>102</v>
      </c>
      <c r="C3" s="46" t="s">
        <v>103</v>
      </c>
      <c r="D3" s="40"/>
      <c r="E3" s="40"/>
      <c r="F3" s="40"/>
      <c r="G3" s="40"/>
      <c r="H3" s="40"/>
      <c r="I3" s="40"/>
      <c r="J3" s="40"/>
      <c r="K3" s="40"/>
    </row>
    <row r="4" spans="1:11" x14ac:dyDescent="0.35">
      <c r="A4" s="47" t="s">
        <v>104</v>
      </c>
      <c r="B4" s="48">
        <f>G11</f>
        <v>4969.1564682963126</v>
      </c>
      <c r="C4" s="48">
        <f>J11</f>
        <v>34690.973885032916</v>
      </c>
      <c r="D4" s="40"/>
      <c r="E4" s="40"/>
      <c r="F4" s="40"/>
      <c r="G4" s="40"/>
      <c r="H4" s="40"/>
      <c r="I4" s="40"/>
      <c r="J4" s="40"/>
      <c r="K4" s="40"/>
    </row>
    <row r="5" spans="1:11" x14ac:dyDescent="0.35">
      <c r="A5" s="49" t="s">
        <v>105</v>
      </c>
      <c r="B5" s="50">
        <f>110475000</f>
        <v>110475000</v>
      </c>
      <c r="C5" s="50">
        <f>110475000</f>
        <v>110475000</v>
      </c>
      <c r="D5" s="40"/>
      <c r="E5" s="40"/>
      <c r="F5" s="40"/>
      <c r="G5" s="40"/>
      <c r="H5" s="40"/>
      <c r="I5" s="40"/>
      <c r="J5" s="40"/>
      <c r="K5" s="40"/>
    </row>
    <row r="6" spans="1:11" x14ac:dyDescent="0.35">
      <c r="A6" s="49" t="s">
        <v>106</v>
      </c>
      <c r="B6" s="48">
        <f>B5/B4</f>
        <v>22232.143564977461</v>
      </c>
      <c r="C6" s="48">
        <f>C5/C4</f>
        <v>3184.5459388404015</v>
      </c>
      <c r="D6" s="40"/>
      <c r="E6" s="40"/>
      <c r="F6" s="40"/>
      <c r="G6" s="40"/>
      <c r="H6" s="40"/>
      <c r="I6" s="40"/>
      <c r="J6" s="40"/>
      <c r="K6" s="40"/>
    </row>
    <row r="7" spans="1:11" x14ac:dyDescent="0.35">
      <c r="A7" s="63"/>
      <c r="B7" s="64"/>
      <c r="C7" s="64"/>
      <c r="D7" s="40"/>
      <c r="E7" s="40"/>
      <c r="F7" s="40"/>
      <c r="G7" s="40"/>
      <c r="H7" s="40"/>
      <c r="I7" s="40"/>
      <c r="J7" s="40"/>
      <c r="K7" s="40"/>
    </row>
    <row r="8" spans="1:11" ht="15" thickBot="1" x14ac:dyDescent="0.4">
      <c r="A8" s="63"/>
      <c r="B8" s="64"/>
      <c r="C8" s="64"/>
      <c r="D8" s="40"/>
      <c r="E8" s="40"/>
      <c r="F8" s="40"/>
      <c r="G8" s="40"/>
      <c r="H8" s="40"/>
      <c r="I8" s="40"/>
      <c r="J8" s="40"/>
      <c r="K8" s="40"/>
    </row>
    <row r="9" spans="1:11" x14ac:dyDescent="0.35">
      <c r="A9" s="41" t="s">
        <v>57</v>
      </c>
      <c r="B9" s="42">
        <v>2025</v>
      </c>
      <c r="C9" s="42">
        <v>2026</v>
      </c>
      <c r="D9" s="42">
        <v>2027</v>
      </c>
      <c r="E9" s="42">
        <v>2028</v>
      </c>
      <c r="F9" s="42">
        <v>2029</v>
      </c>
      <c r="G9" s="42">
        <v>2030</v>
      </c>
      <c r="H9" s="42" t="s">
        <v>58</v>
      </c>
      <c r="I9" s="42" t="s">
        <v>59</v>
      </c>
      <c r="J9" s="42">
        <v>2050</v>
      </c>
      <c r="K9" s="40"/>
    </row>
    <row r="10" spans="1:11" x14ac:dyDescent="0.35">
      <c r="A10" s="43" t="s">
        <v>60</v>
      </c>
      <c r="B10" s="44">
        <f>'GHG Estimates'!F2</f>
        <v>760.00235157370844</v>
      </c>
      <c r="C10" s="44">
        <f>'GHG Estimates'!F3</f>
        <v>806.74453368198294</v>
      </c>
      <c r="D10" s="44">
        <f>'GHG Estimates'!F4</f>
        <v>831.25172394505705</v>
      </c>
      <c r="E10" s="44">
        <f>'GHG Estimates'!F5</f>
        <v>848.22239325350222</v>
      </c>
      <c r="F10" s="44">
        <f>'GHG Estimates'!F6</f>
        <v>857.01652291093149</v>
      </c>
      <c r="G10" s="44">
        <f>'GHG Estimates'!F7</f>
        <v>865.91894293113057</v>
      </c>
      <c r="H10" s="44">
        <f>'GHG Estimates'!F8</f>
        <v>961.534987088707</v>
      </c>
      <c r="I10" s="44"/>
      <c r="J10" s="44">
        <f>'GHG Estimates'!F27</f>
        <v>2154.5092426855695</v>
      </c>
      <c r="K10" s="40"/>
    </row>
    <row r="11" spans="1:11" x14ac:dyDescent="0.35">
      <c r="A11" s="43" t="s">
        <v>95</v>
      </c>
      <c r="B11" s="44">
        <f>B10</f>
        <v>760.00235157370844</v>
      </c>
      <c r="C11" s="44">
        <f t="shared" ref="C11:H11" si="0">B11+C10</f>
        <v>1566.7468852556913</v>
      </c>
      <c r="D11" s="44">
        <f t="shared" si="0"/>
        <v>2397.9986092007484</v>
      </c>
      <c r="E11" s="44">
        <f t="shared" si="0"/>
        <v>3246.2210024542505</v>
      </c>
      <c r="F11" s="44">
        <f t="shared" si="0"/>
        <v>4103.2375253651817</v>
      </c>
      <c r="G11" s="44">
        <f t="shared" si="0"/>
        <v>4969.1564682963126</v>
      </c>
      <c r="H11" s="44">
        <f t="shared" si="0"/>
        <v>5930.6914553850193</v>
      </c>
      <c r="I11" s="44"/>
      <c r="J11" s="44">
        <f>SUM('GHG Estimates'!F2:F27)</f>
        <v>34690.973885032916</v>
      </c>
      <c r="K11" s="40"/>
    </row>
    <row r="12" spans="1:11" x14ac:dyDescent="0.35">
      <c r="A12" s="40"/>
      <c r="B12" s="40"/>
      <c r="C12" s="40"/>
      <c r="D12" s="40"/>
      <c r="E12" s="40"/>
      <c r="F12" s="40"/>
      <c r="G12" s="40"/>
      <c r="H12" s="40"/>
      <c r="I12" s="40"/>
      <c r="J12" s="40"/>
      <c r="K12" s="40"/>
    </row>
    <row r="13" spans="1:11" x14ac:dyDescent="0.35">
      <c r="A13" s="40"/>
      <c r="B13" s="40"/>
      <c r="C13" s="40"/>
      <c r="D13" s="40"/>
      <c r="E13" s="40"/>
      <c r="F13" s="40"/>
      <c r="G13" s="40"/>
      <c r="H13" s="40"/>
      <c r="I13" s="40"/>
      <c r="J13" s="40"/>
      <c r="K13" s="40"/>
    </row>
    <row r="14" spans="1:11" x14ac:dyDescent="0.35">
      <c r="A14" s="40"/>
      <c r="B14" s="40"/>
      <c r="C14" s="40"/>
      <c r="D14" s="40"/>
      <c r="E14" s="40"/>
      <c r="F14" s="40"/>
      <c r="G14" s="40"/>
      <c r="H14" s="40"/>
      <c r="I14" s="40"/>
      <c r="J14" s="40"/>
      <c r="K14" s="40"/>
    </row>
    <row r="15" spans="1:11" x14ac:dyDescent="0.35">
      <c r="F15" s="40"/>
      <c r="G15" s="40"/>
      <c r="H15" s="40"/>
      <c r="I15" s="40"/>
      <c r="J15" s="40"/>
      <c r="K15" s="40"/>
    </row>
    <row r="16" spans="1:11" x14ac:dyDescent="0.35">
      <c r="F16" s="40"/>
      <c r="G16" s="40"/>
      <c r="H16" s="40"/>
      <c r="I16" s="40"/>
      <c r="J16" s="40"/>
      <c r="K16" s="40"/>
    </row>
    <row r="17" spans="1:11" x14ac:dyDescent="0.35">
      <c r="F17" s="40"/>
      <c r="G17" s="40"/>
      <c r="H17" s="40"/>
      <c r="I17" s="40"/>
      <c r="J17" s="40"/>
      <c r="K17" s="40"/>
    </row>
    <row r="18" spans="1:11" x14ac:dyDescent="0.35">
      <c r="F18" s="40"/>
      <c r="G18" s="40"/>
      <c r="H18" s="40"/>
      <c r="I18" s="40"/>
      <c r="J18" s="40"/>
      <c r="K18" s="40"/>
    </row>
    <row r="19" spans="1:11" x14ac:dyDescent="0.35">
      <c r="A19" s="40"/>
      <c r="B19" s="40"/>
      <c r="C19" s="40"/>
      <c r="D19" s="40"/>
      <c r="E19" s="40"/>
      <c r="F19" s="40"/>
      <c r="G19" s="40"/>
      <c r="H19" s="40"/>
      <c r="I19" s="40"/>
      <c r="J19" s="40"/>
      <c r="K19" s="40"/>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4EB69-6232-4969-AAFC-06F8B584345E}">
  <sheetPr>
    <tabColor theme="5" tint="-0.249977111117893"/>
  </sheetPr>
  <dimension ref="A1:N34"/>
  <sheetViews>
    <sheetView workbookViewId="0"/>
  </sheetViews>
  <sheetFormatPr defaultRowHeight="14.5" x14ac:dyDescent="0.35"/>
  <cols>
    <col min="1" max="1" width="13.453125" style="40" customWidth="1"/>
    <col min="2" max="2" width="13.81640625" style="40" bestFit="1" customWidth="1"/>
    <col min="3" max="12" width="11.7265625" style="40" bestFit="1" customWidth="1"/>
    <col min="13" max="13" width="11.7265625" style="40" customWidth="1"/>
    <col min="14" max="14" width="96.26953125" style="40" customWidth="1"/>
    <col min="15" max="16384" width="8.7265625" style="40"/>
  </cols>
  <sheetData>
    <row r="1" spans="1:14" s="51" customFormat="1" ht="29" x14ac:dyDescent="0.35">
      <c r="A1" s="51" t="s">
        <v>0</v>
      </c>
      <c r="B1" s="51" t="s">
        <v>1</v>
      </c>
      <c r="C1" s="51" t="s">
        <v>2</v>
      </c>
      <c r="D1" s="51" t="s">
        <v>3</v>
      </c>
      <c r="E1" s="51" t="s">
        <v>4</v>
      </c>
      <c r="F1" s="51" t="s">
        <v>5</v>
      </c>
      <c r="G1" s="51" t="s">
        <v>6</v>
      </c>
      <c r="H1" s="51" t="s">
        <v>7</v>
      </c>
      <c r="I1" s="51" t="s">
        <v>8</v>
      </c>
      <c r="J1" s="51" t="s">
        <v>9</v>
      </c>
      <c r="K1" s="51" t="s">
        <v>10</v>
      </c>
      <c r="L1" s="51" t="s">
        <v>11</v>
      </c>
      <c r="M1" s="51" t="s">
        <v>55</v>
      </c>
      <c r="N1" s="51" t="s">
        <v>12</v>
      </c>
    </row>
    <row r="2" spans="1:14" x14ac:dyDescent="0.35">
      <c r="A2" s="40" t="s">
        <v>13</v>
      </c>
      <c r="B2" s="52">
        <v>120554456</v>
      </c>
      <c r="C2" s="52">
        <v>2111600</v>
      </c>
      <c r="D2" s="52">
        <v>2474658</v>
      </c>
      <c r="E2" s="52">
        <v>2408459</v>
      </c>
      <c r="F2" s="52">
        <v>1366443</v>
      </c>
      <c r="G2" s="52">
        <v>2096298</v>
      </c>
      <c r="H2" s="52">
        <v>1212285</v>
      </c>
      <c r="I2" s="52">
        <v>2921257</v>
      </c>
      <c r="J2" s="52">
        <v>1196771</v>
      </c>
      <c r="K2" s="52">
        <v>2715473</v>
      </c>
      <c r="L2" s="52">
        <v>3764805</v>
      </c>
      <c r="M2" s="52">
        <f>SUM(C2:L2)</f>
        <v>22268049</v>
      </c>
      <c r="N2" s="40" t="s">
        <v>14</v>
      </c>
    </row>
    <row r="3" spans="1:14" x14ac:dyDescent="0.35">
      <c r="A3" s="40" t="s">
        <v>15</v>
      </c>
      <c r="B3" s="52">
        <v>118102114</v>
      </c>
      <c r="C3" s="52">
        <v>2083857</v>
      </c>
      <c r="D3" s="52">
        <v>2298208</v>
      </c>
      <c r="E3" s="52">
        <v>2339609</v>
      </c>
      <c r="F3" s="52">
        <v>1302965</v>
      </c>
      <c r="G3" s="52">
        <v>2034454</v>
      </c>
      <c r="H3" s="52">
        <v>1201640</v>
      </c>
      <c r="I3" s="52">
        <v>2955658</v>
      </c>
      <c r="J3" s="52">
        <v>1179480</v>
      </c>
      <c r="K3" s="52">
        <v>2715530</v>
      </c>
      <c r="L3" s="52">
        <v>3747264</v>
      </c>
      <c r="M3" s="52">
        <f t="shared" ref="M3:M34" si="0">SUM(C3:L3)</f>
        <v>21858665</v>
      </c>
      <c r="N3" s="40" t="s">
        <v>14</v>
      </c>
    </row>
    <row r="4" spans="1:14" x14ac:dyDescent="0.35">
      <c r="A4" s="40" t="s">
        <v>16</v>
      </c>
      <c r="B4" s="52">
        <v>83678197</v>
      </c>
      <c r="C4" s="52">
        <v>1314763</v>
      </c>
      <c r="D4" s="52">
        <v>1667998</v>
      </c>
      <c r="E4" s="52">
        <v>1717388</v>
      </c>
      <c r="F4" s="52">
        <v>978262</v>
      </c>
      <c r="G4" s="52">
        <v>1453403</v>
      </c>
      <c r="H4" s="52">
        <v>976708</v>
      </c>
      <c r="I4" s="52">
        <v>2090569</v>
      </c>
      <c r="J4" s="52">
        <v>854431</v>
      </c>
      <c r="K4" s="52">
        <v>1973895</v>
      </c>
      <c r="L4" s="52">
        <v>2767821</v>
      </c>
      <c r="M4" s="52">
        <f t="shared" si="0"/>
        <v>15795238</v>
      </c>
      <c r="N4" s="40" t="s">
        <v>14</v>
      </c>
    </row>
    <row r="5" spans="1:14" x14ac:dyDescent="0.35">
      <c r="A5" s="40" t="s">
        <v>17</v>
      </c>
      <c r="B5" s="52">
        <v>16132192</v>
      </c>
      <c r="C5" s="52">
        <v>408751</v>
      </c>
      <c r="D5" s="52">
        <v>431826</v>
      </c>
      <c r="E5" s="52">
        <v>609969</v>
      </c>
      <c r="F5" s="52">
        <v>271838</v>
      </c>
      <c r="G5" s="52">
        <v>341405</v>
      </c>
      <c r="H5" s="52">
        <v>339065</v>
      </c>
      <c r="I5" s="52">
        <v>496266</v>
      </c>
      <c r="J5" s="52">
        <v>179152</v>
      </c>
      <c r="K5" s="52">
        <v>426703</v>
      </c>
      <c r="L5" s="52">
        <v>627801</v>
      </c>
      <c r="M5" s="52">
        <f t="shared" si="0"/>
        <v>4132776</v>
      </c>
      <c r="N5" s="40" t="s">
        <v>14</v>
      </c>
    </row>
    <row r="6" spans="1:14" x14ac:dyDescent="0.35">
      <c r="A6" s="40" t="s">
        <v>18</v>
      </c>
      <c r="B6" s="52">
        <v>34549913</v>
      </c>
      <c r="C6" s="52">
        <v>682527</v>
      </c>
      <c r="D6" s="52">
        <v>836480</v>
      </c>
      <c r="E6" s="52">
        <v>946996</v>
      </c>
      <c r="F6" s="52">
        <v>470249</v>
      </c>
      <c r="G6" s="52">
        <v>659245</v>
      </c>
      <c r="H6" s="52">
        <v>537610</v>
      </c>
      <c r="I6" s="52">
        <v>873558</v>
      </c>
      <c r="J6" s="52">
        <v>349796</v>
      </c>
      <c r="K6" s="52">
        <v>874594</v>
      </c>
      <c r="L6" s="52">
        <v>1305484</v>
      </c>
      <c r="M6" s="52">
        <f t="shared" si="0"/>
        <v>7536539</v>
      </c>
      <c r="N6" s="40" t="s">
        <v>14</v>
      </c>
    </row>
    <row r="7" spans="1:14" x14ac:dyDescent="0.35">
      <c r="A7" s="40" t="s">
        <v>19</v>
      </c>
      <c r="B7" s="52">
        <v>45864475</v>
      </c>
      <c r="C7" s="52">
        <v>792416</v>
      </c>
      <c r="D7" s="52">
        <v>1029941</v>
      </c>
      <c r="E7" s="52">
        <v>1084425</v>
      </c>
      <c r="F7" s="52">
        <v>592831</v>
      </c>
      <c r="G7" s="52">
        <v>835519</v>
      </c>
      <c r="H7" s="52">
        <v>635141</v>
      </c>
      <c r="I7" s="52">
        <v>1089712</v>
      </c>
      <c r="J7" s="52">
        <v>426641</v>
      </c>
      <c r="K7" s="52">
        <v>1236254</v>
      </c>
      <c r="L7" s="52">
        <v>1652743</v>
      </c>
      <c r="M7" s="52">
        <f t="shared" si="0"/>
        <v>9375623</v>
      </c>
      <c r="N7" s="40" t="s">
        <v>14</v>
      </c>
    </row>
    <row r="8" spans="1:14" x14ac:dyDescent="0.35">
      <c r="A8" s="40" t="s">
        <v>20</v>
      </c>
      <c r="B8" s="52">
        <v>51262600</v>
      </c>
      <c r="C8" s="52">
        <v>885700</v>
      </c>
      <c r="D8" s="52">
        <v>1151200</v>
      </c>
      <c r="E8" s="52">
        <v>1212100</v>
      </c>
      <c r="F8" s="52">
        <v>662600</v>
      </c>
      <c r="G8" s="52">
        <v>933900</v>
      </c>
      <c r="H8" s="52">
        <v>709900</v>
      </c>
      <c r="I8" s="52">
        <v>1218000</v>
      </c>
      <c r="J8" s="52">
        <v>476900</v>
      </c>
      <c r="K8" s="52">
        <v>1381800</v>
      </c>
      <c r="L8" s="52">
        <v>1847300</v>
      </c>
      <c r="M8" s="52">
        <f t="shared" si="0"/>
        <v>10479400</v>
      </c>
      <c r="N8" s="40" t="s">
        <v>21</v>
      </c>
    </row>
    <row r="9" spans="1:14" x14ac:dyDescent="0.35">
      <c r="A9" s="40" t="s">
        <v>22</v>
      </c>
      <c r="B9" s="52">
        <v>53383070</v>
      </c>
      <c r="C9" s="52">
        <v>922300</v>
      </c>
      <c r="D9" s="52">
        <v>1198800</v>
      </c>
      <c r="E9" s="52">
        <v>1262200</v>
      </c>
      <c r="F9" s="52">
        <v>690000</v>
      </c>
      <c r="G9" s="52">
        <v>972500</v>
      </c>
      <c r="H9" s="52">
        <v>739300</v>
      </c>
      <c r="I9" s="52">
        <v>1268300</v>
      </c>
      <c r="J9" s="52">
        <v>496600</v>
      </c>
      <c r="K9" s="52">
        <v>1438900</v>
      </c>
      <c r="L9" s="52">
        <v>1923700</v>
      </c>
      <c r="M9" s="52">
        <f t="shared" si="0"/>
        <v>10912600</v>
      </c>
      <c r="N9" s="40" t="s">
        <v>23</v>
      </c>
    </row>
    <row r="10" spans="1:14" x14ac:dyDescent="0.35">
      <c r="A10" s="40" t="s">
        <v>24</v>
      </c>
      <c r="B10" s="52">
        <v>56644090.476190485</v>
      </c>
      <c r="C10" s="52">
        <v>978700</v>
      </c>
      <c r="D10" s="52">
        <v>1272000</v>
      </c>
      <c r="E10" s="52">
        <v>1339300</v>
      </c>
      <c r="F10" s="52">
        <v>732200</v>
      </c>
      <c r="G10" s="52">
        <v>1031900</v>
      </c>
      <c r="H10" s="52">
        <v>784400</v>
      </c>
      <c r="I10" s="52">
        <v>1345800</v>
      </c>
      <c r="J10" s="52">
        <v>526900</v>
      </c>
      <c r="K10" s="52">
        <v>1526800</v>
      </c>
      <c r="L10" s="52">
        <v>2041200</v>
      </c>
      <c r="M10" s="52">
        <f t="shared" si="0"/>
        <v>11579200</v>
      </c>
      <c r="N10" s="40" t="s">
        <v>23</v>
      </c>
    </row>
    <row r="11" spans="1:14" x14ac:dyDescent="0.35">
      <c r="A11" s="40" t="s">
        <v>25</v>
      </c>
      <c r="B11" s="52">
        <v>58343000</v>
      </c>
      <c r="C11" s="52">
        <v>1008000</v>
      </c>
      <c r="D11" s="52">
        <v>1310200</v>
      </c>
      <c r="E11" s="52">
        <v>1379500</v>
      </c>
      <c r="F11" s="52">
        <v>754100</v>
      </c>
      <c r="G11" s="52">
        <v>1062800</v>
      </c>
      <c r="H11" s="52">
        <v>807900</v>
      </c>
      <c r="I11" s="52">
        <v>1386200</v>
      </c>
      <c r="J11" s="52">
        <v>542700</v>
      </c>
      <c r="K11" s="52">
        <v>1572600</v>
      </c>
      <c r="L11" s="52">
        <v>2102400</v>
      </c>
      <c r="M11" s="52">
        <f t="shared" si="0"/>
        <v>11926400</v>
      </c>
    </row>
    <row r="12" spans="1:14" x14ac:dyDescent="0.35">
      <c r="A12" s="40" t="s">
        <v>26</v>
      </c>
      <c r="B12" s="52">
        <v>59510000</v>
      </c>
      <c r="C12" s="52">
        <v>1028200</v>
      </c>
      <c r="D12" s="52">
        <v>1336400</v>
      </c>
      <c r="E12" s="52">
        <v>1407100</v>
      </c>
      <c r="F12" s="52">
        <v>769200</v>
      </c>
      <c r="G12" s="52">
        <v>1084100</v>
      </c>
      <c r="H12" s="52">
        <v>824100</v>
      </c>
      <c r="I12" s="52">
        <v>1413900</v>
      </c>
      <c r="J12" s="52">
        <v>553600</v>
      </c>
      <c r="K12" s="52">
        <v>1604100</v>
      </c>
      <c r="L12" s="52">
        <v>2144500</v>
      </c>
      <c r="M12" s="52">
        <f t="shared" si="0"/>
        <v>12165200</v>
      </c>
    </row>
    <row r="13" spans="1:14" x14ac:dyDescent="0.35">
      <c r="A13" s="40" t="s">
        <v>27</v>
      </c>
      <c r="B13" s="52">
        <v>60105000</v>
      </c>
      <c r="C13" s="52">
        <v>1038500</v>
      </c>
      <c r="D13" s="52">
        <v>1349700</v>
      </c>
      <c r="E13" s="52">
        <v>1421100</v>
      </c>
      <c r="F13" s="52">
        <v>776900</v>
      </c>
      <c r="G13" s="52">
        <v>1094900</v>
      </c>
      <c r="H13" s="52">
        <v>832300</v>
      </c>
      <c r="I13" s="52">
        <v>1428100</v>
      </c>
      <c r="J13" s="52">
        <v>559100</v>
      </c>
      <c r="K13" s="52">
        <v>1620100</v>
      </c>
      <c r="L13" s="52">
        <v>2165900</v>
      </c>
      <c r="M13" s="52">
        <f t="shared" si="0"/>
        <v>12286600</v>
      </c>
    </row>
    <row r="14" spans="1:14" x14ac:dyDescent="0.35">
      <c r="A14" s="40" t="s">
        <v>28</v>
      </c>
      <c r="B14" s="52">
        <v>60706000</v>
      </c>
      <c r="C14" s="52">
        <v>1048800</v>
      </c>
      <c r="D14" s="52">
        <v>1363200</v>
      </c>
      <c r="E14" s="52">
        <v>1435300</v>
      </c>
      <c r="F14" s="52">
        <v>784700</v>
      </c>
      <c r="G14" s="52">
        <v>1105900</v>
      </c>
      <c r="H14" s="52">
        <v>840700</v>
      </c>
      <c r="I14" s="52">
        <v>1442300</v>
      </c>
      <c r="J14" s="52">
        <v>564700</v>
      </c>
      <c r="K14" s="52">
        <v>1636300</v>
      </c>
      <c r="L14" s="52">
        <v>2187600</v>
      </c>
      <c r="M14" s="52">
        <f t="shared" si="0"/>
        <v>12409500</v>
      </c>
    </row>
    <row r="15" spans="1:14" x14ac:dyDescent="0.35">
      <c r="A15" s="40" t="s">
        <v>29</v>
      </c>
      <c r="B15" s="52">
        <v>67384000</v>
      </c>
      <c r="C15" s="52">
        <v>1164200</v>
      </c>
      <c r="D15" s="52">
        <v>1513200</v>
      </c>
      <c r="E15" s="52">
        <v>1593200</v>
      </c>
      <c r="F15" s="52">
        <v>871000</v>
      </c>
      <c r="G15" s="52">
        <v>1227500</v>
      </c>
      <c r="H15" s="52">
        <v>933100</v>
      </c>
      <c r="I15" s="52">
        <v>1601000</v>
      </c>
      <c r="J15" s="52">
        <v>626800</v>
      </c>
      <c r="K15" s="52">
        <v>1816300</v>
      </c>
      <c r="L15" s="52">
        <v>2428200</v>
      </c>
      <c r="M15" s="52">
        <f t="shared" si="0"/>
        <v>13774500</v>
      </c>
      <c r="N15" s="40" t="s">
        <v>30</v>
      </c>
    </row>
    <row r="16" spans="1:14" x14ac:dyDescent="0.35">
      <c r="A16" s="40" t="s">
        <v>31</v>
      </c>
      <c r="B16" s="52">
        <v>68058000</v>
      </c>
      <c r="C16" s="52">
        <v>1175900</v>
      </c>
      <c r="D16" s="52">
        <v>1528300</v>
      </c>
      <c r="E16" s="52">
        <v>1609200</v>
      </c>
      <c r="F16" s="52">
        <v>879700</v>
      </c>
      <c r="G16" s="52">
        <v>1239800</v>
      </c>
      <c r="H16" s="52">
        <v>942500</v>
      </c>
      <c r="I16" s="52">
        <v>1617000</v>
      </c>
      <c r="J16" s="52">
        <v>633100</v>
      </c>
      <c r="K16" s="52">
        <v>1834500</v>
      </c>
      <c r="L16" s="52">
        <v>2452500</v>
      </c>
      <c r="M16" s="52">
        <f t="shared" si="0"/>
        <v>13912500</v>
      </c>
    </row>
    <row r="17" spans="1:14" x14ac:dyDescent="0.35">
      <c r="A17" s="40" t="s">
        <v>32</v>
      </c>
      <c r="B17" s="52">
        <v>68739000</v>
      </c>
      <c r="C17" s="52">
        <v>1187600</v>
      </c>
      <c r="D17" s="52">
        <v>1543600</v>
      </c>
      <c r="E17" s="52">
        <v>1625300</v>
      </c>
      <c r="F17" s="52">
        <v>888500</v>
      </c>
      <c r="G17" s="52">
        <v>1252200</v>
      </c>
      <c r="H17" s="52">
        <v>951900</v>
      </c>
      <c r="I17" s="52">
        <v>1633200</v>
      </c>
      <c r="J17" s="52">
        <v>639400</v>
      </c>
      <c r="K17" s="52">
        <v>1852800</v>
      </c>
      <c r="L17" s="52">
        <v>2477000</v>
      </c>
      <c r="M17" s="52">
        <f t="shared" si="0"/>
        <v>14051500</v>
      </c>
    </row>
    <row r="18" spans="1:14" x14ac:dyDescent="0.35">
      <c r="A18" s="40" t="s">
        <v>33</v>
      </c>
      <c r="B18" s="52">
        <v>69426000</v>
      </c>
      <c r="C18" s="52">
        <v>1199500</v>
      </c>
      <c r="D18" s="52">
        <v>1559000</v>
      </c>
      <c r="E18" s="52">
        <v>1641500</v>
      </c>
      <c r="F18" s="52">
        <v>897400</v>
      </c>
      <c r="G18" s="52">
        <v>1264700</v>
      </c>
      <c r="H18" s="52">
        <v>961400</v>
      </c>
      <c r="I18" s="52">
        <v>1649500</v>
      </c>
      <c r="J18" s="52">
        <v>645800</v>
      </c>
      <c r="K18" s="52">
        <v>1871300</v>
      </c>
      <c r="L18" s="52">
        <v>2501800</v>
      </c>
      <c r="M18" s="52">
        <f t="shared" si="0"/>
        <v>14191900</v>
      </c>
    </row>
    <row r="19" spans="1:14" x14ac:dyDescent="0.35">
      <c r="A19" s="40" t="s">
        <v>34</v>
      </c>
      <c r="B19" s="52">
        <v>70120000</v>
      </c>
      <c r="C19" s="52">
        <v>1211500</v>
      </c>
      <c r="D19" s="52">
        <v>1574600</v>
      </c>
      <c r="E19" s="52">
        <v>1657900</v>
      </c>
      <c r="F19" s="52">
        <v>906400</v>
      </c>
      <c r="G19" s="52">
        <v>1277400</v>
      </c>
      <c r="H19" s="52">
        <v>971000</v>
      </c>
      <c r="I19" s="52">
        <v>1666000</v>
      </c>
      <c r="J19" s="52">
        <v>652300</v>
      </c>
      <c r="K19" s="52">
        <v>1890000</v>
      </c>
      <c r="L19" s="52">
        <v>2526800</v>
      </c>
      <c r="M19" s="52">
        <f t="shared" si="0"/>
        <v>14333900</v>
      </c>
    </row>
    <row r="20" spans="1:14" x14ac:dyDescent="0.35">
      <c r="A20" s="40" t="s">
        <v>35</v>
      </c>
      <c r="B20" s="52">
        <v>84144000</v>
      </c>
      <c r="C20" s="52">
        <v>1453800</v>
      </c>
      <c r="D20" s="52">
        <v>1889600</v>
      </c>
      <c r="E20" s="52">
        <v>1989500</v>
      </c>
      <c r="F20" s="52">
        <v>1087600</v>
      </c>
      <c r="G20" s="52">
        <v>1532900</v>
      </c>
      <c r="H20" s="52">
        <v>1165200</v>
      </c>
      <c r="I20" s="52">
        <v>1999200</v>
      </c>
      <c r="J20" s="52">
        <v>782700</v>
      </c>
      <c r="K20" s="52">
        <v>2268100</v>
      </c>
      <c r="L20" s="52">
        <v>3032200</v>
      </c>
      <c r="M20" s="52">
        <f t="shared" si="0"/>
        <v>17200800</v>
      </c>
      <c r="N20" s="40" t="s">
        <v>36</v>
      </c>
    </row>
    <row r="21" spans="1:14" x14ac:dyDescent="0.35">
      <c r="A21" s="40" t="s">
        <v>37</v>
      </c>
      <c r="B21" s="52">
        <v>88351000</v>
      </c>
      <c r="C21" s="52">
        <v>1526500</v>
      </c>
      <c r="D21" s="52">
        <v>1984000</v>
      </c>
      <c r="E21" s="52">
        <v>2089000</v>
      </c>
      <c r="F21" s="52">
        <v>1142000</v>
      </c>
      <c r="G21" s="52">
        <v>1609500</v>
      </c>
      <c r="H21" s="52">
        <v>1223500</v>
      </c>
      <c r="I21" s="52">
        <v>2099200</v>
      </c>
      <c r="J21" s="52">
        <v>821900</v>
      </c>
      <c r="K21" s="52">
        <v>2381500</v>
      </c>
      <c r="L21" s="52">
        <v>3183800</v>
      </c>
      <c r="M21" s="52">
        <f t="shared" si="0"/>
        <v>18060900</v>
      </c>
    </row>
    <row r="22" spans="1:14" x14ac:dyDescent="0.35">
      <c r="A22" s="40" t="s">
        <v>38</v>
      </c>
      <c r="B22" s="52">
        <v>92769000</v>
      </c>
      <c r="C22" s="52">
        <v>1602800</v>
      </c>
      <c r="D22" s="52">
        <v>2083200</v>
      </c>
      <c r="E22" s="52">
        <v>2193400</v>
      </c>
      <c r="F22" s="52">
        <v>1199100</v>
      </c>
      <c r="G22" s="52">
        <v>1690000</v>
      </c>
      <c r="H22" s="52">
        <v>1284700</v>
      </c>
      <c r="I22" s="52">
        <v>2204100</v>
      </c>
      <c r="J22" s="52">
        <v>863000</v>
      </c>
      <c r="K22" s="52">
        <v>2500500</v>
      </c>
      <c r="L22" s="52">
        <v>3343000</v>
      </c>
      <c r="M22" s="52">
        <f t="shared" si="0"/>
        <v>18963800</v>
      </c>
    </row>
    <row r="23" spans="1:14" x14ac:dyDescent="0.35">
      <c r="A23" s="40" t="s">
        <v>39</v>
      </c>
      <c r="B23" s="52">
        <v>97407000</v>
      </c>
      <c r="C23" s="52">
        <v>1682900</v>
      </c>
      <c r="D23" s="52">
        <v>2187400</v>
      </c>
      <c r="E23" s="52">
        <v>2303100</v>
      </c>
      <c r="F23" s="52">
        <v>1259100</v>
      </c>
      <c r="G23" s="52">
        <v>1774500</v>
      </c>
      <c r="H23" s="52">
        <v>1348900</v>
      </c>
      <c r="I23" s="52">
        <v>2314300</v>
      </c>
      <c r="J23" s="52">
        <v>906100</v>
      </c>
      <c r="K23" s="52">
        <v>2625600</v>
      </c>
      <c r="L23" s="52">
        <v>3510100</v>
      </c>
      <c r="M23" s="52">
        <f t="shared" si="0"/>
        <v>19912000</v>
      </c>
    </row>
    <row r="24" spans="1:14" x14ac:dyDescent="0.35">
      <c r="A24" s="40" t="s">
        <v>40</v>
      </c>
      <c r="B24" s="52">
        <v>101303000</v>
      </c>
      <c r="C24" s="52">
        <v>1750200</v>
      </c>
      <c r="D24" s="52">
        <v>2274900</v>
      </c>
      <c r="E24" s="52">
        <v>2395200</v>
      </c>
      <c r="F24" s="52">
        <v>1309400</v>
      </c>
      <c r="G24" s="52">
        <v>1845400</v>
      </c>
      <c r="H24" s="52">
        <v>1402900</v>
      </c>
      <c r="I24" s="52">
        <v>2406900</v>
      </c>
      <c r="J24" s="52">
        <v>942300</v>
      </c>
      <c r="K24" s="52">
        <v>2730600</v>
      </c>
      <c r="L24" s="52">
        <v>3650500</v>
      </c>
      <c r="M24" s="52">
        <f t="shared" si="0"/>
        <v>20708300</v>
      </c>
    </row>
    <row r="25" spans="1:14" x14ac:dyDescent="0.35">
      <c r="A25" s="40" t="s">
        <v>41</v>
      </c>
      <c r="B25" s="52">
        <v>105355000</v>
      </c>
      <c r="C25" s="52">
        <v>1820300</v>
      </c>
      <c r="D25" s="52">
        <v>2365900</v>
      </c>
      <c r="E25" s="52">
        <v>2491000</v>
      </c>
      <c r="F25" s="52">
        <v>1361800</v>
      </c>
      <c r="G25" s="52">
        <v>1919300</v>
      </c>
      <c r="H25" s="52">
        <v>1459000</v>
      </c>
      <c r="I25" s="52">
        <v>2503200</v>
      </c>
      <c r="J25" s="52">
        <v>980000</v>
      </c>
      <c r="K25" s="52">
        <v>2839800</v>
      </c>
      <c r="L25" s="52">
        <v>3796500</v>
      </c>
      <c r="M25" s="52">
        <f t="shared" si="0"/>
        <v>21536800</v>
      </c>
    </row>
    <row r="26" spans="1:14" x14ac:dyDescent="0.35">
      <c r="A26" s="40" t="s">
        <v>42</v>
      </c>
      <c r="B26" s="52">
        <v>109569000</v>
      </c>
      <c r="C26" s="52">
        <v>1893100</v>
      </c>
      <c r="D26" s="52">
        <v>2460500</v>
      </c>
      <c r="E26" s="52">
        <v>2590700</v>
      </c>
      <c r="F26" s="52">
        <v>1416300</v>
      </c>
      <c r="G26" s="52">
        <v>1996000</v>
      </c>
      <c r="H26" s="52">
        <v>1517300</v>
      </c>
      <c r="I26" s="52">
        <v>2603300</v>
      </c>
      <c r="J26" s="52">
        <v>1019200</v>
      </c>
      <c r="K26" s="52">
        <v>2953400</v>
      </c>
      <c r="L26" s="52">
        <v>3948400</v>
      </c>
      <c r="M26" s="52">
        <f t="shared" si="0"/>
        <v>22398200</v>
      </c>
    </row>
    <row r="27" spans="1:14" x14ac:dyDescent="0.35">
      <c r="A27" s="40" t="s">
        <v>43</v>
      </c>
      <c r="B27" s="52">
        <v>113952000</v>
      </c>
      <c r="C27" s="52">
        <v>1968800</v>
      </c>
      <c r="D27" s="52">
        <v>2558900</v>
      </c>
      <c r="E27" s="52">
        <v>2694300</v>
      </c>
      <c r="F27" s="52">
        <v>1472900</v>
      </c>
      <c r="G27" s="52">
        <v>2075900</v>
      </c>
      <c r="H27" s="52">
        <v>1578000</v>
      </c>
      <c r="I27" s="52">
        <v>2707400</v>
      </c>
      <c r="J27" s="52">
        <v>1060000</v>
      </c>
      <c r="K27" s="52">
        <v>3071500</v>
      </c>
      <c r="L27" s="52">
        <v>4106300</v>
      </c>
      <c r="M27" s="52">
        <f t="shared" si="0"/>
        <v>23294000</v>
      </c>
    </row>
    <row r="28" spans="1:14" x14ac:dyDescent="0.35">
      <c r="A28" s="40" t="s">
        <v>44</v>
      </c>
      <c r="B28" s="52">
        <v>118510000</v>
      </c>
      <c r="C28" s="52">
        <v>2047500</v>
      </c>
      <c r="D28" s="52">
        <v>2661300</v>
      </c>
      <c r="E28" s="52">
        <v>2802100</v>
      </c>
      <c r="F28" s="52">
        <v>1531800</v>
      </c>
      <c r="G28" s="52">
        <v>2158900</v>
      </c>
      <c r="H28" s="52">
        <v>1641200</v>
      </c>
      <c r="I28" s="52">
        <v>2815700</v>
      </c>
      <c r="J28" s="52">
        <v>1102400</v>
      </c>
      <c r="K28" s="52">
        <v>3194400</v>
      </c>
      <c r="L28" s="52">
        <v>4270600</v>
      </c>
      <c r="M28" s="52">
        <f t="shared" si="0"/>
        <v>24225900</v>
      </c>
    </row>
    <row r="29" spans="1:14" x14ac:dyDescent="0.35">
      <c r="A29" s="40" t="s">
        <v>45</v>
      </c>
      <c r="B29" s="52">
        <v>123250000</v>
      </c>
      <c r="C29" s="52">
        <v>2129400</v>
      </c>
      <c r="D29" s="52">
        <v>2767700</v>
      </c>
      <c r="E29" s="52">
        <v>2914100</v>
      </c>
      <c r="F29" s="52">
        <v>1593100</v>
      </c>
      <c r="G29" s="52">
        <v>2245300</v>
      </c>
      <c r="H29" s="52">
        <v>1706800</v>
      </c>
      <c r="I29" s="52">
        <v>2928300</v>
      </c>
      <c r="J29" s="52">
        <v>1146500</v>
      </c>
      <c r="K29" s="52">
        <v>3322100</v>
      </c>
      <c r="L29" s="52">
        <v>4441400</v>
      </c>
      <c r="M29" s="52">
        <f t="shared" si="0"/>
        <v>25194700</v>
      </c>
    </row>
    <row r="30" spans="1:14" x14ac:dyDescent="0.35">
      <c r="A30" s="40" t="s">
        <v>46</v>
      </c>
      <c r="B30" s="52">
        <v>128180000</v>
      </c>
      <c r="C30" s="52">
        <v>2214600</v>
      </c>
      <c r="D30" s="52">
        <v>2878400</v>
      </c>
      <c r="E30" s="52">
        <v>3030700</v>
      </c>
      <c r="F30" s="52">
        <v>1656800</v>
      </c>
      <c r="G30" s="52">
        <v>2335100</v>
      </c>
      <c r="H30" s="52">
        <v>1775100</v>
      </c>
      <c r="I30" s="52">
        <v>3045500</v>
      </c>
      <c r="J30" s="52">
        <v>1192400</v>
      </c>
      <c r="K30" s="52">
        <v>3455000</v>
      </c>
      <c r="L30" s="52">
        <v>4619000</v>
      </c>
      <c r="M30" s="52">
        <f t="shared" si="0"/>
        <v>26202600</v>
      </c>
    </row>
    <row r="31" spans="1:14" x14ac:dyDescent="0.35">
      <c r="A31" s="40" t="s">
        <v>47</v>
      </c>
      <c r="B31" s="52">
        <v>133307000</v>
      </c>
      <c r="C31" s="52">
        <v>2303200</v>
      </c>
      <c r="D31" s="52">
        <v>2993600</v>
      </c>
      <c r="E31" s="52">
        <v>3151900</v>
      </c>
      <c r="F31" s="52">
        <v>1723100</v>
      </c>
      <c r="G31" s="52">
        <v>2428500</v>
      </c>
      <c r="H31" s="52">
        <v>1846100</v>
      </c>
      <c r="I31" s="52">
        <v>3167300</v>
      </c>
      <c r="J31" s="52">
        <v>1240000</v>
      </c>
      <c r="K31" s="52">
        <v>3593200</v>
      </c>
      <c r="L31" s="52">
        <v>4803800</v>
      </c>
      <c r="M31" s="52">
        <f t="shared" si="0"/>
        <v>27250700</v>
      </c>
    </row>
    <row r="32" spans="1:14" x14ac:dyDescent="0.35">
      <c r="A32" s="40" t="s">
        <v>48</v>
      </c>
      <c r="B32" s="52">
        <v>138639000</v>
      </c>
      <c r="C32" s="52">
        <v>2395300</v>
      </c>
      <c r="D32" s="52">
        <v>3113300</v>
      </c>
      <c r="E32" s="52">
        <v>3278000</v>
      </c>
      <c r="F32" s="52">
        <v>1792000</v>
      </c>
      <c r="G32" s="52">
        <v>2525600</v>
      </c>
      <c r="H32" s="52">
        <v>1919900</v>
      </c>
      <c r="I32" s="52">
        <v>3294000</v>
      </c>
      <c r="J32" s="52">
        <v>1289600</v>
      </c>
      <c r="K32" s="52">
        <v>3736900</v>
      </c>
      <c r="L32" s="52">
        <v>4995900</v>
      </c>
      <c r="M32" s="52">
        <f t="shared" si="0"/>
        <v>28340500</v>
      </c>
    </row>
    <row r="33" spans="1:13" x14ac:dyDescent="0.35">
      <c r="A33" s="40" t="s">
        <v>49</v>
      </c>
      <c r="B33" s="52">
        <v>144185000</v>
      </c>
      <c r="C33" s="52">
        <v>2491100</v>
      </c>
      <c r="D33" s="52">
        <v>3237800</v>
      </c>
      <c r="E33" s="52">
        <v>3409100</v>
      </c>
      <c r="F33" s="52">
        <v>1863700</v>
      </c>
      <c r="G33" s="52">
        <v>2626600</v>
      </c>
      <c r="H33" s="52">
        <v>1996700</v>
      </c>
      <c r="I33" s="52">
        <v>3425700</v>
      </c>
      <c r="J33" s="52">
        <v>1341200</v>
      </c>
      <c r="K33" s="52">
        <v>3886400</v>
      </c>
      <c r="L33" s="52">
        <v>5195800</v>
      </c>
      <c r="M33" s="52">
        <f t="shared" si="0"/>
        <v>29474100</v>
      </c>
    </row>
    <row r="34" spans="1:13" x14ac:dyDescent="0.35">
      <c r="A34" s="40" t="s">
        <v>50</v>
      </c>
      <c r="B34" s="52">
        <v>149952000</v>
      </c>
      <c r="C34" s="52">
        <v>2590800</v>
      </c>
      <c r="D34" s="52">
        <v>3367300</v>
      </c>
      <c r="E34" s="52">
        <v>3545500</v>
      </c>
      <c r="F34" s="52">
        <v>1938200</v>
      </c>
      <c r="G34" s="52">
        <v>2731700</v>
      </c>
      <c r="H34" s="52">
        <v>2076600</v>
      </c>
      <c r="I34" s="52">
        <v>3562800</v>
      </c>
      <c r="J34" s="52">
        <v>1394900</v>
      </c>
      <c r="K34" s="52">
        <v>4041900</v>
      </c>
      <c r="L34" s="52">
        <v>5403600</v>
      </c>
      <c r="M34" s="52">
        <f t="shared" si="0"/>
        <v>30653300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5B8E3A-07EC-495C-8B5D-AAF08B1CC81B}">
  <dimension ref="A1:AA36"/>
  <sheetViews>
    <sheetView workbookViewId="0">
      <selection activeCell="P12" sqref="P12"/>
    </sheetView>
  </sheetViews>
  <sheetFormatPr defaultRowHeight="14.5" x14ac:dyDescent="0.35"/>
  <cols>
    <col min="1" max="1" width="8.7265625" style="40"/>
    <col min="2" max="2" width="10.7265625" style="40" customWidth="1"/>
    <col min="3" max="4" width="8.90625" style="40" bestFit="1" customWidth="1"/>
    <col min="5" max="6" width="8.7265625" style="40"/>
    <col min="7" max="7" width="11.1796875" style="40" customWidth="1"/>
    <col min="8" max="8" width="8.90625" style="40" bestFit="1" customWidth="1"/>
    <col min="9" max="9" width="8.7265625" style="40"/>
    <col min="10" max="11" width="8.90625" style="40" bestFit="1" customWidth="1"/>
    <col min="12" max="12" width="10.90625" style="40" bestFit="1" customWidth="1"/>
    <col min="13" max="15" width="8.7265625" style="40"/>
    <col min="16" max="16" width="24.36328125" style="40" bestFit="1" customWidth="1"/>
    <col min="17" max="17" width="10.08984375" style="40" bestFit="1" customWidth="1"/>
    <col min="18" max="18" width="10.453125" style="40" customWidth="1"/>
    <col min="19" max="19" width="9.90625" style="40" customWidth="1"/>
    <col min="20" max="22" width="8.7265625" style="40"/>
    <col min="23" max="23" width="10.26953125" style="40" customWidth="1"/>
    <col min="24" max="26" width="8.7265625" style="40"/>
    <col min="27" max="27" width="8.7265625" style="40" customWidth="1"/>
    <col min="28" max="16384" width="8.7265625" style="40"/>
  </cols>
  <sheetData>
    <row r="1" spans="1:27" ht="231.5" customHeight="1" x14ac:dyDescent="0.35">
      <c r="P1" s="65" t="s">
        <v>112</v>
      </c>
      <c r="Q1" s="66"/>
      <c r="R1" s="66"/>
      <c r="S1" s="66"/>
      <c r="T1" s="66"/>
      <c r="U1" s="66"/>
      <c r="V1" s="66"/>
      <c r="W1" s="66"/>
      <c r="X1" s="66"/>
      <c r="Y1" s="66"/>
      <c r="Z1" s="66"/>
      <c r="AA1" s="66"/>
    </row>
    <row r="2" spans="1:27" x14ac:dyDescent="0.35">
      <c r="P2" s="54" t="s">
        <v>98</v>
      </c>
      <c r="Q2" s="53"/>
      <c r="R2" s="53"/>
      <c r="S2" s="53"/>
      <c r="T2" s="53"/>
      <c r="U2" s="53"/>
      <c r="V2" s="53"/>
      <c r="W2" s="53"/>
      <c r="X2" s="53"/>
      <c r="Y2" s="53"/>
      <c r="Z2" s="53"/>
      <c r="AA2" s="53"/>
    </row>
    <row r="3" spans="1:27" ht="43.5" x14ac:dyDescent="0.35">
      <c r="A3" s="51" t="s">
        <v>0</v>
      </c>
      <c r="B3" s="51" t="s">
        <v>2</v>
      </c>
      <c r="C3" s="51" t="s">
        <v>3</v>
      </c>
      <c r="D3" s="51" t="s">
        <v>4</v>
      </c>
      <c r="E3" s="51" t="s">
        <v>5</v>
      </c>
      <c r="F3" s="51" t="s">
        <v>6</v>
      </c>
      <c r="G3" s="51" t="s">
        <v>7</v>
      </c>
      <c r="H3" s="51" t="s">
        <v>8</v>
      </c>
      <c r="I3" s="51" t="s">
        <v>9</v>
      </c>
      <c r="J3" s="51" t="s">
        <v>10</v>
      </c>
      <c r="K3" s="51" t="s">
        <v>11</v>
      </c>
      <c r="L3" s="51" t="s">
        <v>55</v>
      </c>
      <c r="M3" s="51" t="s">
        <v>12</v>
      </c>
      <c r="R3" s="51" t="s">
        <v>2</v>
      </c>
      <c r="S3" s="51" t="s">
        <v>3</v>
      </c>
      <c r="T3" s="51" t="s">
        <v>4</v>
      </c>
      <c r="U3" s="51" t="s">
        <v>5</v>
      </c>
      <c r="V3" s="51" t="s">
        <v>6</v>
      </c>
      <c r="W3" s="51" t="s">
        <v>7</v>
      </c>
      <c r="X3" s="51" t="s">
        <v>8</v>
      </c>
      <c r="Y3" s="51" t="s">
        <v>9</v>
      </c>
      <c r="Z3" s="51" t="s">
        <v>10</v>
      </c>
      <c r="AA3" s="51" t="s">
        <v>11</v>
      </c>
    </row>
    <row r="4" spans="1:27" x14ac:dyDescent="0.35">
      <c r="A4" s="40" t="s">
        <v>13</v>
      </c>
      <c r="B4" s="52">
        <f>'BART Forecast'!C2</f>
        <v>2111600</v>
      </c>
      <c r="C4" s="52">
        <f>'BART Forecast'!D2</f>
        <v>2474658</v>
      </c>
      <c r="D4" s="52">
        <f>'BART Forecast'!E2</f>
        <v>2408459</v>
      </c>
      <c r="E4" s="52">
        <f>'BART Forecast'!F2</f>
        <v>1366443</v>
      </c>
      <c r="F4" s="52">
        <f>'BART Forecast'!G2</f>
        <v>2096298</v>
      </c>
      <c r="G4" s="52">
        <f>'BART Forecast'!H2</f>
        <v>1212285</v>
      </c>
      <c r="H4" s="52">
        <f>'BART Forecast'!I2</f>
        <v>2921257</v>
      </c>
      <c r="I4" s="52">
        <f>'BART Forecast'!J2</f>
        <v>1196771</v>
      </c>
      <c r="J4" s="52">
        <f>'BART Forecast'!K2</f>
        <v>2715473</v>
      </c>
      <c r="K4" s="52">
        <f>'BART Forecast'!L2</f>
        <v>3764805</v>
      </c>
      <c r="L4" s="52">
        <f>SUM(B4:K4)</f>
        <v>22268049</v>
      </c>
      <c r="P4" s="55" t="s">
        <v>107</v>
      </c>
      <c r="Q4" s="40" t="s">
        <v>96</v>
      </c>
    </row>
    <row r="5" spans="1:27" x14ac:dyDescent="0.35">
      <c r="A5" s="40" t="s">
        <v>15</v>
      </c>
      <c r="B5" s="52">
        <f>'BART Forecast'!C3</f>
        <v>2083857</v>
      </c>
      <c r="C5" s="52">
        <f>'BART Forecast'!D3</f>
        <v>2298208</v>
      </c>
      <c r="D5" s="52">
        <f>'BART Forecast'!E3</f>
        <v>2339609</v>
      </c>
      <c r="E5" s="52">
        <f>'BART Forecast'!F3</f>
        <v>1302965</v>
      </c>
      <c r="F5" s="52">
        <f>'BART Forecast'!G3</f>
        <v>2034454</v>
      </c>
      <c r="G5" s="52">
        <f>'BART Forecast'!H3</f>
        <v>1201640</v>
      </c>
      <c r="H5" s="52">
        <f>'BART Forecast'!I3</f>
        <v>2955658</v>
      </c>
      <c r="I5" s="52">
        <f>'BART Forecast'!J3</f>
        <v>1179480</v>
      </c>
      <c r="J5" s="52">
        <f>'BART Forecast'!K3</f>
        <v>2715530</v>
      </c>
      <c r="K5" s="52">
        <f>'BART Forecast'!L3</f>
        <v>3747264</v>
      </c>
      <c r="L5" s="52">
        <f t="shared" ref="L5:L36" si="0">SUM(B5:K5)</f>
        <v>21858665</v>
      </c>
      <c r="P5" s="56" t="s">
        <v>110</v>
      </c>
      <c r="Q5" s="57">
        <f>0.006</f>
        <v>6.0000000000000001E-3</v>
      </c>
      <c r="R5" s="57"/>
      <c r="S5" s="57"/>
      <c r="T5" s="57">
        <f>$Q5</f>
        <v>6.0000000000000001E-3</v>
      </c>
      <c r="U5" s="57">
        <f>$Q5</f>
        <v>6.0000000000000001E-3</v>
      </c>
      <c r="V5" s="57"/>
      <c r="W5" s="57"/>
      <c r="X5" s="57"/>
      <c r="Y5" s="57">
        <f>$Q5</f>
        <v>6.0000000000000001E-3</v>
      </c>
      <c r="Z5" s="57">
        <f>$Q5</f>
        <v>6.0000000000000001E-3</v>
      </c>
      <c r="AA5" s="57"/>
    </row>
    <row r="6" spans="1:27" x14ac:dyDescent="0.35">
      <c r="A6" s="40" t="s">
        <v>16</v>
      </c>
      <c r="B6" s="52">
        <f>'BART Forecast'!C4</f>
        <v>1314763</v>
      </c>
      <c r="C6" s="52">
        <f>'BART Forecast'!D4</f>
        <v>1667998</v>
      </c>
      <c r="D6" s="52">
        <f>'BART Forecast'!E4</f>
        <v>1717388</v>
      </c>
      <c r="E6" s="52">
        <f>'BART Forecast'!F4</f>
        <v>978262</v>
      </c>
      <c r="F6" s="52">
        <f>'BART Forecast'!G4</f>
        <v>1453403</v>
      </c>
      <c r="G6" s="52">
        <f>'BART Forecast'!H4</f>
        <v>976708</v>
      </c>
      <c r="H6" s="52">
        <f>'BART Forecast'!I4</f>
        <v>2090569</v>
      </c>
      <c r="I6" s="52">
        <f>'BART Forecast'!J4</f>
        <v>854431</v>
      </c>
      <c r="J6" s="52">
        <f>'BART Forecast'!K4</f>
        <v>1973895</v>
      </c>
      <c r="K6" s="52">
        <f>'BART Forecast'!L4</f>
        <v>2767821</v>
      </c>
      <c r="L6" s="52">
        <f t="shared" si="0"/>
        <v>15795238</v>
      </c>
      <c r="P6" s="40" t="s">
        <v>93</v>
      </c>
      <c r="Q6" s="57">
        <f>0.02/5</f>
        <v>4.0000000000000001E-3</v>
      </c>
      <c r="R6" s="57">
        <f>$Q6</f>
        <v>4.0000000000000001E-3</v>
      </c>
      <c r="S6" s="57"/>
      <c r="T6" s="57">
        <f t="shared" ref="T6:U6" si="1">$Q6</f>
        <v>4.0000000000000001E-3</v>
      </c>
      <c r="U6" s="57">
        <f t="shared" si="1"/>
        <v>4.0000000000000001E-3</v>
      </c>
      <c r="V6" s="57"/>
      <c r="W6" s="57">
        <f t="shared" ref="W6:Z6" si="2">$Q6</f>
        <v>4.0000000000000001E-3</v>
      </c>
      <c r="X6" s="57">
        <f t="shared" si="2"/>
        <v>4.0000000000000001E-3</v>
      </c>
      <c r="Y6" s="57">
        <f t="shared" si="2"/>
        <v>4.0000000000000001E-3</v>
      </c>
      <c r="Z6" s="57">
        <f t="shared" si="2"/>
        <v>4.0000000000000001E-3</v>
      </c>
      <c r="AA6" s="57"/>
    </row>
    <row r="7" spans="1:27" x14ac:dyDescent="0.35">
      <c r="A7" s="40" t="s">
        <v>17</v>
      </c>
      <c r="B7" s="52">
        <f>'BART Forecast'!C5</f>
        <v>408751</v>
      </c>
      <c r="C7" s="52">
        <f>'BART Forecast'!D5</f>
        <v>431826</v>
      </c>
      <c r="D7" s="52">
        <f>'BART Forecast'!E5</f>
        <v>609969</v>
      </c>
      <c r="E7" s="52">
        <f>'BART Forecast'!F5</f>
        <v>271838</v>
      </c>
      <c r="F7" s="52">
        <f>'BART Forecast'!G5</f>
        <v>341405</v>
      </c>
      <c r="G7" s="52">
        <f>'BART Forecast'!H5</f>
        <v>339065</v>
      </c>
      <c r="H7" s="52">
        <f>'BART Forecast'!I5</f>
        <v>496266</v>
      </c>
      <c r="I7" s="52">
        <f>'BART Forecast'!J5</f>
        <v>179152</v>
      </c>
      <c r="J7" s="52">
        <f>'BART Forecast'!K5</f>
        <v>426703</v>
      </c>
      <c r="K7" s="52">
        <f>'BART Forecast'!L5</f>
        <v>627801</v>
      </c>
      <c r="L7" s="52">
        <f t="shared" si="0"/>
        <v>4132776</v>
      </c>
      <c r="P7" s="40" t="s">
        <v>94</v>
      </c>
      <c r="Q7" s="57">
        <f>0.02/5</f>
        <v>4.0000000000000001E-3</v>
      </c>
      <c r="R7" s="57">
        <f>$Q7</f>
        <v>4.0000000000000001E-3</v>
      </c>
      <c r="S7" s="57"/>
      <c r="T7" s="57">
        <f t="shared" ref="T7:Y7" si="3">$Q7</f>
        <v>4.0000000000000001E-3</v>
      </c>
      <c r="U7" s="57">
        <f t="shared" si="3"/>
        <v>4.0000000000000001E-3</v>
      </c>
      <c r="V7" s="57">
        <f t="shared" si="3"/>
        <v>4.0000000000000001E-3</v>
      </c>
      <c r="W7" s="57">
        <f t="shared" si="3"/>
        <v>4.0000000000000001E-3</v>
      </c>
      <c r="X7" s="57">
        <f t="shared" si="3"/>
        <v>4.0000000000000001E-3</v>
      </c>
      <c r="Y7" s="57">
        <f t="shared" si="3"/>
        <v>4.0000000000000001E-3</v>
      </c>
      <c r="Z7" s="57"/>
      <c r="AA7" s="57"/>
    </row>
    <row r="8" spans="1:27" x14ac:dyDescent="0.35">
      <c r="A8" s="40" t="s">
        <v>18</v>
      </c>
      <c r="B8" s="52">
        <f>'BART Forecast'!C6</f>
        <v>682527</v>
      </c>
      <c r="C8" s="52">
        <f>'BART Forecast'!D6</f>
        <v>836480</v>
      </c>
      <c r="D8" s="52">
        <f>'BART Forecast'!E6</f>
        <v>946996</v>
      </c>
      <c r="E8" s="52">
        <f>'BART Forecast'!F6</f>
        <v>470249</v>
      </c>
      <c r="F8" s="52">
        <f>'BART Forecast'!G6</f>
        <v>659245</v>
      </c>
      <c r="G8" s="52">
        <f>'BART Forecast'!H6</f>
        <v>537610</v>
      </c>
      <c r="H8" s="52">
        <f>'BART Forecast'!I6</f>
        <v>873558</v>
      </c>
      <c r="I8" s="52">
        <f>'BART Forecast'!J6</f>
        <v>349796</v>
      </c>
      <c r="J8" s="52">
        <f>'BART Forecast'!K6</f>
        <v>874594</v>
      </c>
      <c r="K8" s="52">
        <f>'BART Forecast'!L6</f>
        <v>1305484</v>
      </c>
      <c r="L8" s="52">
        <f t="shared" si="0"/>
        <v>7536539</v>
      </c>
      <c r="P8" s="56" t="s">
        <v>109</v>
      </c>
      <c r="Q8" s="57">
        <f>0.02/5</f>
        <v>4.0000000000000001E-3</v>
      </c>
      <c r="R8" s="57">
        <f>$Q8</f>
        <v>4.0000000000000001E-3</v>
      </c>
      <c r="S8" s="57">
        <f t="shared" ref="S8:AA8" si="4">$Q8</f>
        <v>4.0000000000000001E-3</v>
      </c>
      <c r="T8" s="57">
        <f t="shared" si="4"/>
        <v>4.0000000000000001E-3</v>
      </c>
      <c r="U8" s="57">
        <f t="shared" si="4"/>
        <v>4.0000000000000001E-3</v>
      </c>
      <c r="V8" s="57">
        <f t="shared" si="4"/>
        <v>4.0000000000000001E-3</v>
      </c>
      <c r="W8" s="57">
        <f t="shared" si="4"/>
        <v>4.0000000000000001E-3</v>
      </c>
      <c r="X8" s="57">
        <f t="shared" si="4"/>
        <v>4.0000000000000001E-3</v>
      </c>
      <c r="Y8" s="57">
        <f t="shared" si="4"/>
        <v>4.0000000000000001E-3</v>
      </c>
      <c r="Z8" s="57">
        <f t="shared" si="4"/>
        <v>4.0000000000000001E-3</v>
      </c>
      <c r="AA8" s="57">
        <f t="shared" si="4"/>
        <v>4.0000000000000001E-3</v>
      </c>
    </row>
    <row r="9" spans="1:27" x14ac:dyDescent="0.35">
      <c r="A9" s="40" t="s">
        <v>19</v>
      </c>
      <c r="B9" s="52">
        <f>'BART Forecast'!C7</f>
        <v>792416</v>
      </c>
      <c r="C9" s="52">
        <f>'BART Forecast'!D7</f>
        <v>1029941</v>
      </c>
      <c r="D9" s="52">
        <f>'BART Forecast'!E7</f>
        <v>1084425</v>
      </c>
      <c r="E9" s="52">
        <f>'BART Forecast'!F7</f>
        <v>592831</v>
      </c>
      <c r="F9" s="52">
        <f>'BART Forecast'!G7</f>
        <v>835519</v>
      </c>
      <c r="G9" s="52">
        <f>'BART Forecast'!H7</f>
        <v>635141</v>
      </c>
      <c r="H9" s="52">
        <f>'BART Forecast'!I7</f>
        <v>1089712</v>
      </c>
      <c r="I9" s="52">
        <f>'BART Forecast'!J7</f>
        <v>426641</v>
      </c>
      <c r="J9" s="52">
        <f>'BART Forecast'!K7</f>
        <v>1236254</v>
      </c>
      <c r="K9" s="52">
        <f>'BART Forecast'!L7</f>
        <v>1652743</v>
      </c>
      <c r="L9" s="52">
        <f t="shared" si="0"/>
        <v>9375623</v>
      </c>
      <c r="P9" s="40" t="s">
        <v>99</v>
      </c>
      <c r="Q9" s="57">
        <f>0.02/5</f>
        <v>4.0000000000000001E-3</v>
      </c>
      <c r="R9" s="57">
        <f>$Q9</f>
        <v>4.0000000000000001E-3</v>
      </c>
      <c r="S9" s="57"/>
      <c r="T9" s="57"/>
      <c r="U9" s="57"/>
      <c r="V9" s="57">
        <f t="shared" ref="V9:X9" si="5">$Q9</f>
        <v>4.0000000000000001E-3</v>
      </c>
      <c r="W9" s="57">
        <f t="shared" si="5"/>
        <v>4.0000000000000001E-3</v>
      </c>
      <c r="X9" s="57">
        <f t="shared" si="5"/>
        <v>4.0000000000000001E-3</v>
      </c>
      <c r="Y9" s="57"/>
      <c r="Z9" s="57"/>
      <c r="AA9" s="57">
        <f>$Q9</f>
        <v>4.0000000000000001E-3</v>
      </c>
    </row>
    <row r="10" spans="1:27" x14ac:dyDescent="0.35">
      <c r="A10" s="40" t="s">
        <v>20</v>
      </c>
      <c r="B10" s="52">
        <f>'BART Forecast'!C8</f>
        <v>885700</v>
      </c>
      <c r="C10" s="52">
        <f>'BART Forecast'!D8</f>
        <v>1151200</v>
      </c>
      <c r="D10" s="52">
        <f>'BART Forecast'!E8</f>
        <v>1212100</v>
      </c>
      <c r="E10" s="52">
        <f>'BART Forecast'!F8</f>
        <v>662600</v>
      </c>
      <c r="F10" s="52">
        <f>'BART Forecast'!G8</f>
        <v>933900</v>
      </c>
      <c r="G10" s="52">
        <f>'BART Forecast'!H8</f>
        <v>709900</v>
      </c>
      <c r="H10" s="52">
        <f>'BART Forecast'!I8</f>
        <v>1218000</v>
      </c>
      <c r="I10" s="52">
        <f>'BART Forecast'!J8</f>
        <v>476900</v>
      </c>
      <c r="J10" s="52">
        <f>'BART Forecast'!K8</f>
        <v>1381800</v>
      </c>
      <c r="K10" s="52">
        <f>'BART Forecast'!L8</f>
        <v>1847300</v>
      </c>
      <c r="L10" s="52">
        <f t="shared" si="0"/>
        <v>10479400</v>
      </c>
      <c r="P10" s="40" t="s">
        <v>108</v>
      </c>
      <c r="Q10" s="57">
        <f>0.02/5</f>
        <v>4.0000000000000001E-3</v>
      </c>
      <c r="R10" s="57"/>
      <c r="S10" s="57"/>
      <c r="T10" s="57">
        <f>$Q10</f>
        <v>4.0000000000000001E-3</v>
      </c>
      <c r="U10" s="57">
        <f>$Q10</f>
        <v>4.0000000000000001E-3</v>
      </c>
      <c r="V10" s="57"/>
      <c r="W10" s="57"/>
      <c r="X10" s="57"/>
      <c r="Y10" s="57">
        <f>$Q10</f>
        <v>4.0000000000000001E-3</v>
      </c>
      <c r="Z10" s="57">
        <f>$Q10</f>
        <v>4.0000000000000001E-3</v>
      </c>
      <c r="AA10" s="57"/>
    </row>
    <row r="11" spans="1:27" x14ac:dyDescent="0.35">
      <c r="A11" s="40" t="s">
        <v>22</v>
      </c>
      <c r="B11" s="52">
        <f>'BART Forecast'!C9+(R$12*'BART Forecast'!C9)</f>
        <v>942590.6</v>
      </c>
      <c r="C11" s="52">
        <f>'BART Forecast'!D9+(S$12*'BART Forecast'!D9)</f>
        <v>1210788</v>
      </c>
      <c r="D11" s="52">
        <f>'BART Forecast'!E9+(T$12*'BART Forecast'!E9)</f>
        <v>1297541.6000000001</v>
      </c>
      <c r="E11" s="52">
        <f>'BART Forecast'!F9+(U$12*'BART Forecast'!F9)</f>
        <v>709320</v>
      </c>
      <c r="F11" s="52">
        <f>'BART Forecast'!G9+(V$12*'BART Forecast'!G9)</f>
        <v>990005</v>
      </c>
      <c r="G11" s="52">
        <f>'BART Forecast'!H9+(W$12*'BART Forecast'!H9)</f>
        <v>755564.6</v>
      </c>
      <c r="H11" s="52">
        <f>'BART Forecast'!I9+(X$12*'BART Forecast'!I9)</f>
        <v>1296202.6000000001</v>
      </c>
      <c r="I11" s="52">
        <f>'BART Forecast'!J9+(Y$12*'BART Forecast'!J9)</f>
        <v>510504.8</v>
      </c>
      <c r="J11" s="52">
        <f>'BART Forecast'!K9+(Z$12*'BART Forecast'!K9)</f>
        <v>1473433.6000000001</v>
      </c>
      <c r="K11" s="52">
        <f>'BART Forecast'!L9+(AA$12*'BART Forecast'!L9)</f>
        <v>1939089.6</v>
      </c>
      <c r="L11" s="52">
        <f t="shared" si="0"/>
        <v>11125040.4</v>
      </c>
      <c r="P11" s="56" t="s">
        <v>111</v>
      </c>
      <c r="Q11" s="57">
        <f>0.006</f>
        <v>6.0000000000000001E-3</v>
      </c>
      <c r="R11" s="57">
        <f>$Q11</f>
        <v>6.0000000000000001E-3</v>
      </c>
      <c r="S11" s="57">
        <f t="shared" ref="S11:Z11" si="6">$Q11</f>
        <v>6.0000000000000001E-3</v>
      </c>
      <c r="T11" s="57">
        <f t="shared" si="6"/>
        <v>6.0000000000000001E-3</v>
      </c>
      <c r="U11" s="57">
        <f t="shared" si="6"/>
        <v>6.0000000000000001E-3</v>
      </c>
      <c r="V11" s="57">
        <f t="shared" si="6"/>
        <v>6.0000000000000001E-3</v>
      </c>
      <c r="W11" s="57">
        <f t="shared" si="6"/>
        <v>6.0000000000000001E-3</v>
      </c>
      <c r="X11" s="57">
        <f t="shared" si="6"/>
        <v>6.0000000000000001E-3</v>
      </c>
      <c r="Y11" s="57">
        <f t="shared" si="6"/>
        <v>6.0000000000000001E-3</v>
      </c>
      <c r="Z11" s="57">
        <f t="shared" si="6"/>
        <v>6.0000000000000001E-3</v>
      </c>
      <c r="AA11" s="57"/>
    </row>
    <row r="12" spans="1:27" x14ac:dyDescent="0.35">
      <c r="A12" s="40" t="s">
        <v>24</v>
      </c>
      <c r="B12" s="52">
        <f>'BART Forecast'!C10+(R$12*'BART Forecast'!C10)</f>
        <v>1000231.4</v>
      </c>
      <c r="C12" s="52">
        <f>'BART Forecast'!D10+(S$12*'BART Forecast'!D10)</f>
        <v>1284720</v>
      </c>
      <c r="D12" s="52">
        <f>'BART Forecast'!E10+(T$12*'BART Forecast'!E10)</f>
        <v>1376800.4</v>
      </c>
      <c r="E12" s="52">
        <f>'BART Forecast'!F10+(U$12*'BART Forecast'!F10)</f>
        <v>752701.6</v>
      </c>
      <c r="F12" s="52">
        <f>'BART Forecast'!G10+(V$12*'BART Forecast'!G10)</f>
        <v>1050474.2</v>
      </c>
      <c r="G12" s="52">
        <f>'BART Forecast'!H10+(W$12*'BART Forecast'!H10)</f>
        <v>801656.8</v>
      </c>
      <c r="H12" s="52">
        <f>'BART Forecast'!I10+(X$12*'BART Forecast'!I10)</f>
        <v>1375407.6</v>
      </c>
      <c r="I12" s="52">
        <f>'BART Forecast'!J10+(Y$12*'BART Forecast'!J10)</f>
        <v>541653.19999999995</v>
      </c>
      <c r="J12" s="52">
        <f>'BART Forecast'!K10+(Z$12*'BART Forecast'!K10)</f>
        <v>1563443.2</v>
      </c>
      <c r="K12" s="52">
        <f>'BART Forecast'!L10+(AA$12*'BART Forecast'!L10)</f>
        <v>2057529.6</v>
      </c>
      <c r="L12" s="52">
        <f t="shared" si="0"/>
        <v>11804618</v>
      </c>
      <c r="P12" s="40" t="s">
        <v>97</v>
      </c>
      <c r="Q12" s="57"/>
      <c r="R12" s="57">
        <f>SUM(R5:R11)</f>
        <v>2.1999999999999999E-2</v>
      </c>
      <c r="S12" s="57">
        <f t="shared" ref="S12:AA12" si="7">SUM(S5:S11)</f>
        <v>0.01</v>
      </c>
      <c r="T12" s="57">
        <f t="shared" si="7"/>
        <v>2.8000000000000004E-2</v>
      </c>
      <c r="U12" s="57">
        <f t="shared" si="7"/>
        <v>2.8000000000000004E-2</v>
      </c>
      <c r="V12" s="57">
        <f t="shared" si="7"/>
        <v>1.8000000000000002E-2</v>
      </c>
      <c r="W12" s="57">
        <f t="shared" si="7"/>
        <v>2.1999999999999999E-2</v>
      </c>
      <c r="X12" s="57">
        <f t="shared" si="7"/>
        <v>2.1999999999999999E-2</v>
      </c>
      <c r="Y12" s="57">
        <f t="shared" si="7"/>
        <v>2.8000000000000004E-2</v>
      </c>
      <c r="Z12" s="57">
        <f t="shared" si="7"/>
        <v>2.4E-2</v>
      </c>
      <c r="AA12" s="57">
        <f t="shared" si="7"/>
        <v>8.0000000000000002E-3</v>
      </c>
    </row>
    <row r="13" spans="1:27" x14ac:dyDescent="0.35">
      <c r="A13" s="40" t="s">
        <v>25</v>
      </c>
      <c r="B13" s="52">
        <f>'BART Forecast'!C11+(R$12*'BART Forecast'!C11)</f>
        <v>1030176</v>
      </c>
      <c r="C13" s="52">
        <f>'BART Forecast'!D11+(S$12*'BART Forecast'!D11)</f>
        <v>1323302</v>
      </c>
      <c r="D13" s="52">
        <f>'BART Forecast'!E11+(T$12*'BART Forecast'!E11)</f>
        <v>1418126</v>
      </c>
      <c r="E13" s="52">
        <f>'BART Forecast'!F11+(U$12*'BART Forecast'!F11)</f>
        <v>775214.8</v>
      </c>
      <c r="F13" s="52">
        <f>'BART Forecast'!G11+(V$12*'BART Forecast'!G11)</f>
        <v>1081930.3999999999</v>
      </c>
      <c r="G13" s="52">
        <f>'BART Forecast'!H11+(W$12*'BART Forecast'!H11)</f>
        <v>825673.8</v>
      </c>
      <c r="H13" s="52">
        <f>'BART Forecast'!I11+(X$12*'BART Forecast'!I11)</f>
        <v>1416696.4</v>
      </c>
      <c r="I13" s="52">
        <f>'BART Forecast'!J11+(Y$12*'BART Forecast'!J11)</f>
        <v>557895.6</v>
      </c>
      <c r="J13" s="52">
        <f>'BART Forecast'!K11+(Z$12*'BART Forecast'!K11)</f>
        <v>1610342.3999999999</v>
      </c>
      <c r="K13" s="52">
        <f>'BART Forecast'!L11+(AA$12*'BART Forecast'!L11)</f>
        <v>2119219.2000000002</v>
      </c>
      <c r="L13" s="52">
        <f t="shared" si="0"/>
        <v>12158576.599999998</v>
      </c>
      <c r="R13" s="58"/>
    </row>
    <row r="14" spans="1:27" x14ac:dyDescent="0.35">
      <c r="A14" s="40" t="s">
        <v>26</v>
      </c>
      <c r="B14" s="52">
        <f>'BART Forecast'!C12+(R$12*'BART Forecast'!C12)</f>
        <v>1050820.3999999999</v>
      </c>
      <c r="C14" s="52">
        <f>'BART Forecast'!D12+(S$12*'BART Forecast'!D12)</f>
        <v>1349764</v>
      </c>
      <c r="D14" s="52">
        <f>'BART Forecast'!E12+(T$12*'BART Forecast'!E12)</f>
        <v>1446498.8</v>
      </c>
      <c r="E14" s="52">
        <f>'BART Forecast'!F12+(U$12*'BART Forecast'!F12)</f>
        <v>790737.6</v>
      </c>
      <c r="F14" s="52">
        <f>'BART Forecast'!G12+(V$12*'BART Forecast'!G12)</f>
        <v>1103613.8</v>
      </c>
      <c r="G14" s="52">
        <f>'BART Forecast'!H12+(W$12*'BART Forecast'!H12)</f>
        <v>842230.2</v>
      </c>
      <c r="H14" s="52">
        <f>'BART Forecast'!I12+(X$12*'BART Forecast'!I12)</f>
        <v>1445005.8</v>
      </c>
      <c r="I14" s="52">
        <f>'BART Forecast'!J12+(Y$12*'BART Forecast'!J12)</f>
        <v>569100.80000000005</v>
      </c>
      <c r="J14" s="52">
        <f>'BART Forecast'!K12+(Z$12*'BART Forecast'!K12)</f>
        <v>1642598.3999999999</v>
      </c>
      <c r="K14" s="52">
        <f>'BART Forecast'!L12+(AA$12*'BART Forecast'!L12)</f>
        <v>2161656</v>
      </c>
      <c r="L14" s="52">
        <f t="shared" si="0"/>
        <v>12402025.800000001</v>
      </c>
    </row>
    <row r="15" spans="1:27" x14ac:dyDescent="0.35">
      <c r="A15" s="40" t="s">
        <v>27</v>
      </c>
      <c r="B15" s="52">
        <f>'BART Forecast'!C13+(R$12*'BART Forecast'!C13)</f>
        <v>1061347</v>
      </c>
      <c r="C15" s="52">
        <f>'BART Forecast'!D13+(S$12*'BART Forecast'!D13)</f>
        <v>1363197</v>
      </c>
      <c r="D15" s="52">
        <f>'BART Forecast'!E13+(T$12*'BART Forecast'!E13)</f>
        <v>1460890.8</v>
      </c>
      <c r="E15" s="52">
        <f>'BART Forecast'!F13+(U$12*'BART Forecast'!F13)</f>
        <v>798653.2</v>
      </c>
      <c r="F15" s="52">
        <f>'BART Forecast'!G13+(V$12*'BART Forecast'!G13)</f>
        <v>1114608.2</v>
      </c>
      <c r="G15" s="52">
        <f>'BART Forecast'!H13+(W$12*'BART Forecast'!H13)</f>
        <v>850610.6</v>
      </c>
      <c r="H15" s="52">
        <f>'BART Forecast'!I13+(X$12*'BART Forecast'!I13)</f>
        <v>1459518.2</v>
      </c>
      <c r="I15" s="52">
        <f>'BART Forecast'!J13+(Y$12*'BART Forecast'!J13)</f>
        <v>574754.80000000005</v>
      </c>
      <c r="J15" s="52">
        <f>'BART Forecast'!K13+(Z$12*'BART Forecast'!K13)</f>
        <v>1658982.3999999999</v>
      </c>
      <c r="K15" s="52">
        <f>'BART Forecast'!L13+(AA$12*'BART Forecast'!L13)</f>
        <v>2183227.2000000002</v>
      </c>
      <c r="L15" s="52">
        <f t="shared" si="0"/>
        <v>12525789.400000002</v>
      </c>
    </row>
    <row r="16" spans="1:27" x14ac:dyDescent="0.35">
      <c r="A16" s="40" t="s">
        <v>28</v>
      </c>
      <c r="B16" s="52">
        <f>'BART Forecast'!C14+(R$12*'BART Forecast'!C14)</f>
        <v>1071873.6000000001</v>
      </c>
      <c r="C16" s="52">
        <f>'BART Forecast'!D14+(S$12*'BART Forecast'!D14)</f>
        <v>1376832</v>
      </c>
      <c r="D16" s="52">
        <f>'BART Forecast'!E14+(T$12*'BART Forecast'!E14)</f>
        <v>1475488.4</v>
      </c>
      <c r="E16" s="52">
        <f>'BART Forecast'!F14+(U$12*'BART Forecast'!F14)</f>
        <v>806671.6</v>
      </c>
      <c r="F16" s="52">
        <f>'BART Forecast'!G14+(V$12*'BART Forecast'!G14)</f>
        <v>1125806.2</v>
      </c>
      <c r="G16" s="52">
        <f>'BART Forecast'!H14+(W$12*'BART Forecast'!H14)</f>
        <v>859195.4</v>
      </c>
      <c r="H16" s="52">
        <f>'BART Forecast'!I14+(X$12*'BART Forecast'!I14)</f>
        <v>1474030.6</v>
      </c>
      <c r="I16" s="52">
        <f>'BART Forecast'!J14+(Y$12*'BART Forecast'!J14)</f>
        <v>580511.6</v>
      </c>
      <c r="J16" s="52">
        <f>'BART Forecast'!K14+(Z$12*'BART Forecast'!K14)</f>
        <v>1675571.2</v>
      </c>
      <c r="K16" s="52">
        <f>'BART Forecast'!L14+(AA$12*'BART Forecast'!L14)</f>
        <v>2205100.7999999998</v>
      </c>
      <c r="L16" s="52">
        <f t="shared" si="0"/>
        <v>12651081.399999999</v>
      </c>
    </row>
    <row r="17" spans="1:16" x14ac:dyDescent="0.35">
      <c r="A17" s="40" t="s">
        <v>29</v>
      </c>
      <c r="B17" s="52">
        <f>'BART Forecast'!C15+(R$12*'BART Forecast'!C15)</f>
        <v>1189812.3999999999</v>
      </c>
      <c r="C17" s="52">
        <f>'BART Forecast'!D15+(S$12*'BART Forecast'!D15)</f>
        <v>1528332</v>
      </c>
      <c r="D17" s="52">
        <f>'BART Forecast'!E15+(T$12*'BART Forecast'!E15)</f>
        <v>1637809.6</v>
      </c>
      <c r="E17" s="52">
        <f>'BART Forecast'!F15+(U$12*'BART Forecast'!F15)</f>
        <v>895388</v>
      </c>
      <c r="F17" s="52">
        <f>'BART Forecast'!G15+(V$12*'BART Forecast'!G15)</f>
        <v>1249595</v>
      </c>
      <c r="G17" s="52">
        <f>'BART Forecast'!H15+(W$12*'BART Forecast'!H15)</f>
        <v>953628.2</v>
      </c>
      <c r="H17" s="52">
        <f>'BART Forecast'!I15+(X$12*'BART Forecast'!I15)</f>
        <v>1636222</v>
      </c>
      <c r="I17" s="52">
        <f>'BART Forecast'!J15+(Y$12*'BART Forecast'!J15)</f>
        <v>644350.4</v>
      </c>
      <c r="J17" s="52">
        <f>'BART Forecast'!K15+(Z$12*'BART Forecast'!K15)</f>
        <v>1859891.2</v>
      </c>
      <c r="K17" s="52">
        <f>'BART Forecast'!L15+(AA$12*'BART Forecast'!L15)</f>
        <v>2447625.6</v>
      </c>
      <c r="L17" s="52">
        <f t="shared" si="0"/>
        <v>14042654.399999999</v>
      </c>
      <c r="P17" s="59"/>
    </row>
    <row r="18" spans="1:16" x14ac:dyDescent="0.35">
      <c r="A18" s="40" t="s">
        <v>31</v>
      </c>
      <c r="B18" s="52">
        <f>'BART Forecast'!C16+(R$12*'BART Forecast'!C16)</f>
        <v>1201769.8</v>
      </c>
      <c r="C18" s="52">
        <f>'BART Forecast'!D16+(S$12*'BART Forecast'!D16)</f>
        <v>1543583</v>
      </c>
      <c r="D18" s="52">
        <f>'BART Forecast'!E16+(T$12*'BART Forecast'!E16)</f>
        <v>1654257.6</v>
      </c>
      <c r="E18" s="52">
        <f>'BART Forecast'!F16+(U$12*'BART Forecast'!F16)</f>
        <v>904331.6</v>
      </c>
      <c r="F18" s="52">
        <f>'BART Forecast'!G16+(V$12*'BART Forecast'!G16)</f>
        <v>1262116.3999999999</v>
      </c>
      <c r="G18" s="52">
        <f>'BART Forecast'!H16+(W$12*'BART Forecast'!H16)</f>
        <v>963235</v>
      </c>
      <c r="H18" s="52">
        <f>'BART Forecast'!I16+(X$12*'BART Forecast'!I16)</f>
        <v>1652574</v>
      </c>
      <c r="I18" s="52">
        <f>'BART Forecast'!J16+(Y$12*'BART Forecast'!J16)</f>
        <v>650826.80000000005</v>
      </c>
      <c r="J18" s="52">
        <f>'BART Forecast'!K16+(Z$12*'BART Forecast'!K16)</f>
        <v>1878528</v>
      </c>
      <c r="K18" s="52">
        <f>'BART Forecast'!L16+(AA$12*'BART Forecast'!L16)</f>
        <v>2472120</v>
      </c>
      <c r="L18" s="52">
        <f t="shared" si="0"/>
        <v>14183342.200000001</v>
      </c>
    </row>
    <row r="19" spans="1:16" x14ac:dyDescent="0.35">
      <c r="A19" s="40" t="s">
        <v>32</v>
      </c>
      <c r="B19" s="52">
        <f>'BART Forecast'!C17+(R$12*'BART Forecast'!C17)</f>
        <v>1213727.2</v>
      </c>
      <c r="C19" s="52">
        <f>'BART Forecast'!D17+(S$12*'BART Forecast'!D17)</f>
        <v>1559036</v>
      </c>
      <c r="D19" s="52">
        <f>'BART Forecast'!E17+(T$12*'BART Forecast'!E17)</f>
        <v>1670808.4</v>
      </c>
      <c r="E19" s="52">
        <f>'BART Forecast'!F17+(U$12*'BART Forecast'!F17)</f>
        <v>913378</v>
      </c>
      <c r="F19" s="52">
        <f>'BART Forecast'!G17+(V$12*'BART Forecast'!G17)</f>
        <v>1274739.6000000001</v>
      </c>
      <c r="G19" s="52">
        <f>'BART Forecast'!H17+(W$12*'BART Forecast'!H17)</f>
        <v>972841.8</v>
      </c>
      <c r="H19" s="52">
        <f>'BART Forecast'!I17+(X$12*'BART Forecast'!I17)</f>
        <v>1669130.4</v>
      </c>
      <c r="I19" s="52">
        <f>'BART Forecast'!J17+(Y$12*'BART Forecast'!J17)</f>
        <v>657303.19999999995</v>
      </c>
      <c r="J19" s="52">
        <f>'BART Forecast'!K17+(Z$12*'BART Forecast'!K17)</f>
        <v>1897267.2</v>
      </c>
      <c r="K19" s="52">
        <f>'BART Forecast'!L17+(AA$12*'BART Forecast'!L17)</f>
        <v>2496816</v>
      </c>
      <c r="L19" s="52">
        <f t="shared" si="0"/>
        <v>14325047.799999997</v>
      </c>
    </row>
    <row r="20" spans="1:16" x14ac:dyDescent="0.35">
      <c r="A20" s="40" t="s">
        <v>33</v>
      </c>
      <c r="B20" s="52">
        <f>'BART Forecast'!C18+(R$12*'BART Forecast'!C18)</f>
        <v>1225889</v>
      </c>
      <c r="C20" s="52">
        <f>'BART Forecast'!D18+(S$12*'BART Forecast'!D18)</f>
        <v>1574590</v>
      </c>
      <c r="D20" s="52">
        <f>'BART Forecast'!E18+(T$12*'BART Forecast'!E18)</f>
        <v>1687462</v>
      </c>
      <c r="E20" s="52">
        <f>'BART Forecast'!F18+(U$12*'BART Forecast'!F18)</f>
        <v>922527.2</v>
      </c>
      <c r="F20" s="52">
        <f>'BART Forecast'!G18+(V$12*'BART Forecast'!G18)</f>
        <v>1287464.6000000001</v>
      </c>
      <c r="G20" s="52">
        <f>'BART Forecast'!H18+(W$12*'BART Forecast'!H18)</f>
        <v>982550.8</v>
      </c>
      <c r="H20" s="52">
        <f>'BART Forecast'!I18+(X$12*'BART Forecast'!I18)</f>
        <v>1685789</v>
      </c>
      <c r="I20" s="52">
        <f>'BART Forecast'!J18+(Y$12*'BART Forecast'!J18)</f>
        <v>663882.4</v>
      </c>
      <c r="J20" s="52">
        <f>'BART Forecast'!K18+(Z$12*'BART Forecast'!K18)</f>
        <v>1916211.2</v>
      </c>
      <c r="K20" s="52">
        <f>'BART Forecast'!L18+(AA$12*'BART Forecast'!L18)</f>
        <v>2521814.4</v>
      </c>
      <c r="L20" s="52">
        <f t="shared" si="0"/>
        <v>14468180.600000001</v>
      </c>
    </row>
    <row r="21" spans="1:16" x14ac:dyDescent="0.35">
      <c r="A21" s="40" t="s">
        <v>34</v>
      </c>
      <c r="B21" s="52">
        <f>'BART Forecast'!C19+(R$12*'BART Forecast'!C19)</f>
        <v>1238153</v>
      </c>
      <c r="C21" s="52">
        <f>'BART Forecast'!D19+(S$12*'BART Forecast'!D19)</f>
        <v>1590346</v>
      </c>
      <c r="D21" s="52">
        <f>'BART Forecast'!E19+(T$12*'BART Forecast'!E19)</f>
        <v>1704321.2</v>
      </c>
      <c r="E21" s="52">
        <f>'BART Forecast'!F19+(U$12*'BART Forecast'!F19)</f>
        <v>931779.2</v>
      </c>
      <c r="F21" s="52">
        <f>'BART Forecast'!G19+(V$12*'BART Forecast'!G19)</f>
        <v>1300393.2</v>
      </c>
      <c r="G21" s="52">
        <f>'BART Forecast'!H19+(W$12*'BART Forecast'!H19)</f>
        <v>992362</v>
      </c>
      <c r="H21" s="52">
        <f>'BART Forecast'!I19+(X$12*'BART Forecast'!I19)</f>
        <v>1702652</v>
      </c>
      <c r="I21" s="52">
        <f>'BART Forecast'!J19+(Y$12*'BART Forecast'!J19)</f>
        <v>670564.4</v>
      </c>
      <c r="J21" s="52">
        <f>'BART Forecast'!K19+(Z$12*'BART Forecast'!K19)</f>
        <v>1935360</v>
      </c>
      <c r="K21" s="52">
        <f>'BART Forecast'!L19+(AA$12*'BART Forecast'!L19)</f>
        <v>2547014.4</v>
      </c>
      <c r="L21" s="52">
        <f t="shared" si="0"/>
        <v>14612945.400000002</v>
      </c>
    </row>
    <row r="22" spans="1:16" x14ac:dyDescent="0.35">
      <c r="A22" s="40" t="s">
        <v>35</v>
      </c>
      <c r="B22" s="52">
        <f>'BART Forecast'!C20+(R$12*'BART Forecast'!C20)</f>
        <v>1485783.6</v>
      </c>
      <c r="C22" s="52">
        <f>'BART Forecast'!D20+(S$12*'BART Forecast'!D20)</f>
        <v>1908496</v>
      </c>
      <c r="D22" s="52">
        <f>'BART Forecast'!E20+(T$12*'BART Forecast'!E20)</f>
        <v>2045206</v>
      </c>
      <c r="E22" s="52">
        <f>'BART Forecast'!F20+(U$12*'BART Forecast'!F20)</f>
        <v>1118052.8</v>
      </c>
      <c r="F22" s="52">
        <f>'BART Forecast'!G20+(V$12*'BART Forecast'!G20)</f>
        <v>1560492.2</v>
      </c>
      <c r="G22" s="52">
        <f>'BART Forecast'!H20+(W$12*'BART Forecast'!H20)</f>
        <v>1190834.3999999999</v>
      </c>
      <c r="H22" s="52">
        <f>'BART Forecast'!I20+(X$12*'BART Forecast'!I20)</f>
        <v>2043182.4</v>
      </c>
      <c r="I22" s="52">
        <f>'BART Forecast'!J20+(Y$12*'BART Forecast'!J20)</f>
        <v>804615.6</v>
      </c>
      <c r="J22" s="52">
        <f>'BART Forecast'!K20+(Z$12*'BART Forecast'!K20)</f>
        <v>2322534.3999999999</v>
      </c>
      <c r="K22" s="52">
        <f>'BART Forecast'!L20+(AA$12*'BART Forecast'!L20)</f>
        <v>3056457.6</v>
      </c>
      <c r="L22" s="52">
        <f t="shared" si="0"/>
        <v>17535655</v>
      </c>
    </row>
    <row r="23" spans="1:16" x14ac:dyDescent="0.35">
      <c r="A23" s="40" t="s">
        <v>37</v>
      </c>
      <c r="B23" s="52">
        <f>'BART Forecast'!C21+(R$12*'BART Forecast'!C21)</f>
        <v>1560083</v>
      </c>
      <c r="C23" s="52">
        <f>'BART Forecast'!D21+(S$12*'BART Forecast'!D21)</f>
        <v>2003840</v>
      </c>
      <c r="D23" s="52">
        <f>'BART Forecast'!E21+(T$12*'BART Forecast'!E21)</f>
        <v>2147492</v>
      </c>
      <c r="E23" s="52">
        <f>'BART Forecast'!F21+(U$12*'BART Forecast'!F21)</f>
        <v>1173976</v>
      </c>
      <c r="F23" s="52">
        <f>'BART Forecast'!G21+(V$12*'BART Forecast'!G21)</f>
        <v>1638471</v>
      </c>
      <c r="G23" s="52">
        <f>'BART Forecast'!H21+(W$12*'BART Forecast'!H21)</f>
        <v>1250417</v>
      </c>
      <c r="H23" s="52">
        <f>'BART Forecast'!I21+(X$12*'BART Forecast'!I21)</f>
        <v>2145382.3999999999</v>
      </c>
      <c r="I23" s="52">
        <f>'BART Forecast'!J21+(Y$12*'BART Forecast'!J21)</f>
        <v>844913.2</v>
      </c>
      <c r="J23" s="52">
        <f>'BART Forecast'!K21+(Z$12*'BART Forecast'!K21)</f>
        <v>2438656</v>
      </c>
      <c r="K23" s="52">
        <f>'BART Forecast'!L21+(AA$12*'BART Forecast'!L21)</f>
        <v>3209270.4</v>
      </c>
      <c r="L23" s="52">
        <f t="shared" si="0"/>
        <v>18412501</v>
      </c>
    </row>
    <row r="24" spans="1:16" x14ac:dyDescent="0.35">
      <c r="A24" s="40" t="s">
        <v>38</v>
      </c>
      <c r="B24" s="52">
        <f>'BART Forecast'!C22+(R$12*'BART Forecast'!C22)</f>
        <v>1638061.6</v>
      </c>
      <c r="C24" s="52">
        <f>'BART Forecast'!D22+(S$12*'BART Forecast'!D22)</f>
        <v>2104032</v>
      </c>
      <c r="D24" s="52">
        <f>'BART Forecast'!E22+(T$12*'BART Forecast'!E22)</f>
        <v>2254815.2000000002</v>
      </c>
      <c r="E24" s="52">
        <f>'BART Forecast'!F22+(U$12*'BART Forecast'!F22)</f>
        <v>1232674.8</v>
      </c>
      <c r="F24" s="52">
        <f>'BART Forecast'!G22+(V$12*'BART Forecast'!G22)</f>
        <v>1720420</v>
      </c>
      <c r="G24" s="52">
        <f>'BART Forecast'!H22+(W$12*'BART Forecast'!H22)</f>
        <v>1312963.3999999999</v>
      </c>
      <c r="H24" s="52">
        <f>'BART Forecast'!I22+(X$12*'BART Forecast'!I22)</f>
        <v>2252590.2000000002</v>
      </c>
      <c r="I24" s="52">
        <f>'BART Forecast'!J22+(Y$12*'BART Forecast'!J22)</f>
        <v>887164</v>
      </c>
      <c r="J24" s="52">
        <f>'BART Forecast'!K22+(Z$12*'BART Forecast'!K22)</f>
        <v>2560512</v>
      </c>
      <c r="K24" s="52">
        <f>'BART Forecast'!L22+(AA$12*'BART Forecast'!L22)</f>
        <v>3369744</v>
      </c>
      <c r="L24" s="52">
        <f t="shared" si="0"/>
        <v>19332977.200000003</v>
      </c>
    </row>
    <row r="25" spans="1:16" x14ac:dyDescent="0.35">
      <c r="A25" s="40" t="s">
        <v>39</v>
      </c>
      <c r="B25" s="52">
        <f>'BART Forecast'!C23+(R$12*'BART Forecast'!C23)</f>
        <v>1719923.8</v>
      </c>
      <c r="C25" s="52">
        <f>'BART Forecast'!D23+(S$12*'BART Forecast'!D23)</f>
        <v>2209274</v>
      </c>
      <c r="D25" s="52">
        <f>'BART Forecast'!E23+(T$12*'BART Forecast'!E23)</f>
        <v>2367586.7999999998</v>
      </c>
      <c r="E25" s="52">
        <f>'BART Forecast'!F23+(U$12*'BART Forecast'!F23)</f>
        <v>1294354.8</v>
      </c>
      <c r="F25" s="52">
        <f>'BART Forecast'!G23+(V$12*'BART Forecast'!G23)</f>
        <v>1806441</v>
      </c>
      <c r="G25" s="52">
        <f>'BART Forecast'!H23+(W$12*'BART Forecast'!H23)</f>
        <v>1378575.8</v>
      </c>
      <c r="H25" s="52">
        <f>'BART Forecast'!I23+(X$12*'BART Forecast'!I23)</f>
        <v>2365214.6</v>
      </c>
      <c r="I25" s="52">
        <f>'BART Forecast'!J23+(Y$12*'BART Forecast'!J23)</f>
        <v>931470.8</v>
      </c>
      <c r="J25" s="52">
        <f>'BART Forecast'!K23+(Z$12*'BART Forecast'!K23)</f>
        <v>2688614.3999999999</v>
      </c>
      <c r="K25" s="52">
        <f>'BART Forecast'!L23+(AA$12*'BART Forecast'!L23)</f>
        <v>3538180.8</v>
      </c>
      <c r="L25" s="52">
        <f t="shared" si="0"/>
        <v>20299636.800000001</v>
      </c>
    </row>
    <row r="26" spans="1:16" x14ac:dyDescent="0.35">
      <c r="A26" s="40" t="s">
        <v>40</v>
      </c>
      <c r="B26" s="52">
        <f>'BART Forecast'!C24+(R$12*'BART Forecast'!C24)</f>
        <v>1788704.4</v>
      </c>
      <c r="C26" s="52">
        <f>'BART Forecast'!D24+(S$12*'BART Forecast'!D24)</f>
        <v>2297649</v>
      </c>
      <c r="D26" s="52">
        <f>'BART Forecast'!E24+(T$12*'BART Forecast'!E24)</f>
        <v>2462265.6</v>
      </c>
      <c r="E26" s="52">
        <f>'BART Forecast'!F24+(U$12*'BART Forecast'!F24)</f>
        <v>1346063.2</v>
      </c>
      <c r="F26" s="52">
        <f>'BART Forecast'!G24+(V$12*'BART Forecast'!G24)</f>
        <v>1878617.2</v>
      </c>
      <c r="G26" s="52">
        <f>'BART Forecast'!H24+(W$12*'BART Forecast'!H24)</f>
        <v>1433763.8</v>
      </c>
      <c r="H26" s="52">
        <f>'BART Forecast'!I24+(X$12*'BART Forecast'!I24)</f>
        <v>2459851.7999999998</v>
      </c>
      <c r="I26" s="52">
        <f>'BART Forecast'!J24+(Y$12*'BART Forecast'!J24)</f>
        <v>968684.4</v>
      </c>
      <c r="J26" s="52">
        <f>'BART Forecast'!K24+(Z$12*'BART Forecast'!K24)</f>
        <v>2796134.3999999999</v>
      </c>
      <c r="K26" s="52">
        <f>'BART Forecast'!L24+(AA$12*'BART Forecast'!L24)</f>
        <v>3679704</v>
      </c>
      <c r="L26" s="52">
        <f t="shared" si="0"/>
        <v>21111437.800000001</v>
      </c>
    </row>
    <row r="27" spans="1:16" x14ac:dyDescent="0.35">
      <c r="A27" s="40" t="s">
        <v>41</v>
      </c>
      <c r="B27" s="52">
        <f>'BART Forecast'!C25+(R$12*'BART Forecast'!C25)</f>
        <v>1860346.6</v>
      </c>
      <c r="C27" s="52">
        <f>'BART Forecast'!D25+(S$12*'BART Forecast'!D25)</f>
        <v>2389559</v>
      </c>
      <c r="D27" s="52">
        <f>'BART Forecast'!E25+(T$12*'BART Forecast'!E25)</f>
        <v>2560748</v>
      </c>
      <c r="E27" s="52">
        <f>'BART Forecast'!F25+(U$12*'BART Forecast'!F25)</f>
        <v>1399930.4</v>
      </c>
      <c r="F27" s="52">
        <f>'BART Forecast'!G25+(V$12*'BART Forecast'!G25)</f>
        <v>1953847.4</v>
      </c>
      <c r="G27" s="52">
        <f>'BART Forecast'!H25+(W$12*'BART Forecast'!H25)</f>
        <v>1491098</v>
      </c>
      <c r="H27" s="52">
        <f>'BART Forecast'!I25+(X$12*'BART Forecast'!I25)</f>
        <v>2558270.4</v>
      </c>
      <c r="I27" s="52">
        <f>'BART Forecast'!J25+(Y$12*'BART Forecast'!J25)</f>
        <v>1007440</v>
      </c>
      <c r="J27" s="52">
        <f>'BART Forecast'!K25+(Z$12*'BART Forecast'!K25)</f>
        <v>2907955.2000000002</v>
      </c>
      <c r="K27" s="52">
        <f>'BART Forecast'!L25+(AA$12*'BART Forecast'!L25)</f>
        <v>3826872</v>
      </c>
      <c r="L27" s="52">
        <f t="shared" si="0"/>
        <v>21956067</v>
      </c>
    </row>
    <row r="28" spans="1:16" x14ac:dyDescent="0.35">
      <c r="A28" s="40" t="s">
        <v>42</v>
      </c>
      <c r="B28" s="52">
        <f>'BART Forecast'!C26+(R$12*'BART Forecast'!C26)</f>
        <v>1934748.2</v>
      </c>
      <c r="C28" s="52">
        <f>'BART Forecast'!D26+(S$12*'BART Forecast'!D26)</f>
        <v>2485105</v>
      </c>
      <c r="D28" s="52">
        <f>'BART Forecast'!E26+(T$12*'BART Forecast'!E26)</f>
        <v>2663239.6</v>
      </c>
      <c r="E28" s="52">
        <f>'BART Forecast'!F26+(U$12*'BART Forecast'!F26)</f>
        <v>1455956.4</v>
      </c>
      <c r="F28" s="52">
        <f>'BART Forecast'!G26+(V$12*'BART Forecast'!G26)</f>
        <v>2031928</v>
      </c>
      <c r="G28" s="52">
        <f>'BART Forecast'!H26+(W$12*'BART Forecast'!H26)</f>
        <v>1550680.6</v>
      </c>
      <c r="H28" s="52">
        <f>'BART Forecast'!I26+(X$12*'BART Forecast'!I26)</f>
        <v>2660572.6</v>
      </c>
      <c r="I28" s="52">
        <f>'BART Forecast'!J26+(Y$12*'BART Forecast'!J26)</f>
        <v>1047737.6</v>
      </c>
      <c r="J28" s="52">
        <f>'BART Forecast'!K26+(Z$12*'BART Forecast'!K26)</f>
        <v>3024281.6000000001</v>
      </c>
      <c r="K28" s="52">
        <f>'BART Forecast'!L26+(AA$12*'BART Forecast'!L26)</f>
        <v>3979987.2</v>
      </c>
      <c r="L28" s="52">
        <f t="shared" si="0"/>
        <v>22834236.800000001</v>
      </c>
    </row>
    <row r="29" spans="1:16" x14ac:dyDescent="0.35">
      <c r="A29" s="40" t="s">
        <v>43</v>
      </c>
      <c r="B29" s="52">
        <f>'BART Forecast'!C27+(R$12*'BART Forecast'!C27)</f>
        <v>2012113.6</v>
      </c>
      <c r="C29" s="52">
        <f>'BART Forecast'!D27+(S$12*'BART Forecast'!D27)</f>
        <v>2584489</v>
      </c>
      <c r="D29" s="52">
        <f>'BART Forecast'!E27+(T$12*'BART Forecast'!E27)</f>
        <v>2769740.4</v>
      </c>
      <c r="E29" s="52">
        <f>'BART Forecast'!F27+(U$12*'BART Forecast'!F27)</f>
        <v>1514141.2</v>
      </c>
      <c r="F29" s="52">
        <f>'BART Forecast'!G27+(V$12*'BART Forecast'!G27)</f>
        <v>2113266.2000000002</v>
      </c>
      <c r="G29" s="52">
        <f>'BART Forecast'!H27+(W$12*'BART Forecast'!H27)</f>
        <v>1612716</v>
      </c>
      <c r="H29" s="52">
        <f>'BART Forecast'!I27+(X$12*'BART Forecast'!I27)</f>
        <v>2766962.8</v>
      </c>
      <c r="I29" s="52">
        <f>'BART Forecast'!J27+(Y$12*'BART Forecast'!J27)</f>
        <v>1089680</v>
      </c>
      <c r="J29" s="52">
        <f>'BART Forecast'!K27+(Z$12*'BART Forecast'!K27)</f>
        <v>3145216</v>
      </c>
      <c r="K29" s="52">
        <f>'BART Forecast'!L27+(AA$12*'BART Forecast'!L27)</f>
        <v>4139150.4</v>
      </c>
      <c r="L29" s="52">
        <f t="shared" si="0"/>
        <v>23747475.599999998</v>
      </c>
    </row>
    <row r="30" spans="1:16" x14ac:dyDescent="0.35">
      <c r="A30" s="40" t="s">
        <v>44</v>
      </c>
      <c r="B30" s="52">
        <f>'BART Forecast'!C28+(R$12*'BART Forecast'!C28)</f>
        <v>2092545</v>
      </c>
      <c r="C30" s="52">
        <f>'BART Forecast'!D28+(S$12*'BART Forecast'!D28)</f>
        <v>2687913</v>
      </c>
      <c r="D30" s="52">
        <f>'BART Forecast'!E28+(T$12*'BART Forecast'!E28)</f>
        <v>2880558.8</v>
      </c>
      <c r="E30" s="52">
        <f>'BART Forecast'!F28+(U$12*'BART Forecast'!F28)</f>
        <v>1574690.4</v>
      </c>
      <c r="F30" s="52">
        <f>'BART Forecast'!G28+(V$12*'BART Forecast'!G28)</f>
        <v>2197760.2000000002</v>
      </c>
      <c r="G30" s="52">
        <f>'BART Forecast'!H28+(W$12*'BART Forecast'!H28)</f>
        <v>1677306.4</v>
      </c>
      <c r="H30" s="52">
        <f>'BART Forecast'!I28+(X$12*'BART Forecast'!I28)</f>
        <v>2877645.4</v>
      </c>
      <c r="I30" s="52">
        <f>'BART Forecast'!J28+(Y$12*'BART Forecast'!J28)</f>
        <v>1133267.2</v>
      </c>
      <c r="J30" s="52">
        <f>'BART Forecast'!K28+(Z$12*'BART Forecast'!K28)</f>
        <v>3271065.6000000001</v>
      </c>
      <c r="K30" s="52">
        <f>'BART Forecast'!L28+(AA$12*'BART Forecast'!L28)</f>
        <v>4304764.8</v>
      </c>
      <c r="L30" s="52">
        <f t="shared" si="0"/>
        <v>24697516.800000001</v>
      </c>
    </row>
    <row r="31" spans="1:16" x14ac:dyDescent="0.35">
      <c r="A31" s="40" t="s">
        <v>45</v>
      </c>
      <c r="B31" s="52">
        <f>'BART Forecast'!C29+(R$12*'BART Forecast'!C29)</f>
        <v>2176246.7999999998</v>
      </c>
      <c r="C31" s="52">
        <f>'BART Forecast'!D29+(S$12*'BART Forecast'!D29)</f>
        <v>2795377</v>
      </c>
      <c r="D31" s="52">
        <f>'BART Forecast'!E29+(T$12*'BART Forecast'!E29)</f>
        <v>2995694.8</v>
      </c>
      <c r="E31" s="52">
        <f>'BART Forecast'!F29+(U$12*'BART Forecast'!F29)</f>
        <v>1637706.8</v>
      </c>
      <c r="F31" s="52">
        <f>'BART Forecast'!G29+(V$12*'BART Forecast'!G29)</f>
        <v>2285715.4</v>
      </c>
      <c r="G31" s="52">
        <f>'BART Forecast'!H29+(W$12*'BART Forecast'!H29)</f>
        <v>1744349.6</v>
      </c>
      <c r="H31" s="52">
        <f>'BART Forecast'!I29+(X$12*'BART Forecast'!I29)</f>
        <v>2992722.6</v>
      </c>
      <c r="I31" s="52">
        <f>'BART Forecast'!J29+(Y$12*'BART Forecast'!J29)</f>
        <v>1178602</v>
      </c>
      <c r="J31" s="52">
        <f>'BART Forecast'!K29+(Z$12*'BART Forecast'!K29)</f>
        <v>3401830.3999999999</v>
      </c>
      <c r="K31" s="52">
        <f>'BART Forecast'!L29+(AA$12*'BART Forecast'!L29)</f>
        <v>4476931.2</v>
      </c>
      <c r="L31" s="52">
        <f t="shared" si="0"/>
        <v>25685176.599999998</v>
      </c>
    </row>
    <row r="32" spans="1:16" x14ac:dyDescent="0.35">
      <c r="A32" s="40" t="s">
        <v>46</v>
      </c>
      <c r="B32" s="52">
        <f>'BART Forecast'!C30+(R$12*'BART Forecast'!C30)</f>
        <v>2263321.2000000002</v>
      </c>
      <c r="C32" s="52">
        <f>'BART Forecast'!D30+(S$12*'BART Forecast'!D30)</f>
        <v>2907184</v>
      </c>
      <c r="D32" s="52">
        <f>'BART Forecast'!E30+(T$12*'BART Forecast'!E30)</f>
        <v>3115559.6</v>
      </c>
      <c r="E32" s="52">
        <f>'BART Forecast'!F30+(U$12*'BART Forecast'!F30)</f>
        <v>1703190.4</v>
      </c>
      <c r="F32" s="52">
        <f>'BART Forecast'!G30+(V$12*'BART Forecast'!G30)</f>
        <v>2377131.7999999998</v>
      </c>
      <c r="G32" s="52">
        <f>'BART Forecast'!H30+(W$12*'BART Forecast'!H30)</f>
        <v>1814152.2</v>
      </c>
      <c r="H32" s="52">
        <f>'BART Forecast'!I30+(X$12*'BART Forecast'!I30)</f>
        <v>3112501</v>
      </c>
      <c r="I32" s="52">
        <f>'BART Forecast'!J30+(Y$12*'BART Forecast'!J30)</f>
        <v>1225787.2</v>
      </c>
      <c r="J32" s="52">
        <f>'BART Forecast'!K30+(Z$12*'BART Forecast'!K30)</f>
        <v>3537920</v>
      </c>
      <c r="K32" s="52">
        <f>'BART Forecast'!L30+(AA$12*'BART Forecast'!L30)</f>
        <v>4655952</v>
      </c>
      <c r="L32" s="52">
        <f t="shared" si="0"/>
        <v>26712699.399999999</v>
      </c>
    </row>
    <row r="33" spans="1:12" x14ac:dyDescent="0.35">
      <c r="A33" s="40" t="s">
        <v>47</v>
      </c>
      <c r="B33" s="52">
        <f>'BART Forecast'!C31+(R$12*'BART Forecast'!C31)</f>
        <v>2353870.4</v>
      </c>
      <c r="C33" s="52">
        <f>'BART Forecast'!D31+(S$12*'BART Forecast'!D31)</f>
        <v>3023536</v>
      </c>
      <c r="D33" s="52">
        <f>'BART Forecast'!E31+(T$12*'BART Forecast'!E31)</f>
        <v>3240153.2</v>
      </c>
      <c r="E33" s="52">
        <f>'BART Forecast'!F31+(U$12*'BART Forecast'!F31)</f>
        <v>1771346.8</v>
      </c>
      <c r="F33" s="52">
        <f>'BART Forecast'!G31+(V$12*'BART Forecast'!G31)</f>
        <v>2472213</v>
      </c>
      <c r="G33" s="52">
        <f>'BART Forecast'!H31+(W$12*'BART Forecast'!H31)</f>
        <v>1886714.2</v>
      </c>
      <c r="H33" s="52">
        <f>'BART Forecast'!I31+(X$12*'BART Forecast'!I31)</f>
        <v>3236980.6</v>
      </c>
      <c r="I33" s="52">
        <f>'BART Forecast'!J31+(Y$12*'BART Forecast'!J31)</f>
        <v>1274720</v>
      </c>
      <c r="J33" s="52">
        <f>'BART Forecast'!K31+(Z$12*'BART Forecast'!K31)</f>
        <v>3679436.7999999998</v>
      </c>
      <c r="K33" s="52">
        <f>'BART Forecast'!L31+(AA$12*'BART Forecast'!L31)</f>
        <v>4842230.4000000004</v>
      </c>
      <c r="L33" s="52">
        <f t="shared" si="0"/>
        <v>27781201.400000006</v>
      </c>
    </row>
    <row r="34" spans="1:12" x14ac:dyDescent="0.35">
      <c r="A34" s="40" t="s">
        <v>48</v>
      </c>
      <c r="B34" s="52">
        <f>'BART Forecast'!C32+(R$12*'BART Forecast'!C32)</f>
        <v>2447996.6</v>
      </c>
      <c r="C34" s="52">
        <f>'BART Forecast'!D32+(S$12*'BART Forecast'!D32)</f>
        <v>3144433</v>
      </c>
      <c r="D34" s="52">
        <f>'BART Forecast'!E32+(T$12*'BART Forecast'!E32)</f>
        <v>3369784</v>
      </c>
      <c r="E34" s="52">
        <f>'BART Forecast'!F32+(U$12*'BART Forecast'!F32)</f>
        <v>1842176</v>
      </c>
      <c r="F34" s="52">
        <f>'BART Forecast'!G32+(V$12*'BART Forecast'!G32)</f>
        <v>2571060.7999999998</v>
      </c>
      <c r="G34" s="52">
        <f>'BART Forecast'!H32+(W$12*'BART Forecast'!H32)</f>
        <v>1962137.8</v>
      </c>
      <c r="H34" s="52">
        <f>'BART Forecast'!I32+(X$12*'BART Forecast'!I32)</f>
        <v>3366468</v>
      </c>
      <c r="I34" s="52">
        <f>'BART Forecast'!J32+(Y$12*'BART Forecast'!J32)</f>
        <v>1325708.8</v>
      </c>
      <c r="J34" s="52">
        <f>'BART Forecast'!K32+(Z$12*'BART Forecast'!K32)</f>
        <v>3826585.6000000001</v>
      </c>
      <c r="K34" s="52">
        <f>'BART Forecast'!L32+(AA$12*'BART Forecast'!L32)</f>
        <v>5035867.2</v>
      </c>
      <c r="L34" s="52">
        <f t="shared" si="0"/>
        <v>28892217.800000001</v>
      </c>
    </row>
    <row r="35" spans="1:12" x14ac:dyDescent="0.35">
      <c r="A35" s="40" t="s">
        <v>49</v>
      </c>
      <c r="B35" s="52">
        <f>'BART Forecast'!C33+(R$12*'BART Forecast'!C33)</f>
        <v>2545904.2000000002</v>
      </c>
      <c r="C35" s="52">
        <f>'BART Forecast'!D33+(S$12*'BART Forecast'!D33)</f>
        <v>3270178</v>
      </c>
      <c r="D35" s="52">
        <f>'BART Forecast'!E33+(T$12*'BART Forecast'!E33)</f>
        <v>3504554.8</v>
      </c>
      <c r="E35" s="52">
        <f>'BART Forecast'!F33+(U$12*'BART Forecast'!F33)</f>
        <v>1915883.6</v>
      </c>
      <c r="F35" s="52">
        <f>'BART Forecast'!G33+(V$12*'BART Forecast'!G33)</f>
        <v>2673878.7999999998</v>
      </c>
      <c r="G35" s="52">
        <f>'BART Forecast'!H33+(W$12*'BART Forecast'!H33)</f>
        <v>2040627.4</v>
      </c>
      <c r="H35" s="52">
        <f>'BART Forecast'!I33+(X$12*'BART Forecast'!I33)</f>
        <v>3501065.4</v>
      </c>
      <c r="I35" s="52">
        <f>'BART Forecast'!J33+(Y$12*'BART Forecast'!J33)</f>
        <v>1378753.6</v>
      </c>
      <c r="J35" s="52">
        <f>'BART Forecast'!K33+(Z$12*'BART Forecast'!K33)</f>
        <v>3979673.6000000001</v>
      </c>
      <c r="K35" s="52">
        <f>'BART Forecast'!L33+(AA$12*'BART Forecast'!L33)</f>
        <v>5237366.4000000004</v>
      </c>
      <c r="L35" s="52">
        <f t="shared" si="0"/>
        <v>30047885.800000004</v>
      </c>
    </row>
    <row r="36" spans="1:12" x14ac:dyDescent="0.35">
      <c r="A36" s="40" t="s">
        <v>50</v>
      </c>
      <c r="B36" s="52">
        <f>'BART Forecast'!C34+(R$12*'BART Forecast'!C34)</f>
        <v>2647797.6</v>
      </c>
      <c r="C36" s="52">
        <f>'BART Forecast'!D34+(S$12*'BART Forecast'!D34)</f>
        <v>3400973</v>
      </c>
      <c r="D36" s="52">
        <f>'BART Forecast'!E34+(T$12*'BART Forecast'!E34)</f>
        <v>3644774</v>
      </c>
      <c r="E36" s="52">
        <f>'BART Forecast'!F34+(U$12*'BART Forecast'!F34)</f>
        <v>1992469.6</v>
      </c>
      <c r="F36" s="52">
        <f>'BART Forecast'!G34+(V$12*'BART Forecast'!G34)</f>
        <v>2780870.6</v>
      </c>
      <c r="G36" s="52">
        <f>'BART Forecast'!H34+(W$12*'BART Forecast'!H34)</f>
        <v>2122285.2000000002</v>
      </c>
      <c r="H36" s="52">
        <f>'BART Forecast'!I34+(X$12*'BART Forecast'!I34)</f>
        <v>3641181.6</v>
      </c>
      <c r="I36" s="52">
        <f>'BART Forecast'!J34+(Y$12*'BART Forecast'!J34)</f>
        <v>1433957.2</v>
      </c>
      <c r="J36" s="52">
        <f>'BART Forecast'!K34+(Z$12*'BART Forecast'!K34)</f>
        <v>4138905.6000000001</v>
      </c>
      <c r="K36" s="52">
        <f>'BART Forecast'!L34+(AA$12*'BART Forecast'!L34)</f>
        <v>5446828.7999999998</v>
      </c>
      <c r="L36" s="52">
        <f t="shared" si="0"/>
        <v>31250043.200000003</v>
      </c>
    </row>
  </sheetData>
  <mergeCells count="1">
    <mergeCell ref="P1:AA1"/>
  </mergeCells>
  <hyperlinks>
    <hyperlink ref="P2" r:id="rId1" display="https://deliverypdf.ssrn.com/delivery.php?ID=158006120027101095073117125116101023054073004041071075072012012014113068079122078040098099091101023083116023101088001001044100124119094091096003018025026001038085010077086079107071121017006032031025086087085066104118020077124085069109081026079011075103109101091096100090002027099004&amp;EXT=pdf&amp;INDEX=TRUE" xr:uid="{438B706B-9F24-4972-BDBF-3866A42813FB}"/>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9A50B2-B186-4FE6-BFA1-7E701E396C7B}">
  <dimension ref="A1:M34"/>
  <sheetViews>
    <sheetView workbookViewId="0"/>
  </sheetViews>
  <sheetFormatPr defaultRowHeight="14.5" x14ac:dyDescent="0.35"/>
  <cols>
    <col min="1" max="16384" width="8.7265625" style="40"/>
  </cols>
  <sheetData>
    <row r="1" spans="1:13" ht="58" x14ac:dyDescent="0.35">
      <c r="A1" s="51" t="s">
        <v>0</v>
      </c>
      <c r="B1" s="51" t="s">
        <v>2</v>
      </c>
      <c r="C1" s="51" t="s">
        <v>3</v>
      </c>
      <c r="D1" s="51" t="s">
        <v>4</v>
      </c>
      <c r="E1" s="51" t="s">
        <v>5</v>
      </c>
      <c r="F1" s="51" t="s">
        <v>6</v>
      </c>
      <c r="G1" s="51" t="s">
        <v>7</v>
      </c>
      <c r="H1" s="51" t="s">
        <v>8</v>
      </c>
      <c r="I1" s="51" t="s">
        <v>9</v>
      </c>
      <c r="J1" s="51" t="s">
        <v>10</v>
      </c>
      <c r="K1" s="51" t="s">
        <v>11</v>
      </c>
      <c r="L1" s="51" t="s">
        <v>56</v>
      </c>
      <c r="M1" s="51" t="s">
        <v>12</v>
      </c>
    </row>
    <row r="2" spans="1:13" x14ac:dyDescent="0.35">
      <c r="A2" s="40" t="s">
        <v>13</v>
      </c>
      <c r="B2" s="52">
        <f>'Grant-based Ridership Increases'!B4-'BART Forecast'!C2</f>
        <v>0</v>
      </c>
      <c r="C2" s="52">
        <f>'Grant-based Ridership Increases'!C4-'BART Forecast'!D2</f>
        <v>0</v>
      </c>
      <c r="D2" s="52">
        <f>'Grant-based Ridership Increases'!D4-'BART Forecast'!E2</f>
        <v>0</v>
      </c>
      <c r="E2" s="52">
        <f>'Grant-based Ridership Increases'!E4-'BART Forecast'!F2</f>
        <v>0</v>
      </c>
      <c r="F2" s="52">
        <f>'Grant-based Ridership Increases'!F4-'BART Forecast'!G2</f>
        <v>0</v>
      </c>
      <c r="G2" s="52">
        <f>'Grant-based Ridership Increases'!G4-'BART Forecast'!H2</f>
        <v>0</v>
      </c>
      <c r="H2" s="52">
        <f>'Grant-based Ridership Increases'!H4-'BART Forecast'!I2</f>
        <v>0</v>
      </c>
      <c r="I2" s="52">
        <f>'Grant-based Ridership Increases'!I4-'BART Forecast'!J2</f>
        <v>0</v>
      </c>
      <c r="J2" s="52">
        <f>'Grant-based Ridership Increases'!J4-'BART Forecast'!K2</f>
        <v>0</v>
      </c>
      <c r="K2" s="52">
        <f>'Grant-based Ridership Increases'!K4-'BART Forecast'!L2</f>
        <v>0</v>
      </c>
      <c r="L2" s="52">
        <f t="shared" ref="L2:L34" si="0">SUM(B2:K2)</f>
        <v>0</v>
      </c>
    </row>
    <row r="3" spans="1:13" x14ac:dyDescent="0.35">
      <c r="A3" s="40" t="s">
        <v>15</v>
      </c>
      <c r="B3" s="52">
        <f>'Grant-based Ridership Increases'!B5-'BART Forecast'!C3</f>
        <v>0</v>
      </c>
      <c r="C3" s="52">
        <f>'Grant-based Ridership Increases'!C5-'BART Forecast'!D3</f>
        <v>0</v>
      </c>
      <c r="D3" s="52">
        <f>'Grant-based Ridership Increases'!D5-'BART Forecast'!E3</f>
        <v>0</v>
      </c>
      <c r="E3" s="52">
        <f>'Grant-based Ridership Increases'!E5-'BART Forecast'!F3</f>
        <v>0</v>
      </c>
      <c r="F3" s="52">
        <f>'Grant-based Ridership Increases'!F5-'BART Forecast'!G3</f>
        <v>0</v>
      </c>
      <c r="G3" s="52">
        <f>'Grant-based Ridership Increases'!G5-'BART Forecast'!H3</f>
        <v>0</v>
      </c>
      <c r="H3" s="52">
        <f>'Grant-based Ridership Increases'!H5-'BART Forecast'!I3</f>
        <v>0</v>
      </c>
      <c r="I3" s="52">
        <f>'Grant-based Ridership Increases'!I5-'BART Forecast'!J3</f>
        <v>0</v>
      </c>
      <c r="J3" s="52">
        <f>'Grant-based Ridership Increases'!J5-'BART Forecast'!K3</f>
        <v>0</v>
      </c>
      <c r="K3" s="52">
        <f>'Grant-based Ridership Increases'!K5-'BART Forecast'!L3</f>
        <v>0</v>
      </c>
      <c r="L3" s="52">
        <f t="shared" si="0"/>
        <v>0</v>
      </c>
    </row>
    <row r="4" spans="1:13" x14ac:dyDescent="0.35">
      <c r="A4" s="40" t="s">
        <v>16</v>
      </c>
      <c r="B4" s="52">
        <f>'Grant-based Ridership Increases'!B6-'BART Forecast'!C4</f>
        <v>0</v>
      </c>
      <c r="C4" s="52">
        <f>'Grant-based Ridership Increases'!C6-'BART Forecast'!D4</f>
        <v>0</v>
      </c>
      <c r="D4" s="52">
        <f>'Grant-based Ridership Increases'!D6-'BART Forecast'!E4</f>
        <v>0</v>
      </c>
      <c r="E4" s="52">
        <f>'Grant-based Ridership Increases'!E6-'BART Forecast'!F4</f>
        <v>0</v>
      </c>
      <c r="F4" s="52">
        <f>'Grant-based Ridership Increases'!F6-'BART Forecast'!G4</f>
        <v>0</v>
      </c>
      <c r="G4" s="52">
        <f>'Grant-based Ridership Increases'!G6-'BART Forecast'!H4</f>
        <v>0</v>
      </c>
      <c r="H4" s="52">
        <f>'Grant-based Ridership Increases'!H6-'BART Forecast'!I4</f>
        <v>0</v>
      </c>
      <c r="I4" s="52">
        <f>'Grant-based Ridership Increases'!I6-'BART Forecast'!J4</f>
        <v>0</v>
      </c>
      <c r="J4" s="52">
        <f>'Grant-based Ridership Increases'!J6-'BART Forecast'!K4</f>
        <v>0</v>
      </c>
      <c r="K4" s="52">
        <f>'Grant-based Ridership Increases'!K6-'BART Forecast'!L4</f>
        <v>0</v>
      </c>
      <c r="L4" s="52">
        <f t="shared" si="0"/>
        <v>0</v>
      </c>
    </row>
    <row r="5" spans="1:13" x14ac:dyDescent="0.35">
      <c r="A5" s="40" t="s">
        <v>17</v>
      </c>
      <c r="B5" s="52">
        <f>'Grant-based Ridership Increases'!B7-'BART Forecast'!C5</f>
        <v>0</v>
      </c>
      <c r="C5" s="52">
        <f>'Grant-based Ridership Increases'!C7-'BART Forecast'!D5</f>
        <v>0</v>
      </c>
      <c r="D5" s="52">
        <f>'Grant-based Ridership Increases'!D7-'BART Forecast'!E5</f>
        <v>0</v>
      </c>
      <c r="E5" s="52">
        <f>'Grant-based Ridership Increases'!E7-'BART Forecast'!F5</f>
        <v>0</v>
      </c>
      <c r="F5" s="52">
        <f>'Grant-based Ridership Increases'!F7-'BART Forecast'!G5</f>
        <v>0</v>
      </c>
      <c r="G5" s="52">
        <f>'Grant-based Ridership Increases'!G7-'BART Forecast'!H5</f>
        <v>0</v>
      </c>
      <c r="H5" s="52">
        <f>'Grant-based Ridership Increases'!H7-'BART Forecast'!I5</f>
        <v>0</v>
      </c>
      <c r="I5" s="52">
        <f>'Grant-based Ridership Increases'!I7-'BART Forecast'!J5</f>
        <v>0</v>
      </c>
      <c r="J5" s="52">
        <f>'Grant-based Ridership Increases'!J7-'BART Forecast'!K5</f>
        <v>0</v>
      </c>
      <c r="K5" s="52">
        <f>'Grant-based Ridership Increases'!K7-'BART Forecast'!L5</f>
        <v>0</v>
      </c>
      <c r="L5" s="52">
        <f t="shared" si="0"/>
        <v>0</v>
      </c>
    </row>
    <row r="6" spans="1:13" x14ac:dyDescent="0.35">
      <c r="A6" s="40" t="s">
        <v>18</v>
      </c>
      <c r="B6" s="52">
        <f>'Grant-based Ridership Increases'!B8-'BART Forecast'!C6</f>
        <v>0</v>
      </c>
      <c r="C6" s="52">
        <f>'Grant-based Ridership Increases'!C8-'BART Forecast'!D6</f>
        <v>0</v>
      </c>
      <c r="D6" s="52">
        <f>'Grant-based Ridership Increases'!D8-'BART Forecast'!E6</f>
        <v>0</v>
      </c>
      <c r="E6" s="52">
        <f>'Grant-based Ridership Increases'!E8-'BART Forecast'!F6</f>
        <v>0</v>
      </c>
      <c r="F6" s="52">
        <f>'Grant-based Ridership Increases'!F8-'BART Forecast'!G6</f>
        <v>0</v>
      </c>
      <c r="G6" s="52">
        <f>'Grant-based Ridership Increases'!G8-'BART Forecast'!H6</f>
        <v>0</v>
      </c>
      <c r="H6" s="52">
        <f>'Grant-based Ridership Increases'!H8-'BART Forecast'!I6</f>
        <v>0</v>
      </c>
      <c r="I6" s="52">
        <f>'Grant-based Ridership Increases'!I8-'BART Forecast'!J6</f>
        <v>0</v>
      </c>
      <c r="J6" s="52">
        <f>'Grant-based Ridership Increases'!J8-'BART Forecast'!K6</f>
        <v>0</v>
      </c>
      <c r="K6" s="52">
        <f>'Grant-based Ridership Increases'!K8-'BART Forecast'!L6</f>
        <v>0</v>
      </c>
      <c r="L6" s="52">
        <f t="shared" si="0"/>
        <v>0</v>
      </c>
    </row>
    <row r="7" spans="1:13" x14ac:dyDescent="0.35">
      <c r="A7" s="40" t="s">
        <v>19</v>
      </c>
      <c r="B7" s="52">
        <f>'Grant-based Ridership Increases'!B9-'BART Forecast'!C7</f>
        <v>0</v>
      </c>
      <c r="C7" s="52">
        <f>'Grant-based Ridership Increases'!C9-'BART Forecast'!D7</f>
        <v>0</v>
      </c>
      <c r="D7" s="52">
        <f>'Grant-based Ridership Increases'!D9-'BART Forecast'!E7</f>
        <v>0</v>
      </c>
      <c r="E7" s="52">
        <f>'Grant-based Ridership Increases'!E9-'BART Forecast'!F7</f>
        <v>0</v>
      </c>
      <c r="F7" s="52">
        <f>'Grant-based Ridership Increases'!F9-'BART Forecast'!G7</f>
        <v>0</v>
      </c>
      <c r="G7" s="52">
        <f>'Grant-based Ridership Increases'!G9-'BART Forecast'!H7</f>
        <v>0</v>
      </c>
      <c r="H7" s="52">
        <f>'Grant-based Ridership Increases'!H9-'BART Forecast'!I7</f>
        <v>0</v>
      </c>
      <c r="I7" s="52">
        <f>'Grant-based Ridership Increases'!I9-'BART Forecast'!J7</f>
        <v>0</v>
      </c>
      <c r="J7" s="52">
        <f>'Grant-based Ridership Increases'!J9-'BART Forecast'!K7</f>
        <v>0</v>
      </c>
      <c r="K7" s="52">
        <f>'Grant-based Ridership Increases'!K9-'BART Forecast'!L7</f>
        <v>0</v>
      </c>
      <c r="L7" s="52">
        <f t="shared" si="0"/>
        <v>0</v>
      </c>
    </row>
    <row r="8" spans="1:13" x14ac:dyDescent="0.35">
      <c r="A8" s="40" t="s">
        <v>20</v>
      </c>
      <c r="B8" s="52">
        <f>'Grant-based Ridership Increases'!B10-'BART Forecast'!C8</f>
        <v>0</v>
      </c>
      <c r="C8" s="52">
        <f>'Grant-based Ridership Increases'!C10-'BART Forecast'!D8</f>
        <v>0</v>
      </c>
      <c r="D8" s="52">
        <f>'Grant-based Ridership Increases'!D10-'BART Forecast'!E8</f>
        <v>0</v>
      </c>
      <c r="E8" s="52">
        <f>'Grant-based Ridership Increases'!E10-'BART Forecast'!F8</f>
        <v>0</v>
      </c>
      <c r="F8" s="52">
        <f>'Grant-based Ridership Increases'!F10-'BART Forecast'!G8</f>
        <v>0</v>
      </c>
      <c r="G8" s="52">
        <f>'Grant-based Ridership Increases'!G10-'BART Forecast'!H8</f>
        <v>0</v>
      </c>
      <c r="H8" s="52">
        <f>'Grant-based Ridership Increases'!H10-'BART Forecast'!I8</f>
        <v>0</v>
      </c>
      <c r="I8" s="52">
        <f>'Grant-based Ridership Increases'!I10-'BART Forecast'!J8</f>
        <v>0</v>
      </c>
      <c r="J8" s="52">
        <f>'Grant-based Ridership Increases'!J10-'BART Forecast'!K8</f>
        <v>0</v>
      </c>
      <c r="K8" s="52">
        <f>'Grant-based Ridership Increases'!K10-'BART Forecast'!L8</f>
        <v>0</v>
      </c>
      <c r="L8" s="52">
        <f t="shared" si="0"/>
        <v>0</v>
      </c>
    </row>
    <row r="9" spans="1:13" x14ac:dyDescent="0.35">
      <c r="A9" s="40" t="s">
        <v>22</v>
      </c>
      <c r="B9" s="52">
        <f>'Grant-based Ridership Increases'!B11-'BART Forecast'!C9</f>
        <v>20290.599999999977</v>
      </c>
      <c r="C9" s="52">
        <f>'Grant-based Ridership Increases'!C11-'BART Forecast'!D9</f>
        <v>11988</v>
      </c>
      <c r="D9" s="52">
        <f>'Grant-based Ridership Increases'!D11-'BART Forecast'!E9</f>
        <v>35341.600000000093</v>
      </c>
      <c r="E9" s="52">
        <f>'Grant-based Ridership Increases'!E11-'BART Forecast'!F9</f>
        <v>19320</v>
      </c>
      <c r="F9" s="52">
        <f>'Grant-based Ridership Increases'!F11-'BART Forecast'!G9</f>
        <v>17505</v>
      </c>
      <c r="G9" s="52">
        <f>'Grant-based Ridership Increases'!G11-'BART Forecast'!H9</f>
        <v>16264.599999999977</v>
      </c>
      <c r="H9" s="52">
        <f>'Grant-based Ridership Increases'!H11-'BART Forecast'!I9</f>
        <v>27902.600000000093</v>
      </c>
      <c r="I9" s="52">
        <f>'Grant-based Ridership Increases'!I11-'BART Forecast'!J9</f>
        <v>13904.799999999988</v>
      </c>
      <c r="J9" s="52">
        <f>'Grant-based Ridership Increases'!J11-'BART Forecast'!K9</f>
        <v>34533.600000000093</v>
      </c>
      <c r="K9" s="52">
        <f>'Grant-based Ridership Increases'!K11-'BART Forecast'!L9</f>
        <v>15389.600000000093</v>
      </c>
      <c r="L9" s="52">
        <f t="shared" si="0"/>
        <v>212440.40000000031</v>
      </c>
    </row>
    <row r="10" spans="1:13" x14ac:dyDescent="0.35">
      <c r="A10" s="40" t="s">
        <v>24</v>
      </c>
      <c r="B10" s="52">
        <f>'Grant-based Ridership Increases'!B12-'BART Forecast'!C10</f>
        <v>21531.400000000023</v>
      </c>
      <c r="C10" s="52">
        <f>'Grant-based Ridership Increases'!C12-'BART Forecast'!D10</f>
        <v>12720</v>
      </c>
      <c r="D10" s="52">
        <f>'Grant-based Ridership Increases'!D12-'BART Forecast'!E10</f>
        <v>37500.399999999907</v>
      </c>
      <c r="E10" s="52">
        <f>'Grant-based Ridership Increases'!E12-'BART Forecast'!F10</f>
        <v>20501.599999999977</v>
      </c>
      <c r="F10" s="52">
        <f>'Grant-based Ridership Increases'!F12-'BART Forecast'!G10</f>
        <v>18574.199999999953</v>
      </c>
      <c r="G10" s="52">
        <f>'Grant-based Ridership Increases'!G12-'BART Forecast'!H10</f>
        <v>17256.800000000047</v>
      </c>
      <c r="H10" s="52">
        <f>'Grant-based Ridership Increases'!H12-'BART Forecast'!I10</f>
        <v>29607.600000000093</v>
      </c>
      <c r="I10" s="52">
        <f>'Grant-based Ridership Increases'!I12-'BART Forecast'!J10</f>
        <v>14753.199999999953</v>
      </c>
      <c r="J10" s="52">
        <f>'Grant-based Ridership Increases'!J12-'BART Forecast'!K10</f>
        <v>36643.199999999953</v>
      </c>
      <c r="K10" s="52">
        <f>'Grant-based Ridership Increases'!K12-'BART Forecast'!L10</f>
        <v>16329.600000000093</v>
      </c>
      <c r="L10" s="52">
        <f t="shared" si="0"/>
        <v>225418</v>
      </c>
    </row>
    <row r="11" spans="1:13" x14ac:dyDescent="0.35">
      <c r="A11" s="40" t="s">
        <v>25</v>
      </c>
      <c r="B11" s="52">
        <f>'Grant-based Ridership Increases'!B13-'BART Forecast'!C11</f>
        <v>22176</v>
      </c>
      <c r="C11" s="52">
        <f>'Grant-based Ridership Increases'!C13-'BART Forecast'!D11</f>
        <v>13102</v>
      </c>
      <c r="D11" s="52">
        <f>'Grant-based Ridership Increases'!D13-'BART Forecast'!E11</f>
        <v>38626</v>
      </c>
      <c r="E11" s="52">
        <f>'Grant-based Ridership Increases'!E13-'BART Forecast'!F11</f>
        <v>21114.800000000047</v>
      </c>
      <c r="F11" s="52">
        <f>'Grant-based Ridership Increases'!F13-'BART Forecast'!G11</f>
        <v>19130.399999999907</v>
      </c>
      <c r="G11" s="52">
        <f>'Grant-based Ridership Increases'!G13-'BART Forecast'!H11</f>
        <v>17773.800000000047</v>
      </c>
      <c r="H11" s="52">
        <f>'Grant-based Ridership Increases'!H13-'BART Forecast'!I11</f>
        <v>30496.399999999907</v>
      </c>
      <c r="I11" s="52">
        <f>'Grant-based Ridership Increases'!I13-'BART Forecast'!J11</f>
        <v>15195.599999999977</v>
      </c>
      <c r="J11" s="52">
        <f>'Grant-based Ridership Increases'!J13-'BART Forecast'!K11</f>
        <v>37742.399999999907</v>
      </c>
      <c r="K11" s="52">
        <f>'Grant-based Ridership Increases'!K13-'BART Forecast'!L11</f>
        <v>16819.200000000186</v>
      </c>
      <c r="L11" s="52">
        <f t="shared" si="0"/>
        <v>232176.59999999998</v>
      </c>
    </row>
    <row r="12" spans="1:13" x14ac:dyDescent="0.35">
      <c r="A12" s="40" t="s">
        <v>26</v>
      </c>
      <c r="B12" s="52">
        <f>'Grant-based Ridership Increases'!B14-'BART Forecast'!C12</f>
        <v>22620.399999999907</v>
      </c>
      <c r="C12" s="52">
        <f>'Grant-based Ridership Increases'!C14-'BART Forecast'!D12</f>
        <v>13364</v>
      </c>
      <c r="D12" s="52">
        <f>'Grant-based Ridership Increases'!D14-'BART Forecast'!E12</f>
        <v>39398.800000000047</v>
      </c>
      <c r="E12" s="52">
        <f>'Grant-based Ridership Increases'!E14-'BART Forecast'!F12</f>
        <v>21537.599999999977</v>
      </c>
      <c r="F12" s="52">
        <f>'Grant-based Ridership Increases'!F14-'BART Forecast'!G12</f>
        <v>19513.800000000047</v>
      </c>
      <c r="G12" s="52">
        <f>'Grant-based Ridership Increases'!G14-'BART Forecast'!H12</f>
        <v>18130.199999999953</v>
      </c>
      <c r="H12" s="52">
        <f>'Grant-based Ridership Increases'!H14-'BART Forecast'!I12</f>
        <v>31105.800000000047</v>
      </c>
      <c r="I12" s="52">
        <f>'Grant-based Ridership Increases'!I14-'BART Forecast'!J12</f>
        <v>15500.800000000047</v>
      </c>
      <c r="J12" s="52">
        <f>'Grant-based Ridership Increases'!J14-'BART Forecast'!K12</f>
        <v>38498.399999999907</v>
      </c>
      <c r="K12" s="52">
        <f>'Grant-based Ridership Increases'!K14-'BART Forecast'!L12</f>
        <v>17156</v>
      </c>
      <c r="L12" s="52">
        <f t="shared" si="0"/>
        <v>236825.79999999993</v>
      </c>
    </row>
    <row r="13" spans="1:13" x14ac:dyDescent="0.35">
      <c r="A13" s="40" t="s">
        <v>27</v>
      </c>
      <c r="B13" s="52">
        <f>'Grant-based Ridership Increases'!B15-'BART Forecast'!C13</f>
        <v>22847</v>
      </c>
      <c r="C13" s="52">
        <f>'Grant-based Ridership Increases'!C15-'BART Forecast'!D13</f>
        <v>13497</v>
      </c>
      <c r="D13" s="52">
        <f>'Grant-based Ridership Increases'!D15-'BART Forecast'!E13</f>
        <v>39790.800000000047</v>
      </c>
      <c r="E13" s="52">
        <f>'Grant-based Ridership Increases'!E15-'BART Forecast'!F13</f>
        <v>21753.199999999953</v>
      </c>
      <c r="F13" s="52">
        <f>'Grant-based Ridership Increases'!F15-'BART Forecast'!G13</f>
        <v>19708.199999999953</v>
      </c>
      <c r="G13" s="52">
        <f>'Grant-based Ridership Increases'!G15-'BART Forecast'!H13</f>
        <v>18310.599999999977</v>
      </c>
      <c r="H13" s="52">
        <f>'Grant-based Ridership Increases'!H15-'BART Forecast'!I13</f>
        <v>31418.199999999953</v>
      </c>
      <c r="I13" s="52">
        <f>'Grant-based Ridership Increases'!I15-'BART Forecast'!J13</f>
        <v>15654.800000000047</v>
      </c>
      <c r="J13" s="52">
        <f>'Grant-based Ridership Increases'!J15-'BART Forecast'!K13</f>
        <v>38882.399999999907</v>
      </c>
      <c r="K13" s="52">
        <f>'Grant-based Ridership Increases'!K15-'BART Forecast'!L13</f>
        <v>17327.200000000186</v>
      </c>
      <c r="L13" s="52">
        <f t="shared" si="0"/>
        <v>239189.40000000002</v>
      </c>
    </row>
    <row r="14" spans="1:13" x14ac:dyDescent="0.35">
      <c r="A14" s="40" t="s">
        <v>28</v>
      </c>
      <c r="B14" s="52">
        <f>'Grant-based Ridership Increases'!B16-'BART Forecast'!C14</f>
        <v>23073.600000000093</v>
      </c>
      <c r="C14" s="52">
        <f>'Grant-based Ridership Increases'!C16-'BART Forecast'!D14</f>
        <v>13632</v>
      </c>
      <c r="D14" s="52">
        <f>'Grant-based Ridership Increases'!D16-'BART Forecast'!E14</f>
        <v>40188.399999999907</v>
      </c>
      <c r="E14" s="52">
        <f>'Grant-based Ridership Increases'!E16-'BART Forecast'!F14</f>
        <v>21971.599999999977</v>
      </c>
      <c r="F14" s="52">
        <f>'Grant-based Ridership Increases'!F16-'BART Forecast'!G14</f>
        <v>19906.199999999953</v>
      </c>
      <c r="G14" s="52">
        <f>'Grant-based Ridership Increases'!G16-'BART Forecast'!H14</f>
        <v>18495.400000000023</v>
      </c>
      <c r="H14" s="52">
        <f>'Grant-based Ridership Increases'!H16-'BART Forecast'!I14</f>
        <v>31730.600000000093</v>
      </c>
      <c r="I14" s="52">
        <f>'Grant-based Ridership Increases'!I16-'BART Forecast'!J14</f>
        <v>15811.599999999977</v>
      </c>
      <c r="J14" s="52">
        <f>'Grant-based Ridership Increases'!J16-'BART Forecast'!K14</f>
        <v>39271.199999999953</v>
      </c>
      <c r="K14" s="52">
        <f>'Grant-based Ridership Increases'!K16-'BART Forecast'!L14</f>
        <v>17500.799999999814</v>
      </c>
      <c r="L14" s="52">
        <f t="shared" si="0"/>
        <v>241581.39999999979</v>
      </c>
    </row>
    <row r="15" spans="1:13" x14ac:dyDescent="0.35">
      <c r="A15" s="40" t="s">
        <v>29</v>
      </c>
      <c r="B15" s="52">
        <f>'Grant-based Ridership Increases'!B17-'BART Forecast'!C15</f>
        <v>25612.399999999907</v>
      </c>
      <c r="C15" s="52">
        <f>'Grant-based Ridership Increases'!C17-'BART Forecast'!D15</f>
        <v>15132</v>
      </c>
      <c r="D15" s="52">
        <f>'Grant-based Ridership Increases'!D17-'BART Forecast'!E15</f>
        <v>44609.600000000093</v>
      </c>
      <c r="E15" s="52">
        <f>'Grant-based Ridership Increases'!E17-'BART Forecast'!F15</f>
        <v>24388</v>
      </c>
      <c r="F15" s="52">
        <f>'Grant-based Ridership Increases'!F17-'BART Forecast'!G15</f>
        <v>22095</v>
      </c>
      <c r="G15" s="52">
        <f>'Grant-based Ridership Increases'!G17-'BART Forecast'!H15</f>
        <v>20528.199999999953</v>
      </c>
      <c r="H15" s="52">
        <f>'Grant-based Ridership Increases'!H17-'BART Forecast'!I15</f>
        <v>35222</v>
      </c>
      <c r="I15" s="52">
        <f>'Grant-based Ridership Increases'!I17-'BART Forecast'!J15</f>
        <v>17550.400000000023</v>
      </c>
      <c r="J15" s="52">
        <f>'Grant-based Ridership Increases'!J17-'BART Forecast'!K15</f>
        <v>43591.199999999953</v>
      </c>
      <c r="K15" s="52">
        <f>'Grant-based Ridership Increases'!K17-'BART Forecast'!L15</f>
        <v>19425.600000000093</v>
      </c>
      <c r="L15" s="52">
        <f t="shared" si="0"/>
        <v>268154.40000000002</v>
      </c>
    </row>
    <row r="16" spans="1:13" x14ac:dyDescent="0.35">
      <c r="A16" s="40" t="s">
        <v>31</v>
      </c>
      <c r="B16" s="52">
        <f>'Grant-based Ridership Increases'!B18-'BART Forecast'!C16</f>
        <v>25869.800000000047</v>
      </c>
      <c r="C16" s="52">
        <f>'Grant-based Ridership Increases'!C18-'BART Forecast'!D16</f>
        <v>15283</v>
      </c>
      <c r="D16" s="52">
        <f>'Grant-based Ridership Increases'!D18-'BART Forecast'!E16</f>
        <v>45057.600000000093</v>
      </c>
      <c r="E16" s="52">
        <f>'Grant-based Ridership Increases'!E18-'BART Forecast'!F16</f>
        <v>24631.599999999977</v>
      </c>
      <c r="F16" s="52">
        <f>'Grant-based Ridership Increases'!F18-'BART Forecast'!G16</f>
        <v>22316.399999999907</v>
      </c>
      <c r="G16" s="52">
        <f>'Grant-based Ridership Increases'!G18-'BART Forecast'!H16</f>
        <v>20735</v>
      </c>
      <c r="H16" s="52">
        <f>'Grant-based Ridership Increases'!H18-'BART Forecast'!I16</f>
        <v>35574</v>
      </c>
      <c r="I16" s="52">
        <f>'Grant-based Ridership Increases'!I18-'BART Forecast'!J16</f>
        <v>17726.800000000047</v>
      </c>
      <c r="J16" s="52">
        <f>'Grant-based Ridership Increases'!J18-'BART Forecast'!K16</f>
        <v>44028</v>
      </c>
      <c r="K16" s="52">
        <f>'Grant-based Ridership Increases'!K18-'BART Forecast'!L16</f>
        <v>19620</v>
      </c>
      <c r="L16" s="52">
        <f t="shared" si="0"/>
        <v>270842.20000000007</v>
      </c>
    </row>
    <row r="17" spans="1:12" x14ac:dyDescent="0.35">
      <c r="A17" s="40" t="s">
        <v>32</v>
      </c>
      <c r="B17" s="52">
        <f>'Grant-based Ridership Increases'!B19-'BART Forecast'!C17</f>
        <v>26127.199999999953</v>
      </c>
      <c r="C17" s="52">
        <f>'Grant-based Ridership Increases'!C19-'BART Forecast'!D17</f>
        <v>15436</v>
      </c>
      <c r="D17" s="52">
        <f>'Grant-based Ridership Increases'!D19-'BART Forecast'!E17</f>
        <v>45508.399999999907</v>
      </c>
      <c r="E17" s="52">
        <f>'Grant-based Ridership Increases'!E19-'BART Forecast'!F17</f>
        <v>24878</v>
      </c>
      <c r="F17" s="52">
        <f>'Grant-based Ridership Increases'!F19-'BART Forecast'!G17</f>
        <v>22539.600000000093</v>
      </c>
      <c r="G17" s="52">
        <f>'Grant-based Ridership Increases'!G19-'BART Forecast'!H17</f>
        <v>20941.800000000047</v>
      </c>
      <c r="H17" s="52">
        <f>'Grant-based Ridership Increases'!H19-'BART Forecast'!I17</f>
        <v>35930.399999999907</v>
      </c>
      <c r="I17" s="52">
        <f>'Grant-based Ridership Increases'!I19-'BART Forecast'!J17</f>
        <v>17903.199999999953</v>
      </c>
      <c r="J17" s="52">
        <f>'Grant-based Ridership Increases'!J19-'BART Forecast'!K17</f>
        <v>44467.199999999953</v>
      </c>
      <c r="K17" s="52">
        <f>'Grant-based Ridership Increases'!K19-'BART Forecast'!L17</f>
        <v>19816</v>
      </c>
      <c r="L17" s="52">
        <f t="shared" si="0"/>
        <v>273547.79999999981</v>
      </c>
    </row>
    <row r="18" spans="1:12" x14ac:dyDescent="0.35">
      <c r="A18" s="40" t="s">
        <v>33</v>
      </c>
      <c r="B18" s="52">
        <f>'Grant-based Ridership Increases'!B20-'BART Forecast'!C18</f>
        <v>26389</v>
      </c>
      <c r="C18" s="52">
        <f>'Grant-based Ridership Increases'!C20-'BART Forecast'!D18</f>
        <v>15590</v>
      </c>
      <c r="D18" s="52">
        <f>'Grant-based Ridership Increases'!D20-'BART Forecast'!E18</f>
        <v>45962</v>
      </c>
      <c r="E18" s="52">
        <f>'Grant-based Ridership Increases'!E20-'BART Forecast'!F18</f>
        <v>25127.199999999953</v>
      </c>
      <c r="F18" s="52">
        <f>'Grant-based Ridership Increases'!F20-'BART Forecast'!G18</f>
        <v>22764.600000000093</v>
      </c>
      <c r="G18" s="52">
        <f>'Grant-based Ridership Increases'!G20-'BART Forecast'!H18</f>
        <v>21150.800000000047</v>
      </c>
      <c r="H18" s="52">
        <f>'Grant-based Ridership Increases'!H20-'BART Forecast'!I18</f>
        <v>36289</v>
      </c>
      <c r="I18" s="52">
        <f>'Grant-based Ridership Increases'!I20-'BART Forecast'!J18</f>
        <v>18082.400000000023</v>
      </c>
      <c r="J18" s="52">
        <f>'Grant-based Ridership Increases'!J20-'BART Forecast'!K18</f>
        <v>44911.199999999953</v>
      </c>
      <c r="K18" s="52">
        <f>'Grant-based Ridership Increases'!K20-'BART Forecast'!L18</f>
        <v>20014.399999999907</v>
      </c>
      <c r="L18" s="52">
        <f t="shared" si="0"/>
        <v>276280.59999999998</v>
      </c>
    </row>
    <row r="19" spans="1:12" x14ac:dyDescent="0.35">
      <c r="A19" s="40" t="s">
        <v>34</v>
      </c>
      <c r="B19" s="52">
        <f>'Grant-based Ridership Increases'!B21-'BART Forecast'!C19</f>
        <v>26653</v>
      </c>
      <c r="C19" s="52">
        <f>'Grant-based Ridership Increases'!C21-'BART Forecast'!D19</f>
        <v>15746</v>
      </c>
      <c r="D19" s="52">
        <f>'Grant-based Ridership Increases'!D21-'BART Forecast'!E19</f>
        <v>46421.199999999953</v>
      </c>
      <c r="E19" s="52">
        <f>'Grant-based Ridership Increases'!E21-'BART Forecast'!F19</f>
        <v>25379.199999999953</v>
      </c>
      <c r="F19" s="52">
        <f>'Grant-based Ridership Increases'!F21-'BART Forecast'!G19</f>
        <v>22993.199999999953</v>
      </c>
      <c r="G19" s="52">
        <f>'Grant-based Ridership Increases'!G21-'BART Forecast'!H19</f>
        <v>21362</v>
      </c>
      <c r="H19" s="52">
        <f>'Grant-based Ridership Increases'!H21-'BART Forecast'!I19</f>
        <v>36652</v>
      </c>
      <c r="I19" s="52">
        <f>'Grant-based Ridership Increases'!I21-'BART Forecast'!J19</f>
        <v>18264.400000000023</v>
      </c>
      <c r="J19" s="52">
        <f>'Grant-based Ridership Increases'!J21-'BART Forecast'!K19</f>
        <v>45360</v>
      </c>
      <c r="K19" s="52">
        <f>'Grant-based Ridership Increases'!K21-'BART Forecast'!L19</f>
        <v>20214.399999999907</v>
      </c>
      <c r="L19" s="52">
        <f t="shared" si="0"/>
        <v>279045.39999999979</v>
      </c>
    </row>
    <row r="20" spans="1:12" x14ac:dyDescent="0.35">
      <c r="A20" s="40" t="s">
        <v>35</v>
      </c>
      <c r="B20" s="52">
        <f>'Grant-based Ridership Increases'!B22-'BART Forecast'!C20</f>
        <v>31983.600000000093</v>
      </c>
      <c r="C20" s="52">
        <f>'Grant-based Ridership Increases'!C22-'BART Forecast'!D20</f>
        <v>18896</v>
      </c>
      <c r="D20" s="52">
        <f>'Grant-based Ridership Increases'!D22-'BART Forecast'!E20</f>
        <v>55706</v>
      </c>
      <c r="E20" s="52">
        <f>'Grant-based Ridership Increases'!E22-'BART Forecast'!F20</f>
        <v>30452.800000000047</v>
      </c>
      <c r="F20" s="52">
        <f>'Grant-based Ridership Increases'!F22-'BART Forecast'!G20</f>
        <v>27592.199999999953</v>
      </c>
      <c r="G20" s="52">
        <f>'Grant-based Ridership Increases'!G22-'BART Forecast'!H20</f>
        <v>25634.399999999907</v>
      </c>
      <c r="H20" s="52">
        <f>'Grant-based Ridership Increases'!H22-'BART Forecast'!I20</f>
        <v>43982.399999999907</v>
      </c>
      <c r="I20" s="52">
        <f>'Grant-based Ridership Increases'!I22-'BART Forecast'!J20</f>
        <v>21915.599999999977</v>
      </c>
      <c r="J20" s="52">
        <f>'Grant-based Ridership Increases'!J22-'BART Forecast'!K20</f>
        <v>54434.399999999907</v>
      </c>
      <c r="K20" s="52">
        <f>'Grant-based Ridership Increases'!K22-'BART Forecast'!L20</f>
        <v>24257.600000000093</v>
      </c>
      <c r="L20" s="52">
        <f t="shared" si="0"/>
        <v>334854.99999999988</v>
      </c>
    </row>
    <row r="21" spans="1:12" x14ac:dyDescent="0.35">
      <c r="A21" s="40" t="s">
        <v>37</v>
      </c>
      <c r="B21" s="52">
        <f>'Grant-based Ridership Increases'!B23-'BART Forecast'!C21</f>
        <v>33583</v>
      </c>
      <c r="C21" s="52">
        <f>'Grant-based Ridership Increases'!C23-'BART Forecast'!D21</f>
        <v>19840</v>
      </c>
      <c r="D21" s="52">
        <f>'Grant-based Ridership Increases'!D23-'BART Forecast'!E21</f>
        <v>58492</v>
      </c>
      <c r="E21" s="52">
        <f>'Grant-based Ridership Increases'!E23-'BART Forecast'!F21</f>
        <v>31976</v>
      </c>
      <c r="F21" s="52">
        <f>'Grant-based Ridership Increases'!F23-'BART Forecast'!G21</f>
        <v>28971</v>
      </c>
      <c r="G21" s="52">
        <f>'Grant-based Ridership Increases'!G23-'BART Forecast'!H21</f>
        <v>26917</v>
      </c>
      <c r="H21" s="52">
        <f>'Grant-based Ridership Increases'!H23-'BART Forecast'!I21</f>
        <v>46182.399999999907</v>
      </c>
      <c r="I21" s="52">
        <f>'Grant-based Ridership Increases'!I23-'BART Forecast'!J21</f>
        <v>23013.199999999953</v>
      </c>
      <c r="J21" s="52">
        <f>'Grant-based Ridership Increases'!J23-'BART Forecast'!K21</f>
        <v>57156</v>
      </c>
      <c r="K21" s="52">
        <f>'Grant-based Ridership Increases'!K23-'BART Forecast'!L21</f>
        <v>25470.399999999907</v>
      </c>
      <c r="L21" s="52">
        <f t="shared" si="0"/>
        <v>351600.99999999977</v>
      </c>
    </row>
    <row r="22" spans="1:12" x14ac:dyDescent="0.35">
      <c r="A22" s="40" t="s">
        <v>38</v>
      </c>
      <c r="B22" s="52">
        <f>'Grant-based Ridership Increases'!B24-'BART Forecast'!C22</f>
        <v>35261.600000000093</v>
      </c>
      <c r="C22" s="52">
        <f>'Grant-based Ridership Increases'!C24-'BART Forecast'!D22</f>
        <v>20832</v>
      </c>
      <c r="D22" s="52">
        <f>'Grant-based Ridership Increases'!D24-'BART Forecast'!E22</f>
        <v>61415.200000000186</v>
      </c>
      <c r="E22" s="52">
        <f>'Grant-based Ridership Increases'!E24-'BART Forecast'!F22</f>
        <v>33574.800000000047</v>
      </c>
      <c r="F22" s="52">
        <f>'Grant-based Ridership Increases'!F24-'BART Forecast'!G22</f>
        <v>30420</v>
      </c>
      <c r="G22" s="52">
        <f>'Grant-based Ridership Increases'!G24-'BART Forecast'!H22</f>
        <v>28263.399999999907</v>
      </c>
      <c r="H22" s="52">
        <f>'Grant-based Ridership Increases'!H24-'BART Forecast'!I22</f>
        <v>48490.200000000186</v>
      </c>
      <c r="I22" s="52">
        <f>'Grant-based Ridership Increases'!I24-'BART Forecast'!J22</f>
        <v>24164</v>
      </c>
      <c r="J22" s="52">
        <f>'Grant-based Ridership Increases'!J24-'BART Forecast'!K22</f>
        <v>60012</v>
      </c>
      <c r="K22" s="52">
        <f>'Grant-based Ridership Increases'!K24-'BART Forecast'!L22</f>
        <v>26744</v>
      </c>
      <c r="L22" s="52">
        <f t="shared" si="0"/>
        <v>369177.20000000042</v>
      </c>
    </row>
    <row r="23" spans="1:12" x14ac:dyDescent="0.35">
      <c r="A23" s="40" t="s">
        <v>39</v>
      </c>
      <c r="B23" s="52">
        <f>'Grant-based Ridership Increases'!B25-'BART Forecast'!C23</f>
        <v>37023.800000000047</v>
      </c>
      <c r="C23" s="52">
        <f>'Grant-based Ridership Increases'!C25-'BART Forecast'!D23</f>
        <v>21874</v>
      </c>
      <c r="D23" s="52">
        <f>'Grant-based Ridership Increases'!D25-'BART Forecast'!E23</f>
        <v>64486.799999999814</v>
      </c>
      <c r="E23" s="52">
        <f>'Grant-based Ridership Increases'!E25-'BART Forecast'!F23</f>
        <v>35254.800000000047</v>
      </c>
      <c r="F23" s="52">
        <f>'Grant-based Ridership Increases'!F25-'BART Forecast'!G23</f>
        <v>31941</v>
      </c>
      <c r="G23" s="52">
        <f>'Grant-based Ridership Increases'!G25-'BART Forecast'!H23</f>
        <v>29675.800000000047</v>
      </c>
      <c r="H23" s="52">
        <f>'Grant-based Ridership Increases'!H25-'BART Forecast'!I23</f>
        <v>50914.600000000093</v>
      </c>
      <c r="I23" s="52">
        <f>'Grant-based Ridership Increases'!I25-'BART Forecast'!J23</f>
        <v>25370.800000000047</v>
      </c>
      <c r="J23" s="52">
        <f>'Grant-based Ridership Increases'!J25-'BART Forecast'!K23</f>
        <v>63014.399999999907</v>
      </c>
      <c r="K23" s="52">
        <f>'Grant-based Ridership Increases'!K25-'BART Forecast'!L23</f>
        <v>28080.799999999814</v>
      </c>
      <c r="L23" s="52">
        <f t="shared" si="0"/>
        <v>387636.79999999981</v>
      </c>
    </row>
    <row r="24" spans="1:12" x14ac:dyDescent="0.35">
      <c r="A24" s="40" t="s">
        <v>40</v>
      </c>
      <c r="B24" s="52">
        <f>'Grant-based Ridership Increases'!B26-'BART Forecast'!C24</f>
        <v>38504.399999999907</v>
      </c>
      <c r="C24" s="52">
        <f>'Grant-based Ridership Increases'!C26-'BART Forecast'!D24</f>
        <v>22749</v>
      </c>
      <c r="D24" s="52">
        <f>'Grant-based Ridership Increases'!D26-'BART Forecast'!E24</f>
        <v>67065.600000000093</v>
      </c>
      <c r="E24" s="52">
        <f>'Grant-based Ridership Increases'!E26-'BART Forecast'!F24</f>
        <v>36663.199999999953</v>
      </c>
      <c r="F24" s="52">
        <f>'Grant-based Ridership Increases'!F26-'BART Forecast'!G24</f>
        <v>33217.199999999953</v>
      </c>
      <c r="G24" s="52">
        <f>'Grant-based Ridership Increases'!G26-'BART Forecast'!H24</f>
        <v>30863.800000000047</v>
      </c>
      <c r="H24" s="52">
        <f>'Grant-based Ridership Increases'!H26-'BART Forecast'!I24</f>
        <v>52951.799999999814</v>
      </c>
      <c r="I24" s="52">
        <f>'Grant-based Ridership Increases'!I26-'BART Forecast'!J24</f>
        <v>26384.400000000023</v>
      </c>
      <c r="J24" s="52">
        <f>'Grant-based Ridership Increases'!J26-'BART Forecast'!K24</f>
        <v>65534.399999999907</v>
      </c>
      <c r="K24" s="52">
        <f>'Grant-based Ridership Increases'!K26-'BART Forecast'!L24</f>
        <v>29204</v>
      </c>
      <c r="L24" s="52">
        <f t="shared" si="0"/>
        <v>403137.7999999997</v>
      </c>
    </row>
    <row r="25" spans="1:12" x14ac:dyDescent="0.35">
      <c r="A25" s="40" t="s">
        <v>41</v>
      </c>
      <c r="B25" s="52">
        <f>'Grant-based Ridership Increases'!B27-'BART Forecast'!C25</f>
        <v>40046.600000000093</v>
      </c>
      <c r="C25" s="52">
        <f>'Grant-based Ridership Increases'!C27-'BART Forecast'!D25</f>
        <v>23659</v>
      </c>
      <c r="D25" s="52">
        <f>'Grant-based Ridership Increases'!D27-'BART Forecast'!E25</f>
        <v>69748</v>
      </c>
      <c r="E25" s="52">
        <f>'Grant-based Ridership Increases'!E27-'BART Forecast'!F25</f>
        <v>38130.399999999907</v>
      </c>
      <c r="F25" s="52">
        <f>'Grant-based Ridership Increases'!F27-'BART Forecast'!G25</f>
        <v>34547.399999999907</v>
      </c>
      <c r="G25" s="52">
        <f>'Grant-based Ridership Increases'!G27-'BART Forecast'!H25</f>
        <v>32098</v>
      </c>
      <c r="H25" s="52">
        <f>'Grant-based Ridership Increases'!H27-'BART Forecast'!I25</f>
        <v>55070.399999999907</v>
      </c>
      <c r="I25" s="52">
        <f>'Grant-based Ridership Increases'!I27-'BART Forecast'!J25</f>
        <v>27440</v>
      </c>
      <c r="J25" s="52">
        <f>'Grant-based Ridership Increases'!J27-'BART Forecast'!K25</f>
        <v>68155.200000000186</v>
      </c>
      <c r="K25" s="52">
        <f>'Grant-based Ridership Increases'!K27-'BART Forecast'!L25</f>
        <v>30372</v>
      </c>
      <c r="L25" s="52">
        <f t="shared" si="0"/>
        <v>419267</v>
      </c>
    </row>
    <row r="26" spans="1:12" x14ac:dyDescent="0.35">
      <c r="A26" s="40" t="s">
        <v>42</v>
      </c>
      <c r="B26" s="52">
        <f>'Grant-based Ridership Increases'!B28-'BART Forecast'!C26</f>
        <v>41648.199999999953</v>
      </c>
      <c r="C26" s="52">
        <f>'Grant-based Ridership Increases'!C28-'BART Forecast'!D26</f>
        <v>24605</v>
      </c>
      <c r="D26" s="52">
        <f>'Grant-based Ridership Increases'!D28-'BART Forecast'!E26</f>
        <v>72539.600000000093</v>
      </c>
      <c r="E26" s="52">
        <f>'Grant-based Ridership Increases'!E28-'BART Forecast'!F26</f>
        <v>39656.399999999907</v>
      </c>
      <c r="F26" s="52">
        <f>'Grant-based Ridership Increases'!F28-'BART Forecast'!G26</f>
        <v>35928</v>
      </c>
      <c r="G26" s="52">
        <f>'Grant-based Ridership Increases'!G28-'BART Forecast'!H26</f>
        <v>33380.600000000093</v>
      </c>
      <c r="H26" s="52">
        <f>'Grant-based Ridership Increases'!H28-'BART Forecast'!I26</f>
        <v>57272.600000000093</v>
      </c>
      <c r="I26" s="52">
        <f>'Grant-based Ridership Increases'!I28-'BART Forecast'!J26</f>
        <v>28537.599999999977</v>
      </c>
      <c r="J26" s="52">
        <f>'Grant-based Ridership Increases'!J28-'BART Forecast'!K26</f>
        <v>70881.600000000093</v>
      </c>
      <c r="K26" s="52">
        <f>'Grant-based Ridership Increases'!K28-'BART Forecast'!L26</f>
        <v>31587.200000000186</v>
      </c>
      <c r="L26" s="52">
        <f t="shared" si="0"/>
        <v>436036.8000000004</v>
      </c>
    </row>
    <row r="27" spans="1:12" x14ac:dyDescent="0.35">
      <c r="A27" s="40" t="s">
        <v>43</v>
      </c>
      <c r="B27" s="52">
        <f>'Grant-based Ridership Increases'!B29-'BART Forecast'!C27</f>
        <v>43313.600000000093</v>
      </c>
      <c r="C27" s="52">
        <f>'Grant-based Ridership Increases'!C29-'BART Forecast'!D27</f>
        <v>25589</v>
      </c>
      <c r="D27" s="52">
        <f>'Grant-based Ridership Increases'!D29-'BART Forecast'!E27</f>
        <v>75440.399999999907</v>
      </c>
      <c r="E27" s="52">
        <f>'Grant-based Ridership Increases'!E29-'BART Forecast'!F27</f>
        <v>41241.199999999953</v>
      </c>
      <c r="F27" s="52">
        <f>'Grant-based Ridership Increases'!F29-'BART Forecast'!G27</f>
        <v>37366.200000000186</v>
      </c>
      <c r="G27" s="52">
        <f>'Grant-based Ridership Increases'!G29-'BART Forecast'!H27</f>
        <v>34716</v>
      </c>
      <c r="H27" s="52">
        <f>'Grant-based Ridership Increases'!H29-'BART Forecast'!I27</f>
        <v>59562.799999999814</v>
      </c>
      <c r="I27" s="52">
        <f>'Grant-based Ridership Increases'!I29-'BART Forecast'!J27</f>
        <v>29680</v>
      </c>
      <c r="J27" s="52">
        <f>'Grant-based Ridership Increases'!J29-'BART Forecast'!K27</f>
        <v>73716</v>
      </c>
      <c r="K27" s="52">
        <f>'Grant-based Ridership Increases'!K29-'BART Forecast'!L27</f>
        <v>32850.399999999907</v>
      </c>
      <c r="L27" s="52">
        <f t="shared" si="0"/>
        <v>453475.59999999986</v>
      </c>
    </row>
    <row r="28" spans="1:12" x14ac:dyDescent="0.35">
      <c r="A28" s="40" t="s">
        <v>44</v>
      </c>
      <c r="B28" s="52">
        <f>'Grant-based Ridership Increases'!B30-'BART Forecast'!C28</f>
        <v>45045</v>
      </c>
      <c r="C28" s="52">
        <f>'Grant-based Ridership Increases'!C30-'BART Forecast'!D28</f>
        <v>26613</v>
      </c>
      <c r="D28" s="52">
        <f>'Grant-based Ridership Increases'!D30-'BART Forecast'!E28</f>
        <v>78458.799999999814</v>
      </c>
      <c r="E28" s="52">
        <f>'Grant-based Ridership Increases'!E30-'BART Forecast'!F28</f>
        <v>42890.399999999907</v>
      </c>
      <c r="F28" s="52">
        <f>'Grant-based Ridership Increases'!F30-'BART Forecast'!G28</f>
        <v>38860.200000000186</v>
      </c>
      <c r="G28" s="52">
        <f>'Grant-based Ridership Increases'!G30-'BART Forecast'!H28</f>
        <v>36106.399999999907</v>
      </c>
      <c r="H28" s="52">
        <f>'Grant-based Ridership Increases'!H30-'BART Forecast'!I28</f>
        <v>61945.399999999907</v>
      </c>
      <c r="I28" s="52">
        <f>'Grant-based Ridership Increases'!I30-'BART Forecast'!J28</f>
        <v>30867.199999999953</v>
      </c>
      <c r="J28" s="52">
        <f>'Grant-based Ridership Increases'!J30-'BART Forecast'!K28</f>
        <v>76665.600000000093</v>
      </c>
      <c r="K28" s="52">
        <f>'Grant-based Ridership Increases'!K30-'BART Forecast'!L28</f>
        <v>34164.799999999814</v>
      </c>
      <c r="L28" s="52">
        <f t="shared" si="0"/>
        <v>471616.79999999958</v>
      </c>
    </row>
    <row r="29" spans="1:12" x14ac:dyDescent="0.35">
      <c r="A29" s="40" t="s">
        <v>45</v>
      </c>
      <c r="B29" s="52">
        <f>'Grant-based Ridership Increases'!B31-'BART Forecast'!C29</f>
        <v>46846.799999999814</v>
      </c>
      <c r="C29" s="52">
        <f>'Grant-based Ridership Increases'!C31-'BART Forecast'!D29</f>
        <v>27677</v>
      </c>
      <c r="D29" s="52">
        <f>'Grant-based Ridership Increases'!D31-'BART Forecast'!E29</f>
        <v>81594.799999999814</v>
      </c>
      <c r="E29" s="52">
        <f>'Grant-based Ridership Increases'!E31-'BART Forecast'!F29</f>
        <v>44606.800000000047</v>
      </c>
      <c r="F29" s="52">
        <f>'Grant-based Ridership Increases'!F31-'BART Forecast'!G29</f>
        <v>40415.399999999907</v>
      </c>
      <c r="G29" s="52">
        <f>'Grant-based Ridership Increases'!G31-'BART Forecast'!H29</f>
        <v>37549.600000000093</v>
      </c>
      <c r="H29" s="52">
        <f>'Grant-based Ridership Increases'!H31-'BART Forecast'!I29</f>
        <v>64422.600000000093</v>
      </c>
      <c r="I29" s="52">
        <f>'Grant-based Ridership Increases'!I31-'BART Forecast'!J29</f>
        <v>32102</v>
      </c>
      <c r="J29" s="52">
        <f>'Grant-based Ridership Increases'!J31-'BART Forecast'!K29</f>
        <v>79730.399999999907</v>
      </c>
      <c r="K29" s="52">
        <f>'Grant-based Ridership Increases'!K31-'BART Forecast'!L29</f>
        <v>35531.200000000186</v>
      </c>
      <c r="L29" s="52">
        <f t="shared" si="0"/>
        <v>490476.59999999986</v>
      </c>
    </row>
    <row r="30" spans="1:12" x14ac:dyDescent="0.35">
      <c r="A30" s="40" t="s">
        <v>46</v>
      </c>
      <c r="B30" s="52">
        <f>'Grant-based Ridership Increases'!B32-'BART Forecast'!C30</f>
        <v>48721.200000000186</v>
      </c>
      <c r="C30" s="52">
        <f>'Grant-based Ridership Increases'!C32-'BART Forecast'!D30</f>
        <v>28784</v>
      </c>
      <c r="D30" s="52">
        <f>'Grant-based Ridership Increases'!D32-'BART Forecast'!E30</f>
        <v>84859.600000000093</v>
      </c>
      <c r="E30" s="52">
        <f>'Grant-based Ridership Increases'!E32-'BART Forecast'!F30</f>
        <v>46390.399999999907</v>
      </c>
      <c r="F30" s="52">
        <f>'Grant-based Ridership Increases'!F32-'BART Forecast'!G30</f>
        <v>42031.799999999814</v>
      </c>
      <c r="G30" s="52">
        <f>'Grant-based Ridership Increases'!G32-'BART Forecast'!H30</f>
        <v>39052.199999999953</v>
      </c>
      <c r="H30" s="52">
        <f>'Grant-based Ridership Increases'!H32-'BART Forecast'!I30</f>
        <v>67001</v>
      </c>
      <c r="I30" s="52">
        <f>'Grant-based Ridership Increases'!I32-'BART Forecast'!J30</f>
        <v>33387.199999999953</v>
      </c>
      <c r="J30" s="52">
        <f>'Grant-based Ridership Increases'!J32-'BART Forecast'!K30</f>
        <v>82920</v>
      </c>
      <c r="K30" s="52">
        <f>'Grant-based Ridership Increases'!K32-'BART Forecast'!L30</f>
        <v>36952</v>
      </c>
      <c r="L30" s="52">
        <f t="shared" si="0"/>
        <v>510099.39999999991</v>
      </c>
    </row>
    <row r="31" spans="1:12" x14ac:dyDescent="0.35">
      <c r="A31" s="40" t="s">
        <v>47</v>
      </c>
      <c r="B31" s="52">
        <f>'Grant-based Ridership Increases'!B33-'BART Forecast'!C31</f>
        <v>50670.399999999907</v>
      </c>
      <c r="C31" s="52">
        <f>'Grant-based Ridership Increases'!C33-'BART Forecast'!D31</f>
        <v>29936</v>
      </c>
      <c r="D31" s="52">
        <f>'Grant-based Ridership Increases'!D33-'BART Forecast'!E31</f>
        <v>88253.200000000186</v>
      </c>
      <c r="E31" s="52">
        <f>'Grant-based Ridership Increases'!E33-'BART Forecast'!F31</f>
        <v>48246.800000000047</v>
      </c>
      <c r="F31" s="52">
        <f>'Grant-based Ridership Increases'!F33-'BART Forecast'!G31</f>
        <v>43713</v>
      </c>
      <c r="G31" s="52">
        <f>'Grant-based Ridership Increases'!G33-'BART Forecast'!H31</f>
        <v>40614.199999999953</v>
      </c>
      <c r="H31" s="52">
        <f>'Grant-based Ridership Increases'!H33-'BART Forecast'!I31</f>
        <v>69680.600000000093</v>
      </c>
      <c r="I31" s="52">
        <f>'Grant-based Ridership Increases'!I33-'BART Forecast'!J31</f>
        <v>34720</v>
      </c>
      <c r="J31" s="52">
        <f>'Grant-based Ridership Increases'!J33-'BART Forecast'!K31</f>
        <v>86236.799999999814</v>
      </c>
      <c r="K31" s="52">
        <f>'Grant-based Ridership Increases'!K33-'BART Forecast'!L31</f>
        <v>38430.400000000373</v>
      </c>
      <c r="L31" s="52">
        <f t="shared" si="0"/>
        <v>530501.40000000037</v>
      </c>
    </row>
    <row r="32" spans="1:12" x14ac:dyDescent="0.35">
      <c r="A32" s="40" t="s">
        <v>48</v>
      </c>
      <c r="B32" s="52">
        <f>'Grant-based Ridership Increases'!B34-'BART Forecast'!C32</f>
        <v>52696.600000000093</v>
      </c>
      <c r="C32" s="52">
        <f>'Grant-based Ridership Increases'!C34-'BART Forecast'!D32</f>
        <v>31133</v>
      </c>
      <c r="D32" s="52">
        <f>'Grant-based Ridership Increases'!D34-'BART Forecast'!E32</f>
        <v>91784</v>
      </c>
      <c r="E32" s="52">
        <f>'Grant-based Ridership Increases'!E34-'BART Forecast'!F32</f>
        <v>50176</v>
      </c>
      <c r="F32" s="52">
        <f>'Grant-based Ridership Increases'!F34-'BART Forecast'!G32</f>
        <v>45460.799999999814</v>
      </c>
      <c r="G32" s="52">
        <f>'Grant-based Ridership Increases'!G34-'BART Forecast'!H32</f>
        <v>42237.800000000047</v>
      </c>
      <c r="H32" s="52">
        <f>'Grant-based Ridership Increases'!H34-'BART Forecast'!I32</f>
        <v>72468</v>
      </c>
      <c r="I32" s="52">
        <f>'Grant-based Ridership Increases'!I34-'BART Forecast'!J32</f>
        <v>36108.800000000047</v>
      </c>
      <c r="J32" s="52">
        <f>'Grant-based Ridership Increases'!J34-'BART Forecast'!K32</f>
        <v>89685.600000000093</v>
      </c>
      <c r="K32" s="52">
        <f>'Grant-based Ridership Increases'!K34-'BART Forecast'!L32</f>
        <v>39967.200000000186</v>
      </c>
      <c r="L32" s="52">
        <f t="shared" si="0"/>
        <v>551717.80000000028</v>
      </c>
    </row>
    <row r="33" spans="1:12" x14ac:dyDescent="0.35">
      <c r="A33" s="40" t="s">
        <v>49</v>
      </c>
      <c r="B33" s="52">
        <f>'Grant-based Ridership Increases'!B35-'BART Forecast'!C33</f>
        <v>54804.200000000186</v>
      </c>
      <c r="C33" s="52">
        <f>'Grant-based Ridership Increases'!C35-'BART Forecast'!D33</f>
        <v>32378</v>
      </c>
      <c r="D33" s="52">
        <f>'Grant-based Ridership Increases'!D35-'BART Forecast'!E33</f>
        <v>95454.799999999814</v>
      </c>
      <c r="E33" s="52">
        <f>'Grant-based Ridership Increases'!E35-'BART Forecast'!F33</f>
        <v>52183.600000000093</v>
      </c>
      <c r="F33" s="52">
        <f>'Grant-based Ridership Increases'!F35-'BART Forecast'!G33</f>
        <v>47278.799999999814</v>
      </c>
      <c r="G33" s="52">
        <f>'Grant-based Ridership Increases'!G35-'BART Forecast'!H33</f>
        <v>43927.399999999907</v>
      </c>
      <c r="H33" s="52">
        <f>'Grant-based Ridership Increases'!H35-'BART Forecast'!I33</f>
        <v>75365.399999999907</v>
      </c>
      <c r="I33" s="52">
        <f>'Grant-based Ridership Increases'!I35-'BART Forecast'!J33</f>
        <v>37553.600000000093</v>
      </c>
      <c r="J33" s="52">
        <f>'Grant-based Ridership Increases'!J35-'BART Forecast'!K33</f>
        <v>93273.600000000093</v>
      </c>
      <c r="K33" s="52">
        <f>'Grant-based Ridership Increases'!K35-'BART Forecast'!L33</f>
        <v>41566.400000000373</v>
      </c>
      <c r="L33" s="52">
        <f t="shared" si="0"/>
        <v>573785.80000000028</v>
      </c>
    </row>
    <row r="34" spans="1:12" x14ac:dyDescent="0.35">
      <c r="A34" s="40" t="s">
        <v>50</v>
      </c>
      <c r="B34" s="52">
        <f>'Grant-based Ridership Increases'!B36-'BART Forecast'!C34</f>
        <v>56997.600000000093</v>
      </c>
      <c r="C34" s="52">
        <f>'Grant-based Ridership Increases'!C36-'BART Forecast'!D34</f>
        <v>33673</v>
      </c>
      <c r="D34" s="52">
        <f>'Grant-based Ridership Increases'!D36-'BART Forecast'!E34</f>
        <v>99274</v>
      </c>
      <c r="E34" s="52">
        <f>'Grant-based Ridership Increases'!E36-'BART Forecast'!F34</f>
        <v>54269.600000000093</v>
      </c>
      <c r="F34" s="52">
        <f>'Grant-based Ridership Increases'!F36-'BART Forecast'!G34</f>
        <v>49170.600000000093</v>
      </c>
      <c r="G34" s="52">
        <f>'Grant-based Ridership Increases'!G36-'BART Forecast'!H34</f>
        <v>45685.200000000186</v>
      </c>
      <c r="H34" s="52">
        <f>'Grant-based Ridership Increases'!H36-'BART Forecast'!I34</f>
        <v>78381.600000000093</v>
      </c>
      <c r="I34" s="52">
        <f>'Grant-based Ridership Increases'!I36-'BART Forecast'!J34</f>
        <v>39057.199999999953</v>
      </c>
      <c r="J34" s="52">
        <f>'Grant-based Ridership Increases'!J36-'BART Forecast'!K34</f>
        <v>97005.600000000093</v>
      </c>
      <c r="K34" s="52">
        <f>'Grant-based Ridership Increases'!K36-'BART Forecast'!L34</f>
        <v>43228.799999999814</v>
      </c>
      <c r="L34" s="52">
        <f t="shared" si="0"/>
        <v>596743.20000000042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B22665-9532-492B-9557-79DE0C50E678}">
  <dimension ref="A1:M27"/>
  <sheetViews>
    <sheetView workbookViewId="0">
      <selection activeCell="F2" sqref="F2"/>
    </sheetView>
  </sheetViews>
  <sheetFormatPr defaultRowHeight="14.5" x14ac:dyDescent="0.35"/>
  <cols>
    <col min="1" max="1" width="8.7265625" style="40"/>
    <col min="2" max="2" width="53.453125" style="40" bestFit="1" customWidth="1"/>
    <col min="3" max="3" width="12.7265625" style="40" bestFit="1" customWidth="1"/>
    <col min="4" max="5" width="8.7265625" style="40"/>
    <col min="6" max="6" width="10.36328125" style="40" customWidth="1"/>
    <col min="7" max="7" width="10.36328125" style="40" bestFit="1" customWidth="1"/>
    <col min="8" max="8" width="8.7265625" style="40"/>
    <col min="9" max="9" width="11.54296875" style="40" customWidth="1"/>
    <col min="10" max="10" width="10.1796875" style="40" bestFit="1" customWidth="1"/>
    <col min="11" max="11" width="8.7265625" style="40"/>
    <col min="12" max="12" width="28.26953125" style="40" bestFit="1" customWidth="1"/>
    <col min="13" max="16384" width="8.7265625" style="40"/>
  </cols>
  <sheetData>
    <row r="1" spans="1:13" ht="29" x14ac:dyDescent="0.35">
      <c r="A1" s="51" t="s">
        <v>0</v>
      </c>
      <c r="B1" s="40" t="s">
        <v>51</v>
      </c>
      <c r="C1" s="40" t="s">
        <v>52</v>
      </c>
      <c r="E1" s="40" t="s">
        <v>92</v>
      </c>
      <c r="F1" s="55" t="s">
        <v>54</v>
      </c>
      <c r="L1" s="40" t="s">
        <v>53</v>
      </c>
      <c r="M1" s="40">
        <v>15.33</v>
      </c>
    </row>
    <row r="2" spans="1:13" x14ac:dyDescent="0.35">
      <c r="A2" s="40" t="s">
        <v>22</v>
      </c>
      <c r="B2" s="40">
        <f>'Avoided Trips'!L9*0.302</f>
        <v>64157.000800000096</v>
      </c>
      <c r="C2" s="60">
        <f>B2*$M$1*2</f>
        <v>1967053.6445280029</v>
      </c>
      <c r="E2" s="40">
        <v>2025</v>
      </c>
      <c r="F2" s="61">
        <f>$B2*INDEX('Emission Factors'!$10:$10,,MATCH(E2,'Emission Factors'!$2:$2,0))+$C2*INDEX('Emission Factors'!$6:$6,,MATCH(E2,'Emission Factors'!$2:$2,0))</f>
        <v>760.00235157370844</v>
      </c>
    </row>
    <row r="3" spans="1:13" x14ac:dyDescent="0.35">
      <c r="A3" s="40" t="s">
        <v>24</v>
      </c>
      <c r="B3" s="40">
        <f>'Avoided Trips'!L10*0.302</f>
        <v>68076.236000000004</v>
      </c>
      <c r="C3" s="60">
        <f t="shared" ref="C3:C27" si="0">B3*$M$1*2</f>
        <v>2087217.3957600002</v>
      </c>
      <c r="E3" s="40">
        <v>2026</v>
      </c>
      <c r="F3" s="61">
        <f>$B3*INDEX('Emission Factors'!$10:$10,,MATCH(E3,'Emission Factors'!$2:$2,0))+$C3*INDEX('Emission Factors'!$6:$6,,MATCH(E3,'Emission Factors'!$2:$2,0))</f>
        <v>806.74453368198294</v>
      </c>
    </row>
    <row r="4" spans="1:13" x14ac:dyDescent="0.35">
      <c r="A4" s="40" t="s">
        <v>25</v>
      </c>
      <c r="B4" s="40">
        <f>'Avoided Trips'!L11*0.302</f>
        <v>70117.333199999994</v>
      </c>
      <c r="C4" s="60">
        <f t="shared" si="0"/>
        <v>2149797.435912</v>
      </c>
      <c r="E4" s="40">
        <v>2027</v>
      </c>
      <c r="F4" s="61">
        <f>$B4*INDEX('Emission Factors'!$10:$10,,MATCH(E4,'Emission Factors'!$2:$2,0))+$C4*INDEX('Emission Factors'!$6:$6,,MATCH(E4,'Emission Factors'!$2:$2,0))</f>
        <v>831.25172394505705</v>
      </c>
    </row>
    <row r="5" spans="1:13" x14ac:dyDescent="0.35">
      <c r="A5" s="40" t="s">
        <v>26</v>
      </c>
      <c r="B5" s="40">
        <f>'Avoided Trips'!L12*0.302</f>
        <v>71521.391599999974</v>
      </c>
      <c r="C5" s="60">
        <f t="shared" si="0"/>
        <v>2192845.8664559992</v>
      </c>
      <c r="E5" s="40">
        <v>2028</v>
      </c>
      <c r="F5" s="61">
        <f>$B5*INDEX('Emission Factors'!$10:$10,,MATCH(E5,'Emission Factors'!$2:$2,0))+$C5*INDEX('Emission Factors'!$6:$6,,MATCH(E5,'Emission Factors'!$2:$2,0))</f>
        <v>848.22239325350222</v>
      </c>
    </row>
    <row r="6" spans="1:13" x14ac:dyDescent="0.35">
      <c r="A6" s="40" t="s">
        <v>27</v>
      </c>
      <c r="B6" s="40">
        <f>'Avoided Trips'!L13*0.302</f>
        <v>72235.198799999998</v>
      </c>
      <c r="C6" s="60">
        <f t="shared" si="0"/>
        <v>2214731.195208</v>
      </c>
      <c r="E6" s="40">
        <v>2029</v>
      </c>
      <c r="F6" s="61">
        <f>$B6*INDEX('Emission Factors'!$10:$10,,MATCH(E6,'Emission Factors'!$2:$2,0))+$C6*INDEX('Emission Factors'!$6:$6,,MATCH(E6,'Emission Factors'!$2:$2,0))</f>
        <v>857.01652291093149</v>
      </c>
    </row>
    <row r="7" spans="1:13" x14ac:dyDescent="0.35">
      <c r="A7" s="40" t="s">
        <v>28</v>
      </c>
      <c r="B7" s="40">
        <f>'Avoided Trips'!L14*0.302</f>
        <v>72957.582799999931</v>
      </c>
      <c r="C7" s="60">
        <f t="shared" si="0"/>
        <v>2236879.4886479978</v>
      </c>
      <c r="E7" s="40">
        <v>2030</v>
      </c>
      <c r="F7" s="61">
        <f>$B7*INDEX('Emission Factors'!$10:$10,,MATCH(E7,'Emission Factors'!$2:$2,0))+$C7*INDEX('Emission Factors'!$6:$6,,MATCH(E7,'Emission Factors'!$2:$2,0))</f>
        <v>865.91894293113057</v>
      </c>
      <c r="G7" s="62">
        <f>SUM(F2:F7)</f>
        <v>4969.1564682963126</v>
      </c>
    </row>
    <row r="8" spans="1:13" x14ac:dyDescent="0.35">
      <c r="A8" s="40" t="s">
        <v>29</v>
      </c>
      <c r="B8" s="40">
        <f>'Avoided Trips'!L15*0.302</f>
        <v>80982.628800000006</v>
      </c>
      <c r="C8" s="60">
        <f t="shared" si="0"/>
        <v>2482927.3990080003</v>
      </c>
      <c r="E8" s="40">
        <v>2031</v>
      </c>
      <c r="F8" s="61">
        <f>$B8*INDEX('Emission Factors'!$10:$10,,MATCH(E8,'Emission Factors'!$2:$2,0))+$C8*INDEX('Emission Factors'!$6:$6,,MATCH(E8,'Emission Factors'!$2:$2,0))</f>
        <v>961.534987088707</v>
      </c>
      <c r="G8" s="62"/>
    </row>
    <row r="9" spans="1:13" x14ac:dyDescent="0.35">
      <c r="A9" s="40" t="s">
        <v>31</v>
      </c>
      <c r="B9" s="40">
        <f>'Avoided Trips'!L16*0.302</f>
        <v>81794.344400000016</v>
      </c>
      <c r="C9" s="60">
        <f t="shared" si="0"/>
        <v>2507814.5993040004</v>
      </c>
      <c r="E9" s="40">
        <v>2032</v>
      </c>
      <c r="F9" s="61">
        <f>$B9*INDEX('Emission Factors'!$10:$10,,MATCH(E9,'Emission Factors'!$2:$2,0))+$C9*INDEX('Emission Factors'!$6:$6,,MATCH(E9,'Emission Factors'!$2:$2,0))</f>
        <v>971.54484174457411</v>
      </c>
      <c r="G9" s="62"/>
    </row>
    <row r="10" spans="1:13" x14ac:dyDescent="0.35">
      <c r="A10" s="40" t="s">
        <v>32</v>
      </c>
      <c r="B10" s="40">
        <f>'Avoided Trips'!L17*0.302</f>
        <v>82611.435599999939</v>
      </c>
      <c r="C10" s="60">
        <f t="shared" si="0"/>
        <v>2532866.6154959979</v>
      </c>
      <c r="E10" s="40">
        <v>2033</v>
      </c>
      <c r="F10" s="61">
        <f>$B10*INDEX('Emission Factors'!$10:$10,,MATCH(E10,'Emission Factors'!$2:$2,0))+$C10*INDEX('Emission Factors'!$6:$6,,MATCH(E10,'Emission Factors'!$2:$2,0))</f>
        <v>981.6259564664864</v>
      </c>
      <c r="G10" s="62"/>
    </row>
    <row r="11" spans="1:13" x14ac:dyDescent="0.35">
      <c r="A11" s="40" t="s">
        <v>33</v>
      </c>
      <c r="B11" s="40">
        <f>'Avoided Trips'!L18*0.302</f>
        <v>83436.741199999989</v>
      </c>
      <c r="C11" s="60">
        <f t="shared" si="0"/>
        <v>2558170.4851919995</v>
      </c>
      <c r="E11" s="40">
        <v>2034</v>
      </c>
      <c r="F11" s="61">
        <f>$B11*INDEX('Emission Factors'!$10:$10,,MATCH(E11,'Emission Factors'!$2:$2,0))+$C11*INDEX('Emission Factors'!$6:$6,,MATCH(E11,'Emission Factors'!$2:$2,0))</f>
        <v>991.81214941547967</v>
      </c>
      <c r="G11" s="62"/>
    </row>
    <row r="12" spans="1:13" x14ac:dyDescent="0.35">
      <c r="A12" s="40" t="s">
        <v>34</v>
      </c>
      <c r="B12" s="40">
        <f>'Avoided Trips'!L19*0.302</f>
        <v>84271.710799999928</v>
      </c>
      <c r="C12" s="60">
        <f t="shared" si="0"/>
        <v>2583770.6531279976</v>
      </c>
      <c r="E12" s="40">
        <v>2035</v>
      </c>
      <c r="F12" s="61">
        <f>$B12*INDEX('Emission Factors'!$10:$10,,MATCH(E12,'Emission Factors'!$2:$2,0))+$C12*INDEX('Emission Factors'!$6:$6,,MATCH(E12,'Emission Factors'!$2:$2,0))</f>
        <v>1002.277165228719</v>
      </c>
      <c r="G12" s="62"/>
    </row>
    <row r="13" spans="1:13" x14ac:dyDescent="0.35">
      <c r="A13" s="40" t="s">
        <v>35</v>
      </c>
      <c r="B13" s="40">
        <f>'Avoided Trips'!L20*0.302</f>
        <v>101126.20999999996</v>
      </c>
      <c r="C13" s="60">
        <f t="shared" si="0"/>
        <v>3100529.5985999987</v>
      </c>
      <c r="E13" s="40">
        <v>2036</v>
      </c>
      <c r="F13" s="61">
        <f>$B13*INDEX('Emission Factors'!$10:$10,,MATCH(E13,'Emission Factors'!$2:$2,0))+$C13*INDEX('Emission Factors'!$6:$6,,MATCH(E13,'Emission Factors'!$2:$2,0))</f>
        <v>1203.4388372218168</v>
      </c>
      <c r="G13" s="62"/>
    </row>
    <row r="14" spans="1:13" x14ac:dyDescent="0.35">
      <c r="A14" s="40" t="s">
        <v>37</v>
      </c>
      <c r="B14" s="40">
        <f>'Avoided Trips'!L21*0.302</f>
        <v>106183.50199999992</v>
      </c>
      <c r="C14" s="60">
        <f t="shared" si="0"/>
        <v>3255586.1713199974</v>
      </c>
      <c r="E14" s="40">
        <v>2037</v>
      </c>
      <c r="F14" s="61">
        <f>$B14*INDEX('Emission Factors'!$10:$10,,MATCH(E14,'Emission Factors'!$2:$2,0))+$C14*INDEX('Emission Factors'!$6:$6,,MATCH(E14,'Emission Factors'!$2:$2,0))</f>
        <v>1264.559115163976</v>
      </c>
      <c r="G14" s="62"/>
    </row>
    <row r="15" spans="1:13" x14ac:dyDescent="0.35">
      <c r="A15" s="40" t="s">
        <v>38</v>
      </c>
      <c r="B15" s="40">
        <f>'Avoided Trips'!L22*0.302</f>
        <v>111491.51440000012</v>
      </c>
      <c r="C15" s="60">
        <f t="shared" si="0"/>
        <v>3418329.8315040036</v>
      </c>
      <c r="E15" s="40">
        <v>2038</v>
      </c>
      <c r="F15" s="61">
        <f>$B15*INDEX('Emission Factors'!$10:$10,,MATCH(E15,'Emission Factors'!$2:$2,0))+$C15*INDEX('Emission Factors'!$6:$6,,MATCH(E15,'Emission Factors'!$2:$2,0))</f>
        <v>1328.7567025210658</v>
      </c>
      <c r="G15" s="62"/>
    </row>
    <row r="16" spans="1:13" x14ac:dyDescent="0.35">
      <c r="A16" s="40" t="s">
        <v>39</v>
      </c>
      <c r="B16" s="40">
        <f>'Avoided Trips'!L23*0.302</f>
        <v>117066.31359999994</v>
      </c>
      <c r="C16" s="60">
        <f t="shared" si="0"/>
        <v>3589253.1749759982</v>
      </c>
      <c r="E16" s="40">
        <v>2039</v>
      </c>
      <c r="F16" s="61">
        <f>$B16*INDEX('Emission Factors'!$10:$10,,MATCH(E16,'Emission Factors'!$2:$2,0))+$C16*INDEX('Emission Factors'!$6:$6,,MATCH(E16,'Emission Factors'!$2:$2,0))</f>
        <v>1396.2298553851492</v>
      </c>
      <c r="G16" s="62"/>
    </row>
    <row r="17" spans="1:7" x14ac:dyDescent="0.35">
      <c r="A17" s="40" t="s">
        <v>40</v>
      </c>
      <c r="B17" s="40">
        <f>'Avoided Trips'!L24*0.302</f>
        <v>121747.6155999999</v>
      </c>
      <c r="C17" s="60">
        <f t="shared" si="0"/>
        <v>3732781.894295997</v>
      </c>
      <c r="E17" s="40">
        <v>2040</v>
      </c>
      <c r="F17" s="61">
        <f>$B17*INDEX('Emission Factors'!$10:$10,,MATCH(E17,'Emission Factors'!$2:$2,0))+$C17*INDEX('Emission Factors'!$6:$6,,MATCH(E17,'Emission Factors'!$2:$2,0))</f>
        <v>1453.1368904542687</v>
      </c>
      <c r="G17" s="62"/>
    </row>
    <row r="18" spans="1:7" x14ac:dyDescent="0.35">
      <c r="A18" s="40" t="s">
        <v>41</v>
      </c>
      <c r="B18" s="40">
        <f>'Avoided Trips'!L25*0.302</f>
        <v>126618.63399999999</v>
      </c>
      <c r="C18" s="60">
        <f t="shared" si="0"/>
        <v>3882127.3184399996</v>
      </c>
      <c r="E18" s="40">
        <v>2041</v>
      </c>
      <c r="F18" s="61">
        <f>$B18*INDEX('Emission Factors'!$10:$10,,MATCH(E18,'Emission Factors'!$2:$2,0))+$C18*INDEX('Emission Factors'!$6:$6,,MATCH(E18,'Emission Factors'!$2:$2,0))</f>
        <v>1512.3925760402642</v>
      </c>
      <c r="G18" s="62"/>
    </row>
    <row r="19" spans="1:7" x14ac:dyDescent="0.35">
      <c r="A19" s="40" t="s">
        <v>42</v>
      </c>
      <c r="B19" s="40">
        <f>'Avoided Trips'!L26*0.302</f>
        <v>131683.11360000013</v>
      </c>
      <c r="C19" s="60">
        <f t="shared" si="0"/>
        <v>4037404.2629760038</v>
      </c>
      <c r="E19" s="40">
        <v>2042</v>
      </c>
      <c r="F19" s="61">
        <f>$B19*INDEX('Emission Factors'!$10:$10,,MATCH(E19,'Emission Factors'!$2:$2,0))+$C19*INDEX('Emission Factors'!$6:$6,,MATCH(E19,'Emission Factors'!$2:$2,0))</f>
        <v>1574.0466953557811</v>
      </c>
      <c r="G19" s="62"/>
    </row>
    <row r="20" spans="1:7" x14ac:dyDescent="0.35">
      <c r="A20" s="40" t="s">
        <v>43</v>
      </c>
      <c r="B20" s="40">
        <f>'Avoided Trips'!L27*0.302</f>
        <v>136949.63119999995</v>
      </c>
      <c r="C20" s="60">
        <f t="shared" si="0"/>
        <v>4198875.6925919987</v>
      </c>
      <c r="E20" s="40">
        <v>2043</v>
      </c>
      <c r="F20" s="61">
        <f>$B20*INDEX('Emission Factors'!$10:$10,,MATCH(E20,'Emission Factors'!$2:$2,0))+$C20*INDEX('Emission Factors'!$6:$6,,MATCH(E20,'Emission Factors'!$2:$2,0))</f>
        <v>1624.7650752720156</v>
      </c>
      <c r="G20" s="62"/>
    </row>
    <row r="21" spans="1:7" x14ac:dyDescent="0.35">
      <c r="A21" s="40" t="s">
        <v>44</v>
      </c>
      <c r="B21" s="40">
        <f>'Avoided Trips'!L28*0.302</f>
        <v>142428.27359999987</v>
      </c>
      <c r="C21" s="60">
        <f t="shared" si="0"/>
        <v>4366850.8685759958</v>
      </c>
      <c r="E21" s="40">
        <v>2044</v>
      </c>
      <c r="F21" s="61">
        <f>$B21*INDEX('Emission Factors'!$10:$10,,MATCH(E21,'Emission Factors'!$2:$2,0))+$C21*INDEX('Emission Factors'!$6:$6,,MATCH(E21,'Emission Factors'!$2:$2,0))</f>
        <v>1703.7594114629715</v>
      </c>
      <c r="G21" s="62"/>
    </row>
    <row r="22" spans="1:7" x14ac:dyDescent="0.35">
      <c r="A22" s="40" t="s">
        <v>45</v>
      </c>
      <c r="B22" s="40">
        <f>'Avoided Trips'!L29*0.302</f>
        <v>148123.93319999994</v>
      </c>
      <c r="C22" s="60">
        <f t="shared" si="0"/>
        <v>4541479.7919119978</v>
      </c>
      <c r="E22" s="40">
        <v>2045</v>
      </c>
      <c r="F22" s="61">
        <f>$B22*INDEX('Emission Factors'!$10:$10,,MATCH(E22,'Emission Factors'!$2:$2,0))+$C22*INDEX('Emission Factors'!$6:$6,,MATCH(E22,'Emission Factors'!$2:$2,0))</f>
        <v>1771.9091467650892</v>
      </c>
      <c r="G22" s="62"/>
    </row>
    <row r="23" spans="1:7" x14ac:dyDescent="0.35">
      <c r="A23" s="40" t="s">
        <v>46</v>
      </c>
      <c r="B23" s="40">
        <f>'Avoided Trips'!L30*0.302</f>
        <v>154050.01879999996</v>
      </c>
      <c r="C23" s="60">
        <f t="shared" si="0"/>
        <v>4723173.5764079988</v>
      </c>
      <c r="E23" s="40">
        <v>2046</v>
      </c>
      <c r="F23" s="61">
        <f>$B23*INDEX('Emission Factors'!$10:$10,,MATCH(E23,'Emission Factors'!$2:$2,0))+$C23*INDEX('Emission Factors'!$6:$6,,MATCH(E23,'Emission Factors'!$2:$2,0))</f>
        <v>1842.8166473114725</v>
      </c>
      <c r="G23" s="62"/>
    </row>
    <row r="24" spans="1:7" x14ac:dyDescent="0.35">
      <c r="A24" s="40" t="s">
        <v>47</v>
      </c>
      <c r="B24" s="40">
        <f>'Avoided Trips'!L31*0.302</f>
        <v>160211.42280000012</v>
      </c>
      <c r="C24" s="60">
        <f t="shared" si="0"/>
        <v>4912082.2230480034</v>
      </c>
      <c r="E24" s="40">
        <v>2047</v>
      </c>
      <c r="F24" s="61">
        <f>$B24*INDEX('Emission Factors'!$10:$10,,MATCH(E24,'Emission Factors'!$2:$2,0))+$C24*INDEX('Emission Factors'!$6:$6,,MATCH(E24,'Emission Factors'!$2:$2,0))</f>
        <v>1916.5405179320326</v>
      </c>
      <c r="G24" s="62"/>
    </row>
    <row r="25" spans="1:7" x14ac:dyDescent="0.35">
      <c r="A25" s="40" t="s">
        <v>48</v>
      </c>
      <c r="B25" s="40">
        <f>'Avoided Trips'!L32*0.302</f>
        <v>166618.77560000008</v>
      </c>
      <c r="C25" s="60">
        <f t="shared" si="0"/>
        <v>5108531.6598960022</v>
      </c>
      <c r="E25" s="40">
        <v>2048</v>
      </c>
      <c r="F25" s="61">
        <f>$B25*INDEX('Emission Factors'!$10:$10,,MATCH(E25,'Emission Factors'!$2:$2,0))+$C25*INDEX('Emission Factors'!$6:$6,,MATCH(E25,'Emission Factors'!$2:$2,0))</f>
        <v>1993.2080075865756</v>
      </c>
      <c r="G25" s="62"/>
    </row>
    <row r="26" spans="1:7" x14ac:dyDescent="0.35">
      <c r="A26" s="40" t="s">
        <v>49</v>
      </c>
      <c r="B26" s="40">
        <f>'Avoided Trips'!L33*0.302</f>
        <v>173283.31160000007</v>
      </c>
      <c r="C26" s="60">
        <f t="shared" si="0"/>
        <v>5312866.3336560018</v>
      </c>
      <c r="E26" s="40">
        <v>2049</v>
      </c>
      <c r="F26" s="61">
        <f>$B26*INDEX('Emission Factors'!$10:$10,,MATCH(E26,'Emission Factors'!$2:$2,0))+$C26*INDEX('Emission Factors'!$6:$6,,MATCH(E26,'Emission Factors'!$2:$2,0))</f>
        <v>2072.9535956345921</v>
      </c>
      <c r="G26" s="62"/>
    </row>
    <row r="27" spans="1:7" x14ac:dyDescent="0.35">
      <c r="A27" s="40" t="s">
        <v>50</v>
      </c>
      <c r="B27" s="40">
        <f>'Avoided Trips'!L34*0.302</f>
        <v>180216.44640000013</v>
      </c>
      <c r="C27" s="60">
        <f t="shared" si="0"/>
        <v>5525436.2466240041</v>
      </c>
      <c r="E27" s="40">
        <v>2050</v>
      </c>
      <c r="F27" s="61">
        <f>$B27*INDEX('Emission Factors'!$10:$10,,MATCH(E27,'Emission Factors'!$2:$2,0))+$C27*INDEX('Emission Factors'!$6:$6,,MATCH(E27,'Emission Factors'!$2:$2,0))</f>
        <v>2154.5092426855695</v>
      </c>
      <c r="G27" s="62">
        <f>SUM(F2:F27)</f>
        <v>34690.973885032916</v>
      </c>
    </row>
  </sheetData>
  <phoneticPr fontId="2" type="noConversion"/>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C648A8-AB75-4B8F-8014-AEF7A2F8ED96}">
  <sheetPr>
    <tabColor rgb="FF7030A0"/>
  </sheetPr>
  <dimension ref="A1:AA81"/>
  <sheetViews>
    <sheetView workbookViewId="0">
      <selection activeCell="B1" sqref="B1"/>
    </sheetView>
  </sheetViews>
  <sheetFormatPr defaultColWidth="8.54296875" defaultRowHeight="14.5" x14ac:dyDescent="0.35"/>
  <cols>
    <col min="1" max="1" width="40.54296875" bestFit="1" customWidth="1"/>
    <col min="2" max="4" width="17.81640625" bestFit="1" customWidth="1"/>
    <col min="5" max="5" width="18.7265625" customWidth="1"/>
    <col min="6" max="9" width="12" customWidth="1"/>
  </cols>
  <sheetData>
    <row r="1" spans="1:27" x14ac:dyDescent="0.35">
      <c r="A1" s="2" t="s">
        <v>61</v>
      </c>
      <c r="B1" s="2" t="s">
        <v>62</v>
      </c>
      <c r="C1" s="2" t="s">
        <v>63</v>
      </c>
      <c r="D1" s="2"/>
      <c r="E1" s="2" t="s">
        <v>64</v>
      </c>
      <c r="H1" s="2" t="s">
        <v>65</v>
      </c>
      <c r="I1" s="2"/>
      <c r="J1" s="3"/>
    </row>
    <row r="2" spans="1:27" x14ac:dyDescent="0.35">
      <c r="A2" s="4"/>
      <c r="B2" s="5">
        <v>2025</v>
      </c>
      <c r="C2" s="6">
        <v>2026</v>
      </c>
      <c r="D2" s="6">
        <v>2027</v>
      </c>
      <c r="E2" s="6">
        <v>2028</v>
      </c>
      <c r="F2" s="6">
        <v>2029</v>
      </c>
      <c r="G2" s="6">
        <v>2030</v>
      </c>
      <c r="H2" s="6">
        <v>2031</v>
      </c>
      <c r="I2" s="6">
        <v>2032</v>
      </c>
      <c r="J2" s="6">
        <v>2033</v>
      </c>
      <c r="K2" s="6">
        <v>2034</v>
      </c>
      <c r="L2" s="5">
        <v>2035</v>
      </c>
      <c r="M2" s="6">
        <v>2036</v>
      </c>
      <c r="N2" s="6">
        <v>2037</v>
      </c>
      <c r="O2" s="6">
        <v>2038</v>
      </c>
      <c r="P2" s="6">
        <v>2039</v>
      </c>
      <c r="Q2" s="6">
        <v>2040</v>
      </c>
      <c r="R2" s="6">
        <v>2041</v>
      </c>
      <c r="S2" s="6">
        <v>2042</v>
      </c>
      <c r="T2" s="5">
        <v>2043</v>
      </c>
      <c r="U2" s="6">
        <v>2044</v>
      </c>
      <c r="V2" s="6">
        <v>2045</v>
      </c>
      <c r="W2" s="6">
        <v>2046</v>
      </c>
      <c r="X2" s="6">
        <v>2047</v>
      </c>
      <c r="Y2" s="6">
        <v>2048</v>
      </c>
      <c r="Z2" s="6">
        <v>2049</v>
      </c>
      <c r="AA2" s="5">
        <v>2050</v>
      </c>
    </row>
    <row r="3" spans="1:27" x14ac:dyDescent="0.35">
      <c r="A3" s="2" t="s">
        <v>66</v>
      </c>
      <c r="B3" s="7">
        <v>347.87449708016311</v>
      </c>
      <c r="C3" s="8">
        <f>$B$3+(($L$3-$B$3)/(2035-2025)*(C2-$B$2))</f>
        <v>348.00804737214679</v>
      </c>
      <c r="D3" s="8">
        <f t="shared" ref="D3:K3" si="0">$B$3+(($L$3-$B$3)/(2035-2025)*(D2-$B$2))</f>
        <v>348.14159766413047</v>
      </c>
      <c r="E3" s="8">
        <f t="shared" si="0"/>
        <v>348.27514795611415</v>
      </c>
      <c r="F3" s="8">
        <f t="shared" si="0"/>
        <v>348.40869824809783</v>
      </c>
      <c r="G3" s="8">
        <f t="shared" si="0"/>
        <v>348.54224854008157</v>
      </c>
      <c r="H3" s="8">
        <f t="shared" si="0"/>
        <v>348.67579883206525</v>
      </c>
      <c r="I3" s="8">
        <f t="shared" si="0"/>
        <v>348.80934912404894</v>
      </c>
      <c r="J3" s="8">
        <f t="shared" si="0"/>
        <v>348.94289941603262</v>
      </c>
      <c r="K3" s="8">
        <f t="shared" si="0"/>
        <v>349.0764497080163</v>
      </c>
      <c r="L3" s="9">
        <v>349.21</v>
      </c>
      <c r="M3" s="8">
        <f>$L$3+(($T$3-$L$3)/(2043-2035)*(M2-$L$2))</f>
        <v>349.46967183442734</v>
      </c>
      <c r="N3" s="8">
        <f t="shared" ref="N3:S3" si="1">$L$3+(($T$3-$L$3)/(2043-2035)*(N2-$L$2))</f>
        <v>349.72934366885477</v>
      </c>
      <c r="O3" s="8">
        <f t="shared" si="1"/>
        <v>349.98901550328213</v>
      </c>
      <c r="P3" s="8">
        <f t="shared" si="1"/>
        <v>350.2486873377095</v>
      </c>
      <c r="Q3" s="8">
        <f t="shared" si="1"/>
        <v>350.50835917213686</v>
      </c>
      <c r="R3" s="8">
        <f t="shared" si="1"/>
        <v>350.76803100656423</v>
      </c>
      <c r="S3" s="8">
        <f t="shared" si="1"/>
        <v>351.02770284099165</v>
      </c>
      <c r="T3" s="7">
        <v>351.28737467541902</v>
      </c>
      <c r="U3" s="8">
        <f>$T$3+(($AA$3-$T$3)/(2050-2043)*(U2-$T$2))</f>
        <v>351.29060686464487</v>
      </c>
      <c r="V3" s="8">
        <f t="shared" ref="V3:Z3" si="2">$T$3+(($AA$3-$T$3)/(2050-2043)*(V2-$T$2))</f>
        <v>351.29383905387073</v>
      </c>
      <c r="W3" s="8">
        <f t="shared" si="2"/>
        <v>351.29707124309658</v>
      </c>
      <c r="X3" s="8">
        <f t="shared" si="2"/>
        <v>351.30030343232244</v>
      </c>
      <c r="Y3" s="8">
        <f t="shared" si="2"/>
        <v>351.30353562154829</v>
      </c>
      <c r="Z3" s="8">
        <f t="shared" si="2"/>
        <v>351.30676781077415</v>
      </c>
      <c r="AA3" s="9">
        <v>351.31</v>
      </c>
    </row>
    <row r="4" spans="1:27" x14ac:dyDescent="0.35">
      <c r="A4" s="2" t="s">
        <v>67</v>
      </c>
      <c r="B4" s="9">
        <v>453.59199999999998</v>
      </c>
      <c r="C4" s="10">
        <v>453.59199999999998</v>
      </c>
      <c r="D4" s="10">
        <v>453.59199999999998</v>
      </c>
      <c r="E4" s="10">
        <v>453.59199999999998</v>
      </c>
      <c r="F4" s="10">
        <v>453.59199999999998</v>
      </c>
      <c r="G4" s="10">
        <v>453.59199999999998</v>
      </c>
      <c r="H4" s="10">
        <v>453.59199999999998</v>
      </c>
      <c r="I4" s="10">
        <v>453.59199999999998</v>
      </c>
      <c r="J4" s="10">
        <v>453.59199999999998</v>
      </c>
      <c r="K4" s="10">
        <v>453.59199999999998</v>
      </c>
      <c r="L4" s="9">
        <v>453.59199999999998</v>
      </c>
      <c r="M4" s="10">
        <v>453.59199999999998</v>
      </c>
      <c r="N4" s="10">
        <v>453.59199999999998</v>
      </c>
      <c r="O4" s="10">
        <v>453.59199999999998</v>
      </c>
      <c r="P4" s="10">
        <v>453.59199999999998</v>
      </c>
      <c r="Q4" s="10">
        <v>453.59199999999998</v>
      </c>
      <c r="R4" s="10">
        <v>453.59199999999998</v>
      </c>
      <c r="S4" s="10">
        <v>453.59199999999998</v>
      </c>
      <c r="T4" s="9">
        <v>453.59199999999998</v>
      </c>
      <c r="U4" s="10">
        <v>453.59199999999998</v>
      </c>
      <c r="V4" s="10">
        <v>453.59199999999998</v>
      </c>
      <c r="W4" s="10">
        <v>453.59199999999998</v>
      </c>
      <c r="X4" s="10">
        <v>453.59199999999998</v>
      </c>
      <c r="Y4" s="10">
        <v>453.59199999999998</v>
      </c>
      <c r="Z4" s="10">
        <v>453.59199999999998</v>
      </c>
      <c r="AA4" s="9">
        <v>453.59199999999998</v>
      </c>
    </row>
    <row r="5" spans="1:27" x14ac:dyDescent="0.35">
      <c r="A5" s="2" t="s">
        <v>68</v>
      </c>
      <c r="B5" s="9">
        <v>2000</v>
      </c>
      <c r="C5" s="10">
        <v>2000</v>
      </c>
      <c r="D5" s="10">
        <v>2000</v>
      </c>
      <c r="E5" s="10">
        <v>2000</v>
      </c>
      <c r="F5" s="10">
        <v>2000</v>
      </c>
      <c r="G5" s="10">
        <v>2000</v>
      </c>
      <c r="H5" s="10">
        <v>2000</v>
      </c>
      <c r="I5" s="10">
        <v>2000</v>
      </c>
      <c r="J5" s="10">
        <v>2000</v>
      </c>
      <c r="K5" s="10">
        <v>2000</v>
      </c>
      <c r="L5" s="9">
        <v>2000</v>
      </c>
      <c r="M5" s="10">
        <v>2000</v>
      </c>
      <c r="N5" s="10">
        <v>2000</v>
      </c>
      <c r="O5" s="10">
        <v>2000</v>
      </c>
      <c r="P5" s="10">
        <v>2000</v>
      </c>
      <c r="Q5" s="10">
        <v>2000</v>
      </c>
      <c r="R5" s="10">
        <v>2000</v>
      </c>
      <c r="S5" s="10">
        <v>2000</v>
      </c>
      <c r="T5" s="9">
        <v>2000</v>
      </c>
      <c r="U5" s="10">
        <v>2000</v>
      </c>
      <c r="V5" s="10">
        <v>2000</v>
      </c>
      <c r="W5" s="10">
        <v>2000</v>
      </c>
      <c r="X5" s="10">
        <v>2000</v>
      </c>
      <c r="Y5" s="10">
        <v>2000</v>
      </c>
      <c r="Z5" s="10">
        <v>2000</v>
      </c>
      <c r="AA5" s="9">
        <v>2000</v>
      </c>
    </row>
    <row r="6" spans="1:27" s="1" customFormat="1" x14ac:dyDescent="0.35">
      <c r="A6" s="4" t="s">
        <v>69</v>
      </c>
      <c r="B6" s="11">
        <v>3.834663057110389E-4</v>
      </c>
      <c r="C6" s="12">
        <f>C3/(C4*C5)</f>
        <v>3.8361351982855383E-4</v>
      </c>
      <c r="D6" s="12">
        <f t="shared" ref="D6:K6" si="3">D3/(D4*D5)</f>
        <v>3.8376073394606877E-4</v>
      </c>
      <c r="E6" s="12">
        <f t="shared" si="3"/>
        <v>3.8390794806358376E-4</v>
      </c>
      <c r="F6" s="12">
        <f t="shared" si="3"/>
        <v>3.8405516218109869E-4</v>
      </c>
      <c r="G6" s="12">
        <f t="shared" si="3"/>
        <v>3.8420237629861368E-4</v>
      </c>
      <c r="H6" s="12">
        <f t="shared" si="3"/>
        <v>3.8434959041612867E-4</v>
      </c>
      <c r="I6" s="12">
        <f t="shared" si="3"/>
        <v>3.844968045336436E-4</v>
      </c>
      <c r="J6" s="12">
        <f t="shared" si="3"/>
        <v>3.8464401865115854E-4</v>
      </c>
      <c r="K6" s="12">
        <f t="shared" si="3"/>
        <v>3.8479123276867347E-4</v>
      </c>
      <c r="L6" s="5">
        <v>3.8499999999999998E-4</v>
      </c>
      <c r="M6" s="12">
        <f>M3/(M4*M5)</f>
        <v>3.8522468631989467E-4</v>
      </c>
      <c r="N6" s="12">
        <f t="shared" ref="N6:Z6" si="4">N3/(N4*N5)</f>
        <v>3.8551092575360099E-4</v>
      </c>
      <c r="O6" s="12">
        <f t="shared" si="4"/>
        <v>3.8579716518730725E-4</v>
      </c>
      <c r="P6" s="12">
        <f t="shared" si="4"/>
        <v>3.8608340462101346E-4</v>
      </c>
      <c r="Q6" s="12">
        <f t="shared" si="4"/>
        <v>3.8636964405471973E-4</v>
      </c>
      <c r="R6" s="12">
        <f t="shared" si="4"/>
        <v>3.8665588348842599E-4</v>
      </c>
      <c r="S6" s="12">
        <f t="shared" si="4"/>
        <v>3.8694212292213231E-4</v>
      </c>
      <c r="T6" s="11">
        <v>3.8403003717432991E-4</v>
      </c>
      <c r="U6" s="12">
        <f t="shared" si="4"/>
        <v>3.8723192523748752E-4</v>
      </c>
      <c r="V6" s="12">
        <f t="shared" si="4"/>
        <v>3.8723548811913652E-4</v>
      </c>
      <c r="W6" s="12">
        <f t="shared" si="4"/>
        <v>3.8723905100078551E-4</v>
      </c>
      <c r="X6" s="12">
        <f t="shared" si="4"/>
        <v>3.8724261388243446E-4</v>
      </c>
      <c r="Y6" s="12">
        <f t="shared" si="4"/>
        <v>3.8724617676408346E-4</v>
      </c>
      <c r="Z6" s="12">
        <f t="shared" si="4"/>
        <v>3.8724973964573246E-4</v>
      </c>
      <c r="AA6" s="5">
        <v>3.8699999999999997E-4</v>
      </c>
    </row>
    <row r="7" spans="1:27" s="1" customFormat="1" x14ac:dyDescent="0.35">
      <c r="A7" s="2" t="s">
        <v>70</v>
      </c>
      <c r="B7" s="7">
        <v>80.719844858066523</v>
      </c>
      <c r="C7" s="6">
        <f>$B$7+(($L$7-$B$7)/(2035-2025)*(C2-$B$2))</f>
        <v>80.75186037225987</v>
      </c>
      <c r="D7" s="6">
        <f t="shared" ref="D7:K7" si="5">$B$7+(($L$7-$B$7)/(2035-2025)*(D2-$B$2))</f>
        <v>80.783875886453217</v>
      </c>
      <c r="E7" s="6">
        <f t="shared" si="5"/>
        <v>80.815891400646564</v>
      </c>
      <c r="F7" s="6">
        <f t="shared" si="5"/>
        <v>80.847906914839911</v>
      </c>
      <c r="G7" s="6">
        <f t="shared" si="5"/>
        <v>80.879922429033257</v>
      </c>
      <c r="H7" s="6">
        <f t="shared" si="5"/>
        <v>80.911937943226619</v>
      </c>
      <c r="I7" s="6">
        <f t="shared" si="5"/>
        <v>80.943953457419966</v>
      </c>
      <c r="J7" s="6">
        <f t="shared" si="5"/>
        <v>80.975968971613312</v>
      </c>
      <c r="K7" s="6">
        <f t="shared" si="5"/>
        <v>81.007984485806659</v>
      </c>
      <c r="L7" s="9">
        <v>81.040000000000006</v>
      </c>
      <c r="M7" s="6">
        <f>$L$7+(($T$7-$L$7)/(2043-2035)*(M2-$L$2))</f>
        <v>81.080827320302021</v>
      </c>
      <c r="N7" s="6">
        <f t="shared" ref="N7:S7" si="6">$L$7+(($T$7-$L$7)/(2043-2035)*(N2-$L$2))</f>
        <v>81.121654640604021</v>
      </c>
      <c r="O7" s="6">
        <f t="shared" si="6"/>
        <v>81.162481960906035</v>
      </c>
      <c r="P7" s="6">
        <f t="shared" si="6"/>
        <v>81.20330928120805</v>
      </c>
      <c r="Q7" s="6">
        <f t="shared" si="6"/>
        <v>81.244136601510064</v>
      </c>
      <c r="R7" s="6">
        <f t="shared" si="6"/>
        <v>81.284963921812079</v>
      </c>
      <c r="S7" s="6">
        <f t="shared" si="6"/>
        <v>81.325791242114079</v>
      </c>
      <c r="T7" s="7">
        <v>81.366618562416093</v>
      </c>
      <c r="U7">
        <f>$T$7+(($AA$7-$T$7)/(2050-2043)*(U2-$T$2))</f>
        <v>81.371387339213797</v>
      </c>
      <c r="V7">
        <f t="shared" ref="V7:Z7" si="7">$T$7+(($AA$7-$T$7)/(2050-2043)*(V2-$T$2))</f>
        <v>81.376156116011501</v>
      </c>
      <c r="W7">
        <f t="shared" si="7"/>
        <v>81.380924892809205</v>
      </c>
      <c r="X7">
        <f t="shared" si="7"/>
        <v>81.385693669606894</v>
      </c>
      <c r="Y7">
        <f t="shared" si="7"/>
        <v>81.390462446404598</v>
      </c>
      <c r="Z7">
        <f t="shared" si="7"/>
        <v>81.395231223202302</v>
      </c>
      <c r="AA7" s="9">
        <v>81.400000000000006</v>
      </c>
    </row>
    <row r="8" spans="1:27" s="1" customFormat="1" x14ac:dyDescent="0.35">
      <c r="A8" s="2" t="s">
        <v>67</v>
      </c>
      <c r="B8" s="9">
        <v>453.59199999999998</v>
      </c>
      <c r="C8" s="10">
        <v>453.59199999999998</v>
      </c>
      <c r="D8" s="10">
        <v>453.59199999999998</v>
      </c>
      <c r="E8" s="10">
        <v>453.59199999999998</v>
      </c>
      <c r="F8" s="10">
        <v>453.59199999999998</v>
      </c>
      <c r="G8" s="10">
        <v>453.59199999999998</v>
      </c>
      <c r="H8" s="10">
        <v>453.59199999999998</v>
      </c>
      <c r="I8" s="10">
        <v>453.59199999999998</v>
      </c>
      <c r="J8" s="10">
        <v>453.59199999999998</v>
      </c>
      <c r="K8" s="10">
        <v>453.59199999999998</v>
      </c>
      <c r="L8" s="9">
        <v>453.59199999999998</v>
      </c>
      <c r="M8" s="10">
        <v>453.59199999999998</v>
      </c>
      <c r="N8" s="10">
        <v>453.59199999999998</v>
      </c>
      <c r="O8" s="10">
        <v>453.59199999999998</v>
      </c>
      <c r="P8" s="10">
        <v>453.59199999999998</v>
      </c>
      <c r="Q8" s="10">
        <v>453.59199999999998</v>
      </c>
      <c r="R8" s="10">
        <v>453.59199999999998</v>
      </c>
      <c r="S8" s="10">
        <v>453.59199999999998</v>
      </c>
      <c r="T8" s="9">
        <v>453.59199999999998</v>
      </c>
      <c r="U8" s="10">
        <v>453.59199999999998</v>
      </c>
      <c r="V8" s="10">
        <v>453.59199999999998</v>
      </c>
      <c r="W8" s="10">
        <v>453.59199999999998</v>
      </c>
      <c r="X8" s="10">
        <v>453.59199999999998</v>
      </c>
      <c r="Y8" s="10">
        <v>453.59199999999998</v>
      </c>
      <c r="Z8" s="10">
        <v>453.59199999999998</v>
      </c>
      <c r="AA8" s="9">
        <v>453.59199999999998</v>
      </c>
    </row>
    <row r="9" spans="1:27" s="1" customFormat="1" x14ac:dyDescent="0.35">
      <c r="A9" s="2" t="s">
        <v>68</v>
      </c>
      <c r="B9" s="9">
        <v>2000</v>
      </c>
      <c r="C9" s="10">
        <v>2000</v>
      </c>
      <c r="D9" s="10">
        <v>2000</v>
      </c>
      <c r="E9" s="10">
        <v>2000</v>
      </c>
      <c r="F9" s="10">
        <v>2000</v>
      </c>
      <c r="G9" s="10">
        <v>2000</v>
      </c>
      <c r="H9" s="10">
        <v>2000</v>
      </c>
      <c r="I9" s="10">
        <v>2000</v>
      </c>
      <c r="J9" s="10">
        <v>2000</v>
      </c>
      <c r="K9" s="10">
        <v>2000</v>
      </c>
      <c r="L9" s="9">
        <v>2000</v>
      </c>
      <c r="M9" s="10">
        <v>2000</v>
      </c>
      <c r="N9" s="10">
        <v>2000</v>
      </c>
      <c r="O9" s="10">
        <v>2000</v>
      </c>
      <c r="P9" s="10">
        <v>2000</v>
      </c>
      <c r="Q9" s="10">
        <v>2000</v>
      </c>
      <c r="R9" s="10">
        <v>2000</v>
      </c>
      <c r="S9" s="10">
        <v>2000</v>
      </c>
      <c r="T9" s="9">
        <v>2000</v>
      </c>
      <c r="U9" s="10">
        <v>2000</v>
      </c>
      <c r="V9" s="10">
        <v>2000</v>
      </c>
      <c r="W9" s="10">
        <v>2000</v>
      </c>
      <c r="X9" s="10">
        <v>2000</v>
      </c>
      <c r="Y9" s="10">
        <v>2000</v>
      </c>
      <c r="Z9" s="10">
        <v>2000</v>
      </c>
      <c r="AA9" s="9">
        <v>2000</v>
      </c>
    </row>
    <row r="10" spans="1:27" s="1" customFormat="1" x14ac:dyDescent="0.35">
      <c r="A10" s="4" t="s">
        <v>71</v>
      </c>
      <c r="B10" s="13">
        <v>8.8900000000000006E-5</v>
      </c>
      <c r="C10" s="12">
        <f>C7/(C8*C9)</f>
        <v>8.9013761675977386E-5</v>
      </c>
      <c r="D10" s="12">
        <f t="shared" ref="D10:Z10" si="8">D7/(D8*D9)</f>
        <v>8.9049052768185079E-5</v>
      </c>
      <c r="E10" s="12">
        <f t="shared" si="8"/>
        <v>8.9084343860392786E-5</v>
      </c>
      <c r="F10" s="12">
        <f t="shared" si="8"/>
        <v>8.9119634952600479E-5</v>
      </c>
      <c r="G10" s="12">
        <f t="shared" si="8"/>
        <v>8.9154926044808172E-5</v>
      </c>
      <c r="H10" s="12">
        <f t="shared" si="8"/>
        <v>8.9190217137015879E-5</v>
      </c>
      <c r="I10" s="12">
        <f t="shared" si="8"/>
        <v>8.9225508229223585E-5</v>
      </c>
      <c r="J10" s="12">
        <f t="shared" si="8"/>
        <v>8.9260799321431278E-5</v>
      </c>
      <c r="K10" s="12">
        <f t="shared" si="8"/>
        <v>8.9296090413638971E-5</v>
      </c>
      <c r="L10" s="13">
        <v>8.9300000000000002E-5</v>
      </c>
      <c r="M10" s="12">
        <f t="shared" si="8"/>
        <v>8.9376385959520914E-5</v>
      </c>
      <c r="N10" s="12">
        <f t="shared" si="8"/>
        <v>8.9421390413195137E-5</v>
      </c>
      <c r="O10" s="12">
        <f t="shared" si="8"/>
        <v>8.9466394866869386E-5</v>
      </c>
      <c r="P10" s="12">
        <f t="shared" si="8"/>
        <v>8.9511399320543622E-5</v>
      </c>
      <c r="Q10" s="12">
        <f t="shared" si="8"/>
        <v>8.9556403774217872E-5</v>
      </c>
      <c r="R10" s="12">
        <f t="shared" si="8"/>
        <v>8.9601408227892108E-5</v>
      </c>
      <c r="S10" s="12">
        <f t="shared" si="8"/>
        <v>8.9646412681566344E-5</v>
      </c>
      <c r="T10" s="13">
        <v>8.9599999999999996E-5</v>
      </c>
      <c r="U10" s="12">
        <f t="shared" si="8"/>
        <v>8.9696673816131895E-5</v>
      </c>
      <c r="V10" s="12">
        <f t="shared" si="8"/>
        <v>8.970193049702321E-5</v>
      </c>
      <c r="W10" s="12">
        <f t="shared" si="8"/>
        <v>8.9707187177914512E-5</v>
      </c>
      <c r="X10" s="12">
        <f t="shared" si="8"/>
        <v>8.9712443858805814E-5</v>
      </c>
      <c r="Y10" s="12">
        <f t="shared" si="8"/>
        <v>8.9717700539697129E-5</v>
      </c>
      <c r="Z10" s="12">
        <f t="shared" si="8"/>
        <v>8.9722957220588444E-5</v>
      </c>
      <c r="AA10" s="13">
        <v>8.9699999999999998E-5</v>
      </c>
    </row>
    <row r="11" spans="1:27" ht="15.5" x14ac:dyDescent="0.35">
      <c r="A11" s="4"/>
      <c r="B11" s="14"/>
      <c r="C11" s="14"/>
      <c r="D11" s="15"/>
      <c r="E11" s="14"/>
      <c r="F11" s="4"/>
      <c r="G11" s="16"/>
      <c r="H11" s="16"/>
      <c r="I11" s="16"/>
      <c r="J11" s="16"/>
    </row>
    <row r="12" spans="1:27" x14ac:dyDescent="0.35">
      <c r="A12" s="17" t="s">
        <v>72</v>
      </c>
      <c r="G12" s="16"/>
      <c r="H12" s="16"/>
      <c r="I12" s="16"/>
      <c r="J12" s="16"/>
    </row>
    <row r="13" spans="1:27" ht="16.5" x14ac:dyDescent="0.45">
      <c r="A13" s="18" t="s">
        <v>73</v>
      </c>
      <c r="C13" s="1" t="s">
        <v>74</v>
      </c>
      <c r="D13" s="1" t="s">
        <v>75</v>
      </c>
      <c r="G13" s="16"/>
      <c r="H13" s="16"/>
      <c r="I13" s="16"/>
      <c r="J13" s="16"/>
    </row>
    <row r="14" spans="1:27" x14ac:dyDescent="0.35">
      <c r="A14" s="18"/>
      <c r="E14" s="1"/>
      <c r="F14" s="1"/>
      <c r="G14" s="16"/>
      <c r="H14" s="16"/>
      <c r="I14" s="16"/>
      <c r="J14" s="16"/>
    </row>
    <row r="15" spans="1:27" x14ac:dyDescent="0.35">
      <c r="A15" s="19" t="s">
        <v>76</v>
      </c>
      <c r="B15" s="19"/>
      <c r="C15" s="20">
        <v>343.59316167666555</v>
      </c>
      <c r="D15" s="20">
        <v>79.719118382694518</v>
      </c>
      <c r="G15" s="16"/>
      <c r="H15" s="16"/>
      <c r="I15" s="16"/>
      <c r="J15" s="16"/>
    </row>
    <row r="16" spans="1:27" x14ac:dyDescent="0.35">
      <c r="A16" s="19" t="s">
        <v>77</v>
      </c>
      <c r="B16" s="19"/>
      <c r="C16" s="20">
        <v>351.28625678128037</v>
      </c>
      <c r="D16" s="20">
        <v>81.470318031551315</v>
      </c>
      <c r="G16" s="16"/>
      <c r="H16" s="16"/>
      <c r="I16" s="16"/>
      <c r="J16" s="16"/>
    </row>
    <row r="17" spans="1:10" x14ac:dyDescent="0.35">
      <c r="A17" s="19" t="s">
        <v>78</v>
      </c>
      <c r="B17" s="19"/>
      <c r="C17" s="20">
        <v>347.33020900359679</v>
      </c>
      <c r="D17" s="20">
        <v>80.821329698885663</v>
      </c>
      <c r="G17" s="16"/>
      <c r="H17" s="16"/>
      <c r="I17" s="16"/>
      <c r="J17" s="16"/>
    </row>
    <row r="18" spans="1:10" x14ac:dyDescent="0.35">
      <c r="A18" s="19" t="s">
        <v>79</v>
      </c>
      <c r="B18" s="19"/>
      <c r="C18" s="20">
        <v>349.36503522798228</v>
      </c>
      <c r="D18" s="20">
        <v>82.669818879695413</v>
      </c>
      <c r="G18" s="16"/>
      <c r="H18" s="16"/>
      <c r="I18" s="16"/>
      <c r="J18" s="16"/>
    </row>
    <row r="19" spans="1:10" x14ac:dyDescent="0.35">
      <c r="A19" s="19" t="s">
        <v>80</v>
      </c>
      <c r="B19" s="19"/>
      <c r="C19" s="20">
        <v>366.02311102060145</v>
      </c>
      <c r="D19" s="20">
        <v>79.804165153721669</v>
      </c>
      <c r="G19" s="16"/>
      <c r="H19" s="16"/>
      <c r="I19" s="16"/>
      <c r="J19" s="16"/>
    </row>
    <row r="20" spans="1:10" x14ac:dyDescent="0.35">
      <c r="A20" s="19" t="s">
        <v>81</v>
      </c>
      <c r="B20" s="19"/>
      <c r="C20" s="20">
        <v>358.19099909524721</v>
      </c>
      <c r="D20" s="20">
        <v>83.087136496459507</v>
      </c>
      <c r="G20" s="16"/>
      <c r="H20" s="16"/>
      <c r="I20" s="16"/>
      <c r="J20" s="16"/>
    </row>
    <row r="21" spans="1:10" x14ac:dyDescent="0.35">
      <c r="A21" s="19" t="s">
        <v>82</v>
      </c>
      <c r="B21" s="19"/>
      <c r="C21" s="20">
        <v>339.26957001020548</v>
      </c>
      <c r="D21" s="20">
        <v>79.517213874083112</v>
      </c>
      <c r="G21" s="16"/>
      <c r="H21" s="16"/>
      <c r="I21" s="16"/>
      <c r="J21" s="16"/>
    </row>
    <row r="22" spans="1:10" x14ac:dyDescent="0.35">
      <c r="A22" s="19" t="s">
        <v>83</v>
      </c>
      <c r="B22" s="19"/>
      <c r="C22" s="20">
        <v>353.14282759287374</v>
      </c>
      <c r="D22" s="20">
        <v>81.640882199618076</v>
      </c>
      <c r="G22" s="16"/>
      <c r="H22" s="16"/>
      <c r="I22" s="16"/>
      <c r="J22" s="16"/>
    </row>
    <row r="23" spans="1:10" x14ac:dyDescent="0.35">
      <c r="A23" s="19" t="s">
        <v>84</v>
      </c>
      <c r="B23" s="19"/>
      <c r="C23" s="20">
        <v>359.1047488648415</v>
      </c>
      <c r="D23" s="20">
        <v>82.502385087036544</v>
      </c>
      <c r="G23" s="16"/>
      <c r="H23" s="16"/>
      <c r="I23" s="16"/>
      <c r="J23" s="16"/>
    </row>
    <row r="24" spans="1:10" x14ac:dyDescent="0.35">
      <c r="A24" s="19" t="s">
        <v>85</v>
      </c>
      <c r="B24" s="19"/>
      <c r="C24" s="20">
        <v>353.73622420274012</v>
      </c>
      <c r="D24" s="20">
        <v>82.284726542953578</v>
      </c>
      <c r="G24" s="16"/>
      <c r="H24" s="16"/>
      <c r="I24" s="16"/>
      <c r="J24" s="16"/>
    </row>
    <row r="25" spans="1:10" x14ac:dyDescent="0.35">
      <c r="A25" s="19" t="s">
        <v>86</v>
      </c>
      <c r="B25" s="19"/>
      <c r="C25" s="20">
        <v>347.8457146519242</v>
      </c>
      <c r="D25" s="20">
        <v>81.842040682574989</v>
      </c>
      <c r="G25" s="16"/>
      <c r="H25" s="16"/>
      <c r="I25" s="16"/>
      <c r="J25" s="16"/>
    </row>
    <row r="26" spans="1:10" x14ac:dyDescent="0.35">
      <c r="A26" s="19"/>
      <c r="B26" s="19"/>
      <c r="C26" s="20"/>
      <c r="D26" s="20"/>
      <c r="G26" s="16"/>
      <c r="H26" s="16"/>
      <c r="I26" s="16"/>
      <c r="J26" s="16"/>
    </row>
    <row r="27" spans="1:10" x14ac:dyDescent="0.35">
      <c r="A27" s="17" t="s">
        <v>87</v>
      </c>
      <c r="B27" s="17"/>
      <c r="C27" s="21">
        <v>347.87449708016311</v>
      </c>
      <c r="D27" s="21">
        <v>80.719844858066523</v>
      </c>
      <c r="G27" s="16"/>
      <c r="H27" s="16"/>
      <c r="I27" s="16"/>
      <c r="J27" s="16"/>
    </row>
    <row r="28" spans="1:10" ht="15.5" x14ac:dyDescent="0.35">
      <c r="A28" s="4"/>
      <c r="B28" s="22"/>
      <c r="C28" s="4"/>
      <c r="D28" s="22"/>
      <c r="E28" s="4"/>
      <c r="F28" s="4"/>
      <c r="G28" s="4"/>
      <c r="H28" s="2"/>
      <c r="I28" s="2"/>
      <c r="J28" s="2"/>
    </row>
    <row r="29" spans="1:10" s="24" customFormat="1" x14ac:dyDescent="0.35">
      <c r="A29" s="23" t="s">
        <v>88</v>
      </c>
      <c r="B29" s="4"/>
      <c r="C29" s="4"/>
      <c r="D29" s="4"/>
      <c r="E29" s="4"/>
      <c r="F29" s="2"/>
      <c r="G29" s="2"/>
      <c r="H29" s="2"/>
      <c r="I29" s="2"/>
      <c r="J29" s="2"/>
    </row>
    <row r="30" spans="1:10" s="24" customFormat="1" ht="16.5" x14ac:dyDescent="0.45">
      <c r="A30" s="25" t="s">
        <v>89</v>
      </c>
      <c r="B30" s="25"/>
      <c r="C30" s="4" t="s">
        <v>74</v>
      </c>
      <c r="D30" s="4" t="s">
        <v>75</v>
      </c>
      <c r="E30" s="2"/>
      <c r="F30" s="2"/>
      <c r="G30" s="26"/>
      <c r="H30" s="27"/>
      <c r="I30" s="28"/>
      <c r="J30" s="2"/>
    </row>
    <row r="31" spans="1:10" s="24" customFormat="1" x14ac:dyDescent="0.35">
      <c r="A31" s="2"/>
      <c r="B31" s="2"/>
      <c r="C31" s="4"/>
      <c r="D31" s="4"/>
      <c r="E31" s="2"/>
      <c r="F31" s="2"/>
      <c r="G31" s="26"/>
      <c r="H31" s="26"/>
      <c r="I31" s="28"/>
      <c r="J31" s="2"/>
    </row>
    <row r="32" spans="1:10" s="24" customFormat="1" x14ac:dyDescent="0.35">
      <c r="A32" s="29" t="s">
        <v>76</v>
      </c>
      <c r="B32" s="29"/>
      <c r="C32" s="29">
        <v>348.17399999999998</v>
      </c>
      <c r="D32" s="29">
        <v>80.076999999999998</v>
      </c>
      <c r="E32" s="2"/>
      <c r="F32" s="2"/>
      <c r="G32" s="30"/>
      <c r="H32" s="30"/>
      <c r="I32" s="30"/>
      <c r="J32" s="2"/>
    </row>
    <row r="33" spans="1:10" s="24" customFormat="1" x14ac:dyDescent="0.35">
      <c r="A33" s="29" t="s">
        <v>77</v>
      </c>
      <c r="B33" s="29"/>
      <c r="C33" s="29">
        <v>346.57900000000001</v>
      </c>
      <c r="D33" s="29">
        <v>80.480999999999995</v>
      </c>
      <c r="E33" s="2"/>
      <c r="F33" s="2"/>
      <c r="G33" s="31"/>
      <c r="H33" s="2"/>
      <c r="I33" s="28"/>
      <c r="J33" s="2"/>
    </row>
    <row r="34" spans="1:10" s="24" customFormat="1" x14ac:dyDescent="0.35">
      <c r="A34" s="29" t="s">
        <v>78</v>
      </c>
      <c r="B34" s="29"/>
      <c r="C34" s="29">
        <v>344.23599999999999</v>
      </c>
      <c r="D34" s="29">
        <v>81.233999999999995</v>
      </c>
      <c r="E34" s="2"/>
      <c r="F34" s="2"/>
      <c r="G34" s="31"/>
      <c r="H34" s="2"/>
      <c r="I34" s="28"/>
      <c r="J34" s="2"/>
    </row>
    <row r="35" spans="1:10" s="24" customFormat="1" x14ac:dyDescent="0.35">
      <c r="A35" s="29" t="s">
        <v>79</v>
      </c>
      <c r="B35" s="29"/>
      <c r="C35" s="29">
        <v>337.17899999999997</v>
      </c>
      <c r="D35" s="29">
        <v>80.350999999999999</v>
      </c>
      <c r="E35" s="2"/>
      <c r="F35" s="2"/>
      <c r="G35" s="31"/>
      <c r="H35" s="2"/>
      <c r="I35" s="28"/>
      <c r="J35" s="2"/>
    </row>
    <row r="36" spans="1:10" s="24" customFormat="1" x14ac:dyDescent="0.35">
      <c r="A36" s="29" t="s">
        <v>80</v>
      </c>
      <c r="B36" s="29"/>
      <c r="C36" s="29">
        <v>366.88900000000001</v>
      </c>
      <c r="D36" s="29">
        <v>81.132999999999996</v>
      </c>
      <c r="E36" s="2"/>
      <c r="F36" s="2"/>
      <c r="G36" s="31"/>
      <c r="H36" s="2"/>
      <c r="I36" s="28"/>
      <c r="J36" s="2"/>
    </row>
    <row r="37" spans="1:10" s="24" customFormat="1" x14ac:dyDescent="0.35">
      <c r="A37" s="29" t="s">
        <v>81</v>
      </c>
      <c r="B37" s="29"/>
      <c r="C37" s="29">
        <v>373.488</v>
      </c>
      <c r="D37" s="29">
        <v>85.457999999999998</v>
      </c>
      <c r="E37" s="2"/>
      <c r="F37" s="2"/>
      <c r="G37" s="31"/>
      <c r="H37" s="2"/>
      <c r="I37" s="28"/>
      <c r="J37" s="2"/>
    </row>
    <row r="38" spans="1:10" s="24" customFormat="1" x14ac:dyDescent="0.35">
      <c r="A38" s="29" t="s">
        <v>82</v>
      </c>
      <c r="B38" s="29"/>
      <c r="C38" s="29">
        <v>345.50799999999998</v>
      </c>
      <c r="D38" s="29">
        <v>80.152000000000001</v>
      </c>
      <c r="E38" s="2"/>
      <c r="F38" s="2"/>
      <c r="G38" s="31"/>
      <c r="H38" s="2"/>
      <c r="I38" s="28"/>
      <c r="J38" s="2"/>
    </row>
    <row r="39" spans="1:10" s="24" customFormat="1" x14ac:dyDescent="0.35">
      <c r="A39" s="29" t="s">
        <v>83</v>
      </c>
      <c r="B39" s="29"/>
      <c r="C39" s="29">
        <v>337.959</v>
      </c>
      <c r="D39" s="29">
        <v>80.064999999999998</v>
      </c>
      <c r="E39" s="2"/>
      <c r="F39" s="2"/>
      <c r="G39" s="31"/>
      <c r="H39" s="2"/>
      <c r="I39" s="28"/>
      <c r="J39" s="2"/>
    </row>
    <row r="40" spans="1:10" s="24" customFormat="1" x14ac:dyDescent="0.35">
      <c r="A40" s="29" t="s">
        <v>84</v>
      </c>
      <c r="B40" s="29"/>
      <c r="C40" s="29">
        <v>343.20100000000002</v>
      </c>
      <c r="D40" s="29">
        <v>80.863</v>
      </c>
      <c r="E40" s="2"/>
      <c r="F40" s="2"/>
      <c r="G40" s="31"/>
      <c r="H40" s="2"/>
      <c r="I40" s="28"/>
      <c r="J40" s="2"/>
    </row>
    <row r="41" spans="1:10" s="24" customFormat="1" x14ac:dyDescent="0.35">
      <c r="A41" s="29" t="s">
        <v>85</v>
      </c>
      <c r="B41" s="29"/>
      <c r="C41" s="29">
        <v>343.15499999999997</v>
      </c>
      <c r="D41" s="29">
        <v>79.667000000000002</v>
      </c>
      <c r="E41" s="2"/>
      <c r="F41" s="2"/>
      <c r="G41" s="31"/>
      <c r="H41" s="2"/>
      <c r="I41" s="28"/>
      <c r="J41" s="2"/>
    </row>
    <row r="42" spans="1:10" s="24" customFormat="1" x14ac:dyDescent="0.35">
      <c r="A42" s="29" t="s">
        <v>86</v>
      </c>
      <c r="B42" s="29"/>
      <c r="C42" s="29">
        <v>338.96100000000001</v>
      </c>
      <c r="D42" s="29">
        <v>79.858999999999995</v>
      </c>
      <c r="E42" s="2"/>
      <c r="F42" s="2"/>
      <c r="G42" s="32"/>
      <c r="H42" s="2"/>
      <c r="I42" s="26"/>
      <c r="J42" s="2"/>
    </row>
    <row r="43" spans="1:10" s="24" customFormat="1" x14ac:dyDescent="0.35">
      <c r="A43" s="29"/>
      <c r="B43" s="29"/>
      <c r="C43" s="29"/>
      <c r="D43" s="29"/>
      <c r="E43" s="2"/>
      <c r="F43" s="2"/>
      <c r="G43" s="67"/>
      <c r="H43" s="67"/>
      <c r="I43" s="67"/>
      <c r="J43" s="2"/>
    </row>
    <row r="44" spans="1:10" s="24" customFormat="1" x14ac:dyDescent="0.35">
      <c r="A44" s="23" t="s">
        <v>87</v>
      </c>
      <c r="B44" s="23"/>
      <c r="C44" s="23">
        <v>349.20800000000003</v>
      </c>
      <c r="D44" s="23">
        <v>81.040999999999997</v>
      </c>
      <c r="E44" s="2"/>
      <c r="F44" s="2"/>
      <c r="G44" s="2"/>
      <c r="H44" s="2"/>
      <c r="I44" s="2"/>
      <c r="J44" s="2"/>
    </row>
    <row r="45" spans="1:10" s="24" customFormat="1" x14ac:dyDescent="0.35">
      <c r="A45" s="23"/>
      <c r="B45" s="23"/>
      <c r="C45" s="23"/>
      <c r="D45" s="23"/>
      <c r="E45" s="2"/>
      <c r="F45" s="2"/>
      <c r="G45" s="2"/>
      <c r="H45" s="2"/>
      <c r="I45" s="2"/>
      <c r="J45" s="2"/>
    </row>
    <row r="46" spans="1:10" s="24" customFormat="1" x14ac:dyDescent="0.35">
      <c r="A46" s="33" t="s">
        <v>90</v>
      </c>
      <c r="B46"/>
      <c r="C46"/>
      <c r="D46"/>
      <c r="E46"/>
      <c r="F46"/>
      <c r="G46" s="2"/>
      <c r="H46" s="2"/>
      <c r="I46" s="2"/>
      <c r="J46" s="2"/>
    </row>
    <row r="47" spans="1:10" s="24" customFormat="1" ht="16.5" x14ac:dyDescent="0.45">
      <c r="A47" s="18" t="s">
        <v>73</v>
      </c>
      <c r="B47"/>
      <c r="C47" s="1" t="s">
        <v>74</v>
      </c>
      <c r="D47" s="1" t="s">
        <v>75</v>
      </c>
      <c r="G47" s="2"/>
      <c r="H47" s="2"/>
      <c r="I47" s="2"/>
      <c r="J47" s="2"/>
    </row>
    <row r="48" spans="1:10" s="24" customFormat="1" x14ac:dyDescent="0.35">
      <c r="A48" s="18"/>
      <c r="B48"/>
      <c r="C48"/>
      <c r="D48"/>
      <c r="E48" s="1"/>
      <c r="F48" s="1"/>
      <c r="G48" s="2"/>
      <c r="H48" s="2"/>
      <c r="I48" s="2"/>
      <c r="J48" s="2"/>
    </row>
    <row r="49" spans="1:10" s="24" customFormat="1" x14ac:dyDescent="0.35">
      <c r="A49" s="34"/>
      <c r="B49"/>
      <c r="C49"/>
      <c r="D49"/>
      <c r="E49"/>
      <c r="F49"/>
      <c r="G49" s="2"/>
      <c r="H49" s="2"/>
      <c r="I49" s="2"/>
      <c r="J49" s="2"/>
    </row>
    <row r="50" spans="1:10" s="24" customFormat="1" x14ac:dyDescent="0.35">
      <c r="A50" s="35" t="s">
        <v>76</v>
      </c>
      <c r="B50" s="35"/>
      <c r="C50" s="36">
        <v>346.38635005012969</v>
      </c>
      <c r="D50" s="36">
        <v>80.483991758686571</v>
      </c>
      <c r="G50" s="36"/>
      <c r="H50" s="36"/>
      <c r="I50" s="2"/>
      <c r="J50" s="2"/>
    </row>
    <row r="51" spans="1:10" s="24" customFormat="1" x14ac:dyDescent="0.35">
      <c r="A51" s="35" t="s">
        <v>77</v>
      </c>
      <c r="B51" s="35"/>
      <c r="C51" s="36">
        <v>345.66823658443798</v>
      </c>
      <c r="D51" s="36">
        <v>80.353373013387483</v>
      </c>
      <c r="G51" s="36"/>
      <c r="H51" s="36"/>
      <c r="I51" s="2"/>
      <c r="J51" s="2"/>
    </row>
    <row r="52" spans="1:10" s="24" customFormat="1" x14ac:dyDescent="0.35">
      <c r="A52" s="35" t="s">
        <v>78</v>
      </c>
      <c r="B52" s="35"/>
      <c r="C52" s="36">
        <v>347.28975613515087</v>
      </c>
      <c r="D52" s="36">
        <v>81.520009188317999</v>
      </c>
      <c r="G52" s="36"/>
      <c r="H52" s="36"/>
      <c r="I52" s="2"/>
      <c r="J52" s="2"/>
    </row>
    <row r="53" spans="1:10" s="24" customFormat="1" x14ac:dyDescent="0.35">
      <c r="A53" s="35" t="s">
        <v>79</v>
      </c>
      <c r="B53" s="35"/>
      <c r="C53" s="36">
        <v>335.32924147772366</v>
      </c>
      <c r="D53" s="36">
        <v>79.798150202934153</v>
      </c>
      <c r="G53" s="36"/>
      <c r="H53" s="36"/>
      <c r="I53" s="2"/>
      <c r="J53" s="2"/>
    </row>
    <row r="54" spans="1:10" s="24" customFormat="1" x14ac:dyDescent="0.35">
      <c r="A54" s="35" t="s">
        <v>80</v>
      </c>
      <c r="B54" s="35"/>
      <c r="C54" s="36">
        <v>373.54348830390211</v>
      </c>
      <c r="D54" s="36">
        <v>81.615234061411996</v>
      </c>
      <c r="G54" s="36"/>
      <c r="H54" s="36"/>
      <c r="I54" s="2"/>
      <c r="J54" s="2"/>
    </row>
    <row r="55" spans="1:10" s="24" customFormat="1" x14ac:dyDescent="0.35">
      <c r="A55" s="35" t="s">
        <v>81</v>
      </c>
      <c r="B55" s="35"/>
      <c r="C55" s="36">
        <v>369.4341897821306</v>
      </c>
      <c r="D55" s="36">
        <v>86.13842607229904</v>
      </c>
      <c r="G55" s="36"/>
      <c r="H55" s="36"/>
      <c r="I55" s="2"/>
      <c r="J55" s="2"/>
    </row>
    <row r="56" spans="1:10" s="24" customFormat="1" x14ac:dyDescent="0.35">
      <c r="A56" s="35" t="s">
        <v>82</v>
      </c>
      <c r="B56" s="35"/>
      <c r="C56" s="36">
        <v>343.46947407367293</v>
      </c>
      <c r="D56" s="36">
        <v>80.630294504339687</v>
      </c>
      <c r="G56" s="36"/>
      <c r="H56" s="36"/>
      <c r="I56" s="2"/>
      <c r="J56" s="2"/>
    </row>
    <row r="57" spans="1:10" s="24" customFormat="1" x14ac:dyDescent="0.35">
      <c r="A57" s="35" t="s">
        <v>83</v>
      </c>
      <c r="B57" s="35"/>
      <c r="C57" s="36">
        <v>343.22498281643919</v>
      </c>
      <c r="D57" s="36">
        <v>79.729895862521289</v>
      </c>
      <c r="G57" s="36"/>
      <c r="H57" s="36"/>
      <c r="I57" s="2"/>
      <c r="J57" s="2"/>
    </row>
    <row r="58" spans="1:10" s="24" customFormat="1" x14ac:dyDescent="0.35">
      <c r="A58" s="35" t="s">
        <v>84</v>
      </c>
      <c r="B58" s="35"/>
      <c r="C58" s="36">
        <v>348.57312940091583</v>
      </c>
      <c r="D58" s="36">
        <v>80.505884644272385</v>
      </c>
      <c r="G58" s="36"/>
      <c r="H58" s="36"/>
      <c r="I58" s="2"/>
      <c r="J58" s="2"/>
    </row>
    <row r="59" spans="1:10" s="24" customFormat="1" x14ac:dyDescent="0.35">
      <c r="A59" s="35" t="s">
        <v>85</v>
      </c>
      <c r="B59" s="35"/>
      <c r="C59" s="36">
        <v>339.83891845424222</v>
      </c>
      <c r="D59" s="36">
        <v>79.097342226692277</v>
      </c>
      <c r="G59" s="36"/>
      <c r="H59" s="36"/>
      <c r="I59" s="2"/>
      <c r="J59" s="2"/>
    </row>
    <row r="60" spans="1:10" s="24" customFormat="1" x14ac:dyDescent="0.35">
      <c r="A60" s="35" t="s">
        <v>86</v>
      </c>
      <c r="B60" s="35"/>
      <c r="C60" s="36">
        <v>336.67951946818664</v>
      </c>
      <c r="D60" s="36">
        <v>79.45909483733837</v>
      </c>
      <c r="G60" s="36"/>
      <c r="H60" s="36"/>
      <c r="I60" s="2"/>
      <c r="J60" s="2"/>
    </row>
    <row r="61" spans="1:10" s="24" customFormat="1" x14ac:dyDescent="0.35">
      <c r="A61" s="35"/>
      <c r="B61" s="35"/>
      <c r="C61" s="36"/>
      <c r="D61" s="36"/>
      <c r="G61" s="2"/>
      <c r="H61" s="2"/>
      <c r="I61" s="2"/>
      <c r="J61" s="2"/>
    </row>
    <row r="62" spans="1:10" s="24" customFormat="1" x14ac:dyDescent="0.35">
      <c r="A62" s="33" t="s">
        <v>87</v>
      </c>
      <c r="B62" s="33"/>
      <c r="C62" s="37">
        <v>348.38590524395732</v>
      </c>
      <c r="D62" s="37">
        <v>81.336101730883158</v>
      </c>
      <c r="G62" s="2"/>
      <c r="H62" s="2"/>
      <c r="I62" s="2"/>
      <c r="J62" s="2"/>
    </row>
    <row r="63" spans="1:10" s="24" customFormat="1" x14ac:dyDescent="0.35">
      <c r="A63" s="23"/>
      <c r="B63" s="23"/>
      <c r="C63" s="23"/>
      <c r="D63" s="23"/>
      <c r="E63" s="2"/>
      <c r="F63" s="2"/>
      <c r="G63" s="2"/>
      <c r="H63" s="2"/>
      <c r="I63" s="2"/>
      <c r="J63" s="2"/>
    </row>
    <row r="64" spans="1:10" s="24" customFormat="1" x14ac:dyDescent="0.35">
      <c r="A64" s="23"/>
      <c r="B64" s="23"/>
      <c r="C64" s="23"/>
      <c r="D64" s="23"/>
      <c r="E64" s="2"/>
      <c r="F64" s="2"/>
      <c r="G64" s="2"/>
      <c r="H64" s="2"/>
      <c r="I64" s="2"/>
      <c r="J64" s="2"/>
    </row>
    <row r="65" spans="1:10" s="24" customFormat="1" x14ac:dyDescent="0.35">
      <c r="A65" s="16" t="s">
        <v>91</v>
      </c>
      <c r="B65" s="2"/>
      <c r="C65" s="2"/>
      <c r="D65" s="2"/>
      <c r="E65" s="2"/>
      <c r="F65" s="2"/>
      <c r="G65" s="2"/>
      <c r="H65" s="2"/>
      <c r="I65" s="2"/>
      <c r="J65" s="2"/>
    </row>
    <row r="66" spans="1:10" s="24" customFormat="1" ht="16.5" x14ac:dyDescent="0.45">
      <c r="A66" s="25" t="s">
        <v>89</v>
      </c>
      <c r="B66" s="25"/>
      <c r="C66" s="4" t="s">
        <v>74</v>
      </c>
      <c r="D66" s="4" t="s">
        <v>75</v>
      </c>
      <c r="E66" s="2"/>
      <c r="F66" s="2"/>
      <c r="G66" s="26"/>
      <c r="H66" s="27"/>
      <c r="I66" s="28"/>
      <c r="J66" s="2"/>
    </row>
    <row r="67" spans="1:10" s="24" customFormat="1" x14ac:dyDescent="0.35">
      <c r="A67" s="2"/>
      <c r="B67" s="2"/>
      <c r="C67" s="4"/>
      <c r="D67" s="4"/>
      <c r="E67" s="2"/>
      <c r="F67" s="2"/>
      <c r="G67" s="26"/>
      <c r="H67" s="26"/>
      <c r="I67" s="28"/>
      <c r="J67" s="2"/>
    </row>
    <row r="68" spans="1:10" s="24" customFormat="1" x14ac:dyDescent="0.35">
      <c r="A68" s="2"/>
      <c r="B68" s="2"/>
      <c r="C68" s="2"/>
      <c r="D68" s="2"/>
      <c r="E68" s="2"/>
      <c r="F68" s="2"/>
      <c r="G68" s="26"/>
      <c r="H68" s="26"/>
      <c r="I68" s="26"/>
      <c r="J68" s="2"/>
    </row>
    <row r="69" spans="1:10" s="24" customFormat="1" x14ac:dyDescent="0.35">
      <c r="A69" s="3" t="s">
        <v>76</v>
      </c>
      <c r="B69" s="3"/>
      <c r="C69" s="3">
        <v>351.08100000000002</v>
      </c>
      <c r="D69" s="3">
        <v>80.52</v>
      </c>
      <c r="E69" s="2"/>
      <c r="F69" s="2"/>
      <c r="G69" s="31"/>
      <c r="H69" s="38"/>
      <c r="I69" s="28"/>
      <c r="J69" s="2"/>
    </row>
    <row r="70" spans="1:10" s="24" customFormat="1" x14ac:dyDescent="0.35">
      <c r="A70" s="3" t="s">
        <v>77</v>
      </c>
      <c r="B70" s="3"/>
      <c r="C70" s="3">
        <v>345.95400000000001</v>
      </c>
      <c r="D70" s="3">
        <v>80.269000000000005</v>
      </c>
      <c r="E70" s="2"/>
      <c r="F70" s="2"/>
      <c r="G70" s="31"/>
      <c r="H70" s="38"/>
      <c r="I70" s="28"/>
      <c r="J70" s="2"/>
    </row>
    <row r="71" spans="1:10" s="24" customFormat="1" x14ac:dyDescent="0.35">
      <c r="A71" s="3" t="s">
        <v>78</v>
      </c>
      <c r="B71" s="3"/>
      <c r="C71" s="3">
        <v>345.95800000000003</v>
      </c>
      <c r="D71" s="3">
        <v>81.55</v>
      </c>
      <c r="E71" s="2"/>
      <c r="F71" s="2"/>
      <c r="G71" s="31"/>
      <c r="H71" s="38"/>
      <c r="I71" s="28"/>
      <c r="J71" s="2"/>
    </row>
    <row r="72" spans="1:10" s="24" customFormat="1" x14ac:dyDescent="0.35">
      <c r="A72" s="3" t="s">
        <v>79</v>
      </c>
      <c r="B72" s="3"/>
      <c r="C72" s="3">
        <v>334.67</v>
      </c>
      <c r="D72" s="3">
        <v>79.578000000000003</v>
      </c>
      <c r="E72" s="2"/>
      <c r="F72" s="2"/>
      <c r="G72" s="31"/>
      <c r="H72" s="38"/>
      <c r="I72" s="28"/>
      <c r="J72" s="2"/>
    </row>
    <row r="73" spans="1:10" s="24" customFormat="1" x14ac:dyDescent="0.35">
      <c r="A73" s="3" t="s">
        <v>80</v>
      </c>
      <c r="B73" s="3"/>
      <c r="C73" s="3">
        <v>368.428</v>
      </c>
      <c r="D73" s="3">
        <v>81.701999999999998</v>
      </c>
      <c r="E73" s="2"/>
      <c r="F73" s="2"/>
      <c r="G73" s="31"/>
      <c r="H73" s="38"/>
      <c r="I73" s="28"/>
      <c r="J73" s="2"/>
    </row>
    <row r="74" spans="1:10" s="24" customFormat="1" x14ac:dyDescent="0.35">
      <c r="A74" s="3" t="s">
        <v>81</v>
      </c>
      <c r="B74" s="3"/>
      <c r="C74" s="3">
        <v>377.42</v>
      </c>
      <c r="D74" s="3">
        <v>86.298000000000002</v>
      </c>
      <c r="E74" s="2"/>
      <c r="F74" s="2"/>
      <c r="G74" s="31"/>
      <c r="H74" s="38"/>
      <c r="I74" s="28"/>
      <c r="J74" s="2"/>
    </row>
    <row r="75" spans="1:10" s="24" customFormat="1" x14ac:dyDescent="0.35">
      <c r="A75" s="3" t="s">
        <v>82</v>
      </c>
      <c r="B75" s="3"/>
      <c r="C75" s="3">
        <v>349.97800000000001</v>
      </c>
      <c r="D75" s="3">
        <v>80.677999999999997</v>
      </c>
      <c r="E75" s="2"/>
      <c r="F75" s="2"/>
      <c r="G75" s="31"/>
      <c r="H75" s="38"/>
      <c r="I75" s="28"/>
      <c r="J75" s="2"/>
    </row>
    <row r="76" spans="1:10" s="24" customFormat="1" x14ac:dyDescent="0.35">
      <c r="A76" s="3" t="s">
        <v>83</v>
      </c>
      <c r="B76" s="3"/>
      <c r="C76" s="3">
        <v>336.392</v>
      </c>
      <c r="D76" s="3">
        <v>79.561000000000007</v>
      </c>
      <c r="E76" s="2"/>
      <c r="F76" s="2"/>
      <c r="G76" s="31"/>
      <c r="H76" s="38"/>
      <c r="I76" s="28"/>
      <c r="J76" s="2"/>
    </row>
    <row r="77" spans="1:10" s="24" customFormat="1" x14ac:dyDescent="0.35">
      <c r="A77" s="3" t="s">
        <v>84</v>
      </c>
      <c r="B77" s="3"/>
      <c r="C77" s="3">
        <v>341.66899999999998</v>
      </c>
      <c r="D77" s="3">
        <v>80.350999999999999</v>
      </c>
      <c r="E77" s="2"/>
      <c r="F77" s="2"/>
      <c r="G77" s="31"/>
      <c r="H77" s="38"/>
      <c r="I77" s="28"/>
      <c r="J77" s="2"/>
    </row>
    <row r="78" spans="1:10" s="24" customFormat="1" x14ac:dyDescent="0.35">
      <c r="A78" s="3" t="s">
        <v>85</v>
      </c>
      <c r="B78" s="3"/>
      <c r="C78" s="3">
        <v>340.88200000000001</v>
      </c>
      <c r="D78" s="3">
        <v>78.867000000000004</v>
      </c>
      <c r="E78" s="2"/>
      <c r="F78" s="2"/>
      <c r="G78" s="32"/>
      <c r="H78" s="27"/>
      <c r="I78" s="26"/>
      <c r="J78" s="2"/>
    </row>
    <row r="79" spans="1:10" s="24" customFormat="1" ht="15.75" customHeight="1" x14ac:dyDescent="0.35">
      <c r="A79" s="3" t="s">
        <v>86</v>
      </c>
      <c r="B79" s="3"/>
      <c r="C79" s="3">
        <v>337.185</v>
      </c>
      <c r="D79" s="3">
        <v>79.293000000000006</v>
      </c>
      <c r="E79" s="2"/>
      <c r="F79" s="2"/>
      <c r="G79" s="67"/>
      <c r="H79" s="67"/>
      <c r="I79" s="67"/>
      <c r="J79" s="2"/>
    </row>
    <row r="80" spans="1:10" s="24" customFormat="1" x14ac:dyDescent="0.35">
      <c r="A80" s="3"/>
      <c r="B80" s="3"/>
      <c r="C80" s="3"/>
      <c r="D80" s="3"/>
      <c r="E80" s="2"/>
      <c r="F80" s="2"/>
      <c r="G80" s="2"/>
      <c r="H80" s="2"/>
      <c r="I80" s="2"/>
      <c r="J80" s="2"/>
    </row>
    <row r="81" spans="1:10" s="24" customFormat="1" x14ac:dyDescent="0.35">
      <c r="A81" s="16" t="s">
        <v>87</v>
      </c>
      <c r="B81" s="16"/>
      <c r="C81" s="16">
        <v>351.31099999999998</v>
      </c>
      <c r="D81" s="16">
        <v>81.397000000000006</v>
      </c>
      <c r="E81" s="2"/>
      <c r="F81" s="2"/>
      <c r="G81" s="3"/>
      <c r="H81" s="2"/>
      <c r="I81" s="2"/>
      <c r="J81" s="2"/>
    </row>
  </sheetData>
  <mergeCells count="2">
    <mergeCell ref="G43:I43"/>
    <mergeCell ref="G79:I79"/>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C6582C4148E3B440BFB62DD623A30E67" ma:contentTypeVersion="14" ma:contentTypeDescription="Create a new document." ma:contentTypeScope="" ma:versionID="4033c883ecaa469677da7c59df627333">
  <xsd:schema xmlns:xsd="http://www.w3.org/2001/XMLSchema" xmlns:xs="http://www.w3.org/2001/XMLSchema" xmlns:p="http://schemas.microsoft.com/office/2006/metadata/properties" xmlns:ns2="2f758dc8-839e-489e-a80f-fff00b4baf60" xmlns:ns3="e8161222-89b8-4df9-88e0-63f255b2bc9a" targetNamespace="http://schemas.microsoft.com/office/2006/metadata/properties" ma:root="true" ma:fieldsID="05671fb9574e30b71aa16da82977c5fe" ns2:_="" ns3:_="">
    <xsd:import namespace="2f758dc8-839e-489e-a80f-fff00b4baf60"/>
    <xsd:import namespace="e8161222-89b8-4df9-88e0-63f255b2bc9a"/>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DateTaken" minOccurs="0"/>
                <xsd:element ref="ns3:SharedWithUsers" minOccurs="0"/>
                <xsd:element ref="ns3:SharedWithDetails" minOccurs="0"/>
                <xsd:element ref="ns2:MediaLengthInSeconds"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f758dc8-839e-489e-a80f-fff00b4baf6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a7334e89-0b5a-479c-ac9f-74724dd37f67" ma:termSetId="09814cd3-568e-fe90-9814-8d621ff8fb84" ma:anchorId="fba54fb3-c3e1-fe81-a776-ca4b69148c4d" ma:open="true" ma:isKeyword="false">
      <xsd:complexType>
        <xsd:sequence>
          <xsd:element ref="pc:Terms" minOccurs="0" maxOccurs="1"/>
        </xsd:sequence>
      </xsd:complex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MediaServiceSearchProperties" ma:index="20" nillable="true" ma:displayName="MediaServiceSearchProperties" ma:hidden="true" ma:internalName="MediaServiceSearchProperties" ma:readOnly="true">
      <xsd:simpleType>
        <xsd:restriction base="dms:Note"/>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8161222-89b8-4df9-88e0-63f255b2bc9a"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1934df99-d168-43da-a03e-f40fe2ce4e2a}" ma:internalName="TaxCatchAll" ma:showField="CatchAllData" ma:web="e8161222-89b8-4df9-88e0-63f255b2bc9a">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2f758dc8-839e-489e-a80f-fff00b4baf60">
      <Terms xmlns="http://schemas.microsoft.com/office/infopath/2007/PartnerControls"/>
    </lcf76f155ced4ddcb4097134ff3c332f>
    <TaxCatchAll xmlns="e8161222-89b8-4df9-88e0-63f255b2bc9a" xsi:nil="true"/>
  </documentManagement>
</p:properties>
</file>

<file path=customXml/itemProps1.xml><?xml version="1.0" encoding="utf-8"?>
<ds:datastoreItem xmlns:ds="http://schemas.openxmlformats.org/officeDocument/2006/customXml" ds:itemID="{541A9A59-7A19-4502-A543-1EB07A8882D4}">
  <ds:schemaRefs>
    <ds:schemaRef ds:uri="http://schemas.microsoft.com/sharepoint/v3/contenttype/forms"/>
  </ds:schemaRefs>
</ds:datastoreItem>
</file>

<file path=customXml/itemProps2.xml><?xml version="1.0" encoding="utf-8"?>
<ds:datastoreItem xmlns:ds="http://schemas.openxmlformats.org/officeDocument/2006/customXml" ds:itemID="{D512F171-19FB-4ECB-9AB1-696807520E4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f758dc8-839e-489e-a80f-fff00b4baf60"/>
    <ds:schemaRef ds:uri="e8161222-89b8-4df9-88e0-63f255b2bc9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2A81166-FD02-4A57-8BCF-01324CA71B5F}">
  <ds:schemaRefs>
    <ds:schemaRef ds:uri="http://purl.org/dc/dcmitype/"/>
    <ds:schemaRef ds:uri="http://schemas.microsoft.com/office/2006/documentManagement/types"/>
    <ds:schemaRef ds:uri="http://purl.org/dc/elements/1.1/"/>
    <ds:schemaRef ds:uri="http://schemas.microsoft.com/office/2006/metadata/properties"/>
    <ds:schemaRef ds:uri="4c18adb1-ee00-4edb-a958-03a8e49ad2d5"/>
    <ds:schemaRef ds:uri="http://purl.org/dc/terms/"/>
    <ds:schemaRef ds:uri="http://www.w3.org/XML/1998/namespace"/>
    <ds:schemaRef ds:uri="d147a0bc-e26f-44a9-8c16-82893c254734"/>
    <ds:schemaRef ds:uri="http://schemas.microsoft.com/office/infopath/2007/PartnerControls"/>
    <ds:schemaRef ds:uri="http://schemas.openxmlformats.org/package/2006/metadata/core-properties"/>
    <ds:schemaRef ds:uri="2f758dc8-839e-489e-a80f-fff00b4baf60"/>
    <ds:schemaRef ds:uri="e8161222-89b8-4df9-88e0-63f255b2bc9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MAIN SHEET GHG TOTALS</vt:lpstr>
      <vt:lpstr>BART Forecast</vt:lpstr>
      <vt:lpstr>Grant-based Ridership Increases</vt:lpstr>
      <vt:lpstr>Avoided Trips</vt:lpstr>
      <vt:lpstr>GHG Estimates</vt:lpstr>
      <vt:lpstr>Emission Factors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Dennis Lee</dc:creator>
  <cp:lastModifiedBy>Krute Singa</cp:lastModifiedBy>
  <dcterms:created xsi:type="dcterms:W3CDTF">2024-03-22T18:05:49Z</dcterms:created>
  <dcterms:modified xsi:type="dcterms:W3CDTF">2024-03-29T03:18:53Z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0x010100C6582C4148E3B440BFB62DD623A30E67</vt:lpwstr>
  </property>
</Properties>
</file>