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28"/>
  <workbookPr/>
  <mc:AlternateContent xmlns:mc="http://schemas.openxmlformats.org/markup-compatibility/2006">
    <mc:Choice Requires="x15">
      <x15ac:absPath xmlns:x15ac="http://schemas.microsoft.com/office/spreadsheetml/2010/11/ac" url="https://bayareametro-my.sharepoint.com/personal/jmandella_bayareametro_gov/Documents/Projects/EPA Grant/Off-Model Calculators to Adapt/Final/"/>
    </mc:Choice>
  </mc:AlternateContent>
  <xr:revisionPtr revIDLastSave="278" documentId="8_{F72C24C3-9C48-4517-88F6-6043DE12F3C9}" xr6:coauthVersionLast="47" xr6:coauthVersionMax="47" xr10:uidLastSave="{315CAA4C-1972-4FEB-9A76-15E7480F7718}"/>
  <bookViews>
    <workbookView xWindow="2340" yWindow="-16320" windowWidth="29040" windowHeight="15840" xr2:uid="{00000000-000D-0000-FFFF-FFFF00000000}"/>
  </bookViews>
  <sheets>
    <sheet name="Info" sheetId="1" r:id="rId1"/>
    <sheet name="Page 3" sheetId="2" r:id="rId2"/>
    <sheet name="Page 5" sheetId="4" r:id="rId3"/>
    <sheet name="Cost-Effectiveness" sheetId="5" r:id="rId4"/>
    <sheet name="Comparison to Grant Proposal" sheetId="6" r:id="rId5"/>
  </sheet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4" i="5" l="1"/>
  <c r="B3" i="6" s="1"/>
  <c r="C8" i="6"/>
  <c r="C22" i="6" s="1"/>
  <c r="B8" i="6"/>
  <c r="B22" i="6" s="1"/>
  <c r="C11" i="6"/>
  <c r="C25" i="6" s="1"/>
  <c r="B11" i="6"/>
  <c r="B25" i="6" s="1"/>
  <c r="C9" i="6" l="1"/>
  <c r="C23" i="6" s="1"/>
  <c r="C10" i="6"/>
  <c r="C24" i="6" s="1"/>
  <c r="B10" i="6"/>
  <c r="B24" i="6" s="1"/>
  <c r="I4" i="5"/>
  <c r="I5" i="5"/>
  <c r="I6" i="5"/>
  <c r="I7" i="5"/>
  <c r="I8" i="5"/>
  <c r="I9" i="5"/>
  <c r="I10" i="5"/>
  <c r="I11" i="5"/>
  <c r="I12" i="5"/>
  <c r="I13" i="5"/>
  <c r="I14" i="5"/>
  <c r="I15" i="5"/>
  <c r="I16" i="5"/>
  <c r="I17" i="5"/>
  <c r="I18" i="5"/>
  <c r="I19" i="5"/>
  <c r="I20" i="5"/>
  <c r="I21" i="5"/>
  <c r="I22" i="5"/>
  <c r="I23" i="5"/>
  <c r="I24" i="5"/>
  <c r="I25" i="5"/>
  <c r="I26" i="5"/>
  <c r="I27" i="5"/>
  <c r="I28" i="5"/>
  <c r="I29" i="5"/>
  <c r="I30" i="5"/>
  <c r="I31" i="5"/>
  <c r="I3" i="5"/>
  <c r="H4" i="5"/>
  <c r="H5" i="5"/>
  <c r="H6" i="5"/>
  <c r="H7" i="5"/>
  <c r="H8" i="5"/>
  <c r="H9" i="5"/>
  <c r="H10" i="5"/>
  <c r="H11" i="5"/>
  <c r="H12" i="5"/>
  <c r="H13" i="5"/>
  <c r="H14" i="5"/>
  <c r="H15" i="5"/>
  <c r="H16" i="5"/>
  <c r="H17" i="5"/>
  <c r="H18" i="5"/>
  <c r="H19" i="5"/>
  <c r="H20" i="5"/>
  <c r="H21" i="5"/>
  <c r="H22" i="5"/>
  <c r="H23" i="5"/>
  <c r="H24" i="5"/>
  <c r="H25" i="5"/>
  <c r="H26" i="5"/>
  <c r="H27" i="5"/>
  <c r="H28" i="5"/>
  <c r="H29" i="5"/>
  <c r="H30" i="5"/>
  <c r="H31" i="5"/>
  <c r="H3" i="5"/>
  <c r="C36" i="4"/>
  <c r="B36" i="4"/>
  <c r="E4" i="5"/>
  <c r="D31" i="5"/>
  <c r="E31" i="5" s="1"/>
  <c r="D30" i="5"/>
  <c r="E30" i="5" s="1"/>
  <c r="D29" i="5"/>
  <c r="E29" i="5" s="1"/>
  <c r="D28" i="5"/>
  <c r="D27" i="5"/>
  <c r="E27" i="5" s="1"/>
  <c r="D26" i="5"/>
  <c r="E26" i="5" s="1"/>
  <c r="D25" i="5"/>
  <c r="D24" i="5"/>
  <c r="E24" i="5" s="1"/>
  <c r="D23" i="5"/>
  <c r="D22" i="5"/>
  <c r="D21" i="5"/>
  <c r="E21" i="5" s="1"/>
  <c r="D20" i="5"/>
  <c r="D19" i="5"/>
  <c r="E19" i="5" s="1"/>
  <c r="D18" i="5"/>
  <c r="E18" i="5" s="1"/>
  <c r="D17" i="5"/>
  <c r="D16" i="5"/>
  <c r="D15" i="5"/>
  <c r="E15" i="5" s="1"/>
  <c r="D14" i="5"/>
  <c r="E14" i="5" s="1"/>
  <c r="D13" i="5"/>
  <c r="E13" i="5" s="1"/>
  <c r="D12" i="5"/>
  <c r="E12" i="5" s="1"/>
  <c r="D11" i="5"/>
  <c r="D10" i="5"/>
  <c r="E10" i="5" s="1"/>
  <c r="D9" i="5"/>
  <c r="E9" i="5" s="1"/>
  <c r="D8" i="5"/>
  <c r="E8" i="5" s="1"/>
  <c r="D7" i="5"/>
  <c r="E7" i="5" s="1"/>
  <c r="D6" i="5"/>
  <c r="E6" i="5" s="1"/>
  <c r="D5" i="5"/>
  <c r="E5" i="5" s="1"/>
  <c r="D4" i="5"/>
  <c r="E16" i="5"/>
  <c r="E11" i="5"/>
  <c r="E23" i="5"/>
  <c r="D3" i="5"/>
  <c r="E3" i="5" s="1"/>
  <c r="E17" i="5"/>
  <c r="E20" i="5"/>
  <c r="E22" i="5"/>
  <c r="E25" i="5"/>
  <c r="E28" i="5"/>
  <c r="E35" i="5" l="1"/>
  <c r="E37" i="5"/>
  <c r="E36" i="5"/>
  <c r="B17" i="6" l="1"/>
  <c r="C7" i="6"/>
  <c r="C21" i="6" s="1"/>
  <c r="C6" i="6"/>
  <c r="C20" i="6" s="1"/>
  <c r="B9" i="6"/>
  <c r="B23" i="6" s="1"/>
  <c r="B7" i="6"/>
  <c r="B21" i="6" s="1"/>
  <c r="B6" i="6"/>
  <c r="B20" i="6" s="1"/>
  <c r="C34" i="4" l="1"/>
  <c r="B34" i="4"/>
  <c r="C36" i="2"/>
  <c r="B36" i="2"/>
  <c r="I37" i="5" l="1"/>
  <c r="I35" i="5"/>
  <c r="C17" i="6"/>
  <c r="I36" i="5"/>
  <c r="I34" i="5"/>
  <c r="C3" i="6" s="1"/>
</calcChain>
</file>

<file path=xl/sharedStrings.xml><?xml version="1.0" encoding="utf-8"?>
<sst xmlns="http://schemas.openxmlformats.org/spreadsheetml/2006/main" count="169" uniqueCount="76">
  <si>
    <t>BACKGROUND INFO</t>
  </si>
  <si>
    <t>From Georgetown Climate Center's analysis of GHG reduction based on specific transportation investments, using a model created by Cambridge Systematics. This link shows an analysis of potential transportation investments within the Infrastructure Investment and Jobs Act (IIJA). By comparing investment amounts in various categories on page 3 to the cumulative GHG reduced in those same categories in page 5, it is possible to calculate robust cost-effectiveness figures for the transportation sector. Further explanation at the second link.</t>
  </si>
  <si>
    <t>https://www.georgetownclimate.org/files/report/IIJA_Figures.pdf</t>
  </si>
  <si>
    <t>https://www.georgetownclimate.org/articles/federal-infrastructure-investment-analysis.html</t>
  </si>
  <si>
    <t>Cumlative amount spent, in $millions</t>
  </si>
  <si>
    <t>Strategy Type</t>
  </si>
  <si>
    <t>IIJA High Emission Scenario (less investment in low-carbon strategies), 5 years</t>
  </si>
  <si>
    <t>IIJA Low Emission (more investment in low-carbon strategies), 5 years</t>
  </si>
  <si>
    <t>Light duty Evs</t>
  </si>
  <si>
    <t>Electric transit buses</t>
  </si>
  <si>
    <t>Electric school buses</t>
  </si>
  <si>
    <t>Electric trucks - MDT/urban</t>
  </si>
  <si>
    <t>Electric trucks -HDT/short-haul</t>
  </si>
  <si>
    <t>Hydrogen trucks - long-haul</t>
  </si>
  <si>
    <t>Passenger rail electrification</t>
  </si>
  <si>
    <t>Shared ride incentives</t>
  </si>
  <si>
    <t>Micromobility: shared e-scooters &amp; e-bikes</t>
  </si>
  <si>
    <t>Micromobility: e-bike ownership subsidies</t>
  </si>
  <si>
    <t>Land use/smart growth</t>
  </si>
  <si>
    <t>Bicycle investment</t>
  </si>
  <si>
    <t>Pedestrian investment</t>
  </si>
  <si>
    <t>Travel demand management</t>
  </si>
  <si>
    <t>Systems operations</t>
  </si>
  <si>
    <t>Freight/intermodal</t>
  </si>
  <si>
    <t>Highway preservation</t>
  </si>
  <si>
    <t>Highway expansion</t>
  </si>
  <si>
    <t>Bus rapid transit</t>
  </si>
  <si>
    <t>Urban rail</t>
  </si>
  <si>
    <t>Commuter rail</t>
  </si>
  <si>
    <t>Intercity rail</t>
  </si>
  <si>
    <t>Bus service: expansion</t>
  </si>
  <si>
    <t>Bus service: efficiency</t>
  </si>
  <si>
    <t>Electric microtransit</t>
  </si>
  <si>
    <t>Transit fare reduction</t>
  </si>
  <si>
    <t>SGR: Bus</t>
  </si>
  <si>
    <t>SGR: Urban rail</t>
  </si>
  <si>
    <t>SGR: Commuter/intercity rail</t>
  </si>
  <si>
    <t>Indirect (Other, non-GHG reducing)</t>
  </si>
  <si>
    <t>SUM</t>
  </si>
  <si>
    <t>SUM without indirect</t>
  </si>
  <si>
    <t>Cumlative GHG reduced, in million metric tonnes (mmtCO2e)</t>
  </si>
  <si>
    <t>IIJA High Emission, 5 years</t>
  </si>
  <si>
    <t>IIJA Low Emission, 5 years</t>
  </si>
  <si>
    <t>N/A</t>
  </si>
  <si>
    <t>Emissions SUM</t>
  </si>
  <si>
    <t>Cumulative amount spent and GHG reductions</t>
  </si>
  <si>
    <t>COLUMN COPIED FROM PAGE 3</t>
  </si>
  <si>
    <t>COLUMN COPIED FROM PAGE 5</t>
  </si>
  <si>
    <t>CALCULATED COLUMN</t>
  </si>
  <si>
    <t>Cost in IIJA High Emission Scenario (less investment in low-carbon strategies), in $millions</t>
  </si>
  <si>
    <t>GHG Reduced (in millions of mtCO2e -- mmtCO2e)</t>
  </si>
  <si>
    <t>GHG Reduced (mmtCO2e) (GHG-increasing screened out)</t>
  </si>
  <si>
    <t>Cost-Effectiveness of GHG-REDUCING strategies only</t>
  </si>
  <si>
    <t>Cost in IIJA Low Emission Scenario (more investment in low-carbon strategies), in $millions</t>
  </si>
  <si>
    <t>Light duty EVs</t>
  </si>
  <si>
    <t>AVERAGE COST-EFFECTIVENESS</t>
  </si>
  <si>
    <t>MEDIAN COST-EFFECTIVENESS</t>
  </si>
  <si>
    <t>BEST COST-EFFECTIVENESS</t>
  </si>
  <si>
    <t>WORST COST-EFFECTIVENESS</t>
  </si>
  <si>
    <t>All numbers in this tab are $/mtCO2e</t>
  </si>
  <si>
    <t>Meta-analysis of IIJA investment cost-effectiveness</t>
  </si>
  <si>
    <t>High-Emission IIJA Investment Scenario</t>
  </si>
  <si>
    <t>Low-Emission IIJA Investment Scenario</t>
  </si>
  <si>
    <t>Comparing cost-effectiveness in cell above with cells below</t>
  </si>
  <si>
    <r>
      <rPr>
        <sz val="11"/>
        <color rgb="FF00B050"/>
        <rFont val="Calibri"/>
        <family val="2"/>
        <scheme val="minor"/>
      </rPr>
      <t>Better cost-effectiveness in</t>
    </r>
    <r>
      <rPr>
        <sz val="11"/>
        <color theme="1"/>
        <rFont val="Calibri"/>
        <family val="2"/>
        <scheme val="minor"/>
      </rPr>
      <t xml:space="preserve"> </t>
    </r>
    <r>
      <rPr>
        <sz val="11"/>
        <color rgb="FF00B050"/>
        <rFont val="Calibri"/>
        <family val="2"/>
        <scheme val="minor"/>
      </rPr>
      <t>green</t>
    </r>
    <r>
      <rPr>
        <sz val="11"/>
        <color theme="1"/>
        <rFont val="Calibri"/>
        <family val="2"/>
        <scheme val="minor"/>
      </rPr>
      <t xml:space="preserve">, </t>
    </r>
    <r>
      <rPr>
        <sz val="11"/>
        <color rgb="FFFF0000"/>
        <rFont val="Calibri"/>
        <family val="2"/>
        <scheme val="minor"/>
      </rPr>
      <t>worse cost-effectiveness in red</t>
    </r>
  </si>
  <si>
    <t>Grant Proposal Measures in first performance period (2025-2030) cost-effectiveness</t>
  </si>
  <si>
    <t>Grant Proposal Measures in second performance period (2025-2050) cost-effectiveness</t>
  </si>
  <si>
    <t>EV Chargers</t>
  </si>
  <si>
    <t>Bikeshare</t>
  </si>
  <si>
    <t>Outreach</t>
  </si>
  <si>
    <t>Note: MTC would bear Clipper START costs (50% off transit fares) in Outreach strategy (while grant funds enable the outreach to actually occur), so grant cost-effectiveness is very strong since calculation excludes Clipper START costs</t>
  </si>
  <si>
    <t>Ebike Incentives</t>
  </si>
  <si>
    <t>Mobility Hub Capital Improvements</t>
  </si>
  <si>
    <t>Note: capital improvements take longer to pay off in terms of GHG reduction, though they also last long term. In the long term (Column C), the capital improvements become quite cost-effective</t>
  </si>
  <si>
    <t>Overall Grant Measures</t>
  </si>
  <si>
    <t>Same, screening out any strategies unrelated to grant proposal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</si>
</sst>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12">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u/>
      <sz val="11"/>
      <color theme="10"/>
      <name val="Calibri"/>
      <family val="2"/>
      <scheme val="minor"/>
    </font>
    <font>
      <b/>
      <sz val="16"/>
      <color theme="0"/>
      <name val="Calibri"/>
      <family val="2"/>
      <scheme val="minor"/>
    </font>
    <font>
      <sz val="11"/>
      <color rgb="FF00B050"/>
      <name val="Calibri"/>
      <family val="2"/>
      <scheme val="minor"/>
    </font>
    <font>
      <b/>
      <sz val="11"/>
      <color rgb="FF00B050"/>
      <name val="Calibri"/>
      <family val="2"/>
      <scheme val="minor"/>
    </font>
    <font>
      <b/>
      <sz val="12"/>
      <color theme="1"/>
      <name val="Calibri"/>
      <family val="2"/>
      <scheme val="minor"/>
    </font>
    <font>
      <b/>
      <sz val="14"/>
      <color theme="1"/>
      <name val="Calibri"/>
      <family val="2"/>
      <scheme val="minor"/>
    </font>
    <font>
      <sz val="10"/>
      <color theme="1"/>
      <name val="Calibri"/>
      <family val="2"/>
      <scheme val="minor"/>
    </font>
  </fonts>
  <fills count="7">
    <fill>
      <patternFill patternType="none"/>
    </fill>
    <fill>
      <patternFill patternType="gray125"/>
    </fill>
    <fill>
      <patternFill patternType="solid">
        <fgColor rgb="FF0070C0"/>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rgb="FF00B0F0"/>
        <bgColor indexed="64"/>
      </patternFill>
    </fill>
    <fill>
      <patternFill patternType="solid">
        <fgColor rgb="FFFFFF00"/>
        <bgColor indexed="64"/>
      </patternFill>
    </fill>
  </fills>
  <borders count="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right/>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rgb="FF000000"/>
      </right>
      <top/>
      <bottom/>
      <diagonal/>
    </border>
  </borders>
  <cellStyleXfs count="3">
    <xf numFmtId="0" fontId="0" fillId="0" borderId="0"/>
    <xf numFmtId="43" fontId="1" fillId="0" borderId="0" applyFont="0" applyFill="0" applyBorder="0" applyAlignment="0" applyProtection="0"/>
    <xf numFmtId="0" fontId="5" fillId="0" borderId="0" applyNumberFormat="0" applyFill="0" applyBorder="0" applyAlignment="0" applyProtection="0"/>
  </cellStyleXfs>
  <cellXfs count="35">
    <xf numFmtId="0" fontId="0" fillId="0" borderId="0" xfId="0"/>
    <xf numFmtId="0" fontId="0" fillId="0" borderId="0" xfId="0" applyAlignment="1">
      <alignment wrapText="1"/>
    </xf>
    <xf numFmtId="0" fontId="5" fillId="0" borderId="0" xfId="2"/>
    <xf numFmtId="0" fontId="6" fillId="2" borderId="0" xfId="0" applyFont="1" applyFill="1"/>
    <xf numFmtId="2" fontId="0" fillId="0" borderId="0" xfId="0" applyNumberFormat="1"/>
    <xf numFmtId="164" fontId="4" fillId="0" borderId="0" xfId="0" applyNumberFormat="1" applyFont="1"/>
    <xf numFmtId="0" fontId="0" fillId="0" borderId="2" xfId="0" applyBorder="1"/>
    <xf numFmtId="164" fontId="0" fillId="0" borderId="2" xfId="0" applyNumberFormat="1" applyBorder="1"/>
    <xf numFmtId="0" fontId="0" fillId="0" borderId="3" xfId="0" applyBorder="1"/>
    <xf numFmtId="0" fontId="0" fillId="0" borderId="2" xfId="0" applyBorder="1" applyAlignment="1">
      <alignment horizontal="center" vertical="center" wrapText="1"/>
    </xf>
    <xf numFmtId="0" fontId="2" fillId="5" borderId="2" xfId="0" applyFont="1" applyFill="1" applyBorder="1" applyAlignment="1">
      <alignment vertical="center" wrapText="1"/>
    </xf>
    <xf numFmtId="0" fontId="2" fillId="3" borderId="2" xfId="0" applyFont="1" applyFill="1" applyBorder="1" applyAlignment="1">
      <alignment vertical="center" wrapText="1"/>
    </xf>
    <xf numFmtId="164" fontId="0" fillId="0" borderId="2" xfId="1" applyNumberFormat="1" applyFont="1" applyBorder="1"/>
    <xf numFmtId="0" fontId="0" fillId="0" borderId="6" xfId="0" applyBorder="1"/>
    <xf numFmtId="164" fontId="8" fillId="0" borderId="6" xfId="1" applyNumberFormat="1" applyFont="1" applyBorder="1"/>
    <xf numFmtId="0" fontId="0" fillId="0" borderId="5" xfId="0" applyBorder="1"/>
    <xf numFmtId="164" fontId="0" fillId="0" borderId="5" xfId="1" applyNumberFormat="1" applyFont="1" applyBorder="1"/>
    <xf numFmtId="0" fontId="4" fillId="0" borderId="4" xfId="0" applyFont="1" applyBorder="1" applyAlignment="1">
      <alignment wrapText="1"/>
    </xf>
    <xf numFmtId="0" fontId="10" fillId="0" borderId="0" xfId="0" applyFont="1" applyAlignment="1">
      <alignment wrapText="1"/>
    </xf>
    <xf numFmtId="0" fontId="9" fillId="0" borderId="0" xfId="0" applyFont="1"/>
    <xf numFmtId="164" fontId="4" fillId="6" borderId="0" xfId="0" applyNumberFormat="1" applyFont="1" applyFill="1"/>
    <xf numFmtId="164" fontId="4" fillId="0" borderId="0" xfId="1" applyNumberFormat="1" applyFont="1"/>
    <xf numFmtId="0" fontId="4" fillId="0" borderId="3" xfId="0" applyFont="1" applyBorder="1"/>
    <xf numFmtId="0" fontId="0" fillId="0" borderId="7" xfId="0" applyBorder="1" applyAlignment="1">
      <alignment horizontal="center" vertical="center" wrapText="1"/>
    </xf>
    <xf numFmtId="164" fontId="0" fillId="0" borderId="7" xfId="0" applyNumberFormat="1" applyBorder="1"/>
    <xf numFmtId="0" fontId="0" fillId="0" borderId="8" xfId="0" applyBorder="1"/>
    <xf numFmtId="0" fontId="0" fillId="0" borderId="8" xfId="0" applyBorder="1" applyAlignment="1">
      <alignment wrapText="1"/>
    </xf>
    <xf numFmtId="0" fontId="4" fillId="0" borderId="8" xfId="0" applyFont="1" applyBorder="1"/>
    <xf numFmtId="0" fontId="11" fillId="0" borderId="0" xfId="0" applyFont="1"/>
    <xf numFmtId="0" fontId="4" fillId="6" borderId="0" xfId="0" applyFont="1" applyFill="1" applyAlignment="1">
      <alignment wrapText="1"/>
    </xf>
    <xf numFmtId="0" fontId="2" fillId="2" borderId="1" xfId="0" applyFont="1" applyFill="1" applyBorder="1" applyAlignment="1">
      <alignment horizontal="center" vertical="center" wrapText="1"/>
    </xf>
    <xf numFmtId="0" fontId="2" fillId="2" borderId="0" xfId="0" applyFont="1" applyFill="1" applyAlignment="1">
      <alignment horizontal="center" vertical="center" wrapText="1"/>
    </xf>
    <xf numFmtId="0" fontId="4" fillId="4" borderId="7" xfId="0" applyFont="1" applyFill="1" applyBorder="1" applyAlignment="1">
      <alignment horizontal="center" vertical="center" wrapText="1"/>
    </xf>
    <xf numFmtId="0" fontId="4" fillId="4" borderId="2" xfId="0" applyFont="1" applyFill="1" applyBorder="1" applyAlignment="1">
      <alignment horizontal="center" vertical="center" wrapText="1"/>
    </xf>
    <xf numFmtId="0" fontId="0" fillId="0" borderId="0" xfId="0" applyAlignment="1">
      <alignment horizontal="center" vertical="center" wrapText="1"/>
    </xf>
  </cellXfs>
  <cellStyles count="3">
    <cellStyle name="Comma" xfId="1" builtinId="3"/>
    <cellStyle name="Hyperlink" xfId="2" builtinId="8"/>
    <cellStyle name="Normal" xfId="0" builtinId="0"/>
  </cellStyles>
  <dxfs count="8">
    <dxf>
      <font>
        <color rgb="FF00B050"/>
      </font>
    </dxf>
    <dxf>
      <font>
        <color rgb="FFFF0000"/>
      </font>
    </dxf>
    <dxf>
      <font>
        <color rgb="FF00B050"/>
      </font>
    </dxf>
    <dxf>
      <font>
        <color rgb="FFFF0000"/>
      </font>
    </dxf>
    <dxf>
      <font>
        <color rgb="FF00B050"/>
      </font>
    </dxf>
    <dxf>
      <font>
        <color rgb="FFFF0000"/>
      </font>
    </dxf>
    <dxf>
      <font>
        <color rgb="FF00B05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hyperlink" Target="https://www.georgetownclimate.org/articles/federal-infrastructure-investment-analysis.html" TargetMode="External"/><Relationship Id="rId1" Type="http://schemas.openxmlformats.org/officeDocument/2006/relationships/hyperlink" Target="https://www.georgetownclimate.org/files/report/IIJA_Figures.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4"/>
  <sheetViews>
    <sheetView tabSelected="1" zoomScale="115" zoomScaleNormal="115" workbookViewId="0"/>
  </sheetViews>
  <sheetFormatPr defaultRowHeight="14.45"/>
  <cols>
    <col min="1" max="1" width="94.42578125" customWidth="1"/>
  </cols>
  <sheetData>
    <row r="1" spans="1:1" ht="21">
      <c r="A1" s="3" t="s">
        <v>0</v>
      </c>
    </row>
    <row r="2" spans="1:1" ht="75.599999999999994" customHeight="1">
      <c r="A2" s="1" t="s">
        <v>1</v>
      </c>
    </row>
    <row r="3" spans="1:1">
      <c r="A3" s="2" t="s">
        <v>2</v>
      </c>
    </row>
    <row r="4" spans="1:1">
      <c r="A4" s="2" t="s">
        <v>3</v>
      </c>
    </row>
  </sheetData>
  <hyperlinks>
    <hyperlink ref="A3" r:id="rId1" xr:uid="{74CBEAB1-DD50-4044-AB42-04F2D8B5189B}"/>
    <hyperlink ref="A4" r:id="rId2" xr:uid="{D0C6CD12-F956-4EDD-8DF7-DAC862116DCB}"/>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F5E95-DF89-4A6D-BF4B-54E022A5E5C3}">
  <dimension ref="A1:C36"/>
  <sheetViews>
    <sheetView workbookViewId="0"/>
  </sheetViews>
  <sheetFormatPr defaultRowHeight="14.45"/>
  <cols>
    <col min="1" max="1" width="48.5703125" bestFit="1" customWidth="1"/>
    <col min="2" max="2" width="23.28515625" bestFit="1" customWidth="1"/>
    <col min="3" max="3" width="22.85546875" bestFit="1" customWidth="1"/>
  </cols>
  <sheetData>
    <row r="1" spans="1:3" ht="15.6">
      <c r="A1" s="19" t="s">
        <v>4</v>
      </c>
    </row>
    <row r="2" spans="1:3">
      <c r="A2" t="s">
        <v>5</v>
      </c>
      <c r="B2" t="s">
        <v>6</v>
      </c>
      <c r="C2" t="s">
        <v>7</v>
      </c>
    </row>
    <row r="3" spans="1:3">
      <c r="A3" t="s">
        <v>8</v>
      </c>
      <c r="B3">
        <v>6155</v>
      </c>
      <c r="C3">
        <v>14189</v>
      </c>
    </row>
    <row r="4" spans="1:3">
      <c r="A4" t="s">
        <v>9</v>
      </c>
      <c r="B4">
        <v>3472</v>
      </c>
      <c r="C4">
        <v>8881</v>
      </c>
    </row>
    <row r="5" spans="1:3">
      <c r="A5" t="s">
        <v>10</v>
      </c>
      <c r="B5">
        <v>4125</v>
      </c>
      <c r="C5">
        <v>5250</v>
      </c>
    </row>
    <row r="6" spans="1:3">
      <c r="A6" t="s">
        <v>11</v>
      </c>
      <c r="B6">
        <v>205</v>
      </c>
      <c r="C6">
        <v>4497</v>
      </c>
    </row>
    <row r="7" spans="1:3">
      <c r="A7" t="s">
        <v>12</v>
      </c>
      <c r="B7">
        <v>205</v>
      </c>
      <c r="C7">
        <v>4497</v>
      </c>
    </row>
    <row r="8" spans="1:3">
      <c r="A8" t="s">
        <v>13</v>
      </c>
      <c r="B8">
        <v>0</v>
      </c>
      <c r="C8">
        <v>0</v>
      </c>
    </row>
    <row r="9" spans="1:3">
      <c r="A9" t="s">
        <v>14</v>
      </c>
      <c r="B9">
        <v>0</v>
      </c>
      <c r="C9">
        <v>0</v>
      </c>
    </row>
    <row r="10" spans="1:3">
      <c r="A10" t="s">
        <v>15</v>
      </c>
      <c r="B10">
        <v>50</v>
      </c>
      <c r="C10">
        <v>100</v>
      </c>
    </row>
    <row r="11" spans="1:3">
      <c r="A11" t="s">
        <v>16</v>
      </c>
      <c r="B11">
        <v>2719</v>
      </c>
      <c r="C11">
        <v>119</v>
      </c>
    </row>
    <row r="12" spans="1:3">
      <c r="A12" t="s">
        <v>17</v>
      </c>
      <c r="B12">
        <v>2719</v>
      </c>
      <c r="C12">
        <v>129</v>
      </c>
    </row>
    <row r="13" spans="1:3">
      <c r="A13" t="s">
        <v>18</v>
      </c>
      <c r="B13">
        <v>105</v>
      </c>
      <c r="C13">
        <v>165</v>
      </c>
    </row>
    <row r="14" spans="1:3">
      <c r="A14" t="s">
        <v>19</v>
      </c>
      <c r="B14">
        <v>5445</v>
      </c>
      <c r="C14">
        <v>19968</v>
      </c>
    </row>
    <row r="15" spans="1:3">
      <c r="A15" t="s">
        <v>20</v>
      </c>
      <c r="B15">
        <v>12459</v>
      </c>
      <c r="C15">
        <v>14209</v>
      </c>
    </row>
    <row r="16" spans="1:3">
      <c r="A16" t="s">
        <v>21</v>
      </c>
      <c r="B16">
        <v>4062</v>
      </c>
      <c r="C16">
        <v>288</v>
      </c>
    </row>
    <row r="17" spans="1:3">
      <c r="A17" t="s">
        <v>22</v>
      </c>
      <c r="B17">
        <v>160</v>
      </c>
      <c r="C17">
        <v>8132</v>
      </c>
    </row>
    <row r="18" spans="1:3">
      <c r="A18" t="s">
        <v>23</v>
      </c>
      <c r="B18">
        <v>5923</v>
      </c>
      <c r="C18">
        <v>16940</v>
      </c>
    </row>
    <row r="19" spans="1:3">
      <c r="A19" t="s">
        <v>24</v>
      </c>
      <c r="B19">
        <v>150934</v>
      </c>
      <c r="C19">
        <v>252491</v>
      </c>
    </row>
    <row r="20" spans="1:3">
      <c r="A20" t="s">
        <v>25</v>
      </c>
      <c r="B20">
        <v>181491</v>
      </c>
      <c r="C20">
        <v>25388</v>
      </c>
    </row>
    <row r="21" spans="1:3">
      <c r="A21" t="s">
        <v>26</v>
      </c>
      <c r="B21">
        <v>7052</v>
      </c>
      <c r="C21">
        <v>10341</v>
      </c>
    </row>
    <row r="22" spans="1:3">
      <c r="A22" t="s">
        <v>27</v>
      </c>
      <c r="B22">
        <v>14820</v>
      </c>
      <c r="C22">
        <v>22566</v>
      </c>
    </row>
    <row r="23" spans="1:3">
      <c r="A23" t="s">
        <v>28</v>
      </c>
      <c r="B23">
        <v>53545</v>
      </c>
      <c r="C23">
        <v>28772</v>
      </c>
    </row>
    <row r="24" spans="1:3">
      <c r="A24" t="s">
        <v>29</v>
      </c>
      <c r="B24">
        <v>19389</v>
      </c>
      <c r="C24">
        <v>54062</v>
      </c>
    </row>
    <row r="25" spans="1:3">
      <c r="A25" t="s">
        <v>30</v>
      </c>
      <c r="B25">
        <v>8448</v>
      </c>
      <c r="C25">
        <v>5346</v>
      </c>
    </row>
    <row r="26" spans="1:3">
      <c r="A26" t="s">
        <v>31</v>
      </c>
      <c r="B26">
        <v>3246</v>
      </c>
      <c r="C26">
        <v>6111</v>
      </c>
    </row>
    <row r="27" spans="1:3">
      <c r="A27" t="s">
        <v>32</v>
      </c>
      <c r="B27">
        <v>55</v>
      </c>
      <c r="C27">
        <v>114</v>
      </c>
    </row>
    <row r="28" spans="1:3">
      <c r="A28" t="s">
        <v>33</v>
      </c>
      <c r="B28">
        <v>423</v>
      </c>
      <c r="C28">
        <v>1304</v>
      </c>
    </row>
    <row r="29" spans="1:3">
      <c r="A29" t="s">
        <v>34</v>
      </c>
      <c r="B29">
        <v>22740</v>
      </c>
      <c r="C29">
        <v>25369</v>
      </c>
    </row>
    <row r="30" spans="1:3">
      <c r="A30" t="s">
        <v>35</v>
      </c>
      <c r="B30">
        <v>31627</v>
      </c>
      <c r="C30">
        <v>43649</v>
      </c>
    </row>
    <row r="31" spans="1:3">
      <c r="A31" t="s">
        <v>36</v>
      </c>
      <c r="B31">
        <v>57408</v>
      </c>
      <c r="C31">
        <v>30745</v>
      </c>
    </row>
    <row r="32" spans="1:3">
      <c r="A32" t="s">
        <v>37</v>
      </c>
      <c r="B32">
        <v>64062</v>
      </c>
      <c r="C32">
        <v>59424</v>
      </c>
    </row>
    <row r="34" spans="1:3">
      <c r="A34" t="s">
        <v>38</v>
      </c>
      <c r="B34">
        <v>663045</v>
      </c>
      <c r="C34">
        <v>663045</v>
      </c>
    </row>
    <row r="36" spans="1:3">
      <c r="A36" t="s">
        <v>39</v>
      </c>
      <c r="B36">
        <f>B34-B32</f>
        <v>598983</v>
      </c>
      <c r="C36">
        <f>C34-C32</f>
        <v>603621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47E191-7B90-4999-BB82-3EB3D16E5E16}">
  <dimension ref="A1:C36"/>
  <sheetViews>
    <sheetView workbookViewId="0"/>
  </sheetViews>
  <sheetFormatPr defaultRowHeight="14.45"/>
  <cols>
    <col min="1" max="1" width="48.5703125" bestFit="1" customWidth="1"/>
    <col min="2" max="2" width="23.28515625" bestFit="1" customWidth="1"/>
    <col min="3" max="3" width="22.85546875" bestFit="1" customWidth="1"/>
  </cols>
  <sheetData>
    <row r="1" spans="1:3" ht="15.6">
      <c r="A1" s="19" t="s">
        <v>40</v>
      </c>
    </row>
    <row r="2" spans="1:3">
      <c r="A2" t="s">
        <v>5</v>
      </c>
      <c r="B2" t="s">
        <v>41</v>
      </c>
      <c r="C2" t="s">
        <v>42</v>
      </c>
    </row>
    <row r="3" spans="1:3">
      <c r="A3" t="s">
        <v>8</v>
      </c>
      <c r="B3">
        <v>-24.39</v>
      </c>
      <c r="C3">
        <v>-56.22</v>
      </c>
    </row>
    <row r="4" spans="1:3">
      <c r="A4" t="s">
        <v>9</v>
      </c>
      <c r="B4">
        <v>-16.73</v>
      </c>
      <c r="C4">
        <v>-42.81</v>
      </c>
    </row>
    <row r="5" spans="1:3">
      <c r="A5" t="s">
        <v>10</v>
      </c>
      <c r="B5">
        <v>-5.7</v>
      </c>
      <c r="C5">
        <v>-7.26</v>
      </c>
    </row>
    <row r="6" spans="1:3">
      <c r="A6" t="s">
        <v>11</v>
      </c>
      <c r="B6">
        <v>-0.5</v>
      </c>
      <c r="C6">
        <v>-11.06</v>
      </c>
    </row>
    <row r="7" spans="1:3">
      <c r="A7" t="s">
        <v>12</v>
      </c>
      <c r="B7">
        <v>-0.36</v>
      </c>
      <c r="C7">
        <v>-8.01</v>
      </c>
    </row>
    <row r="8" spans="1:3">
      <c r="A8" t="s">
        <v>13</v>
      </c>
      <c r="B8">
        <v>0</v>
      </c>
      <c r="C8">
        <v>0</v>
      </c>
    </row>
    <row r="9" spans="1:3">
      <c r="A9" t="s">
        <v>14</v>
      </c>
      <c r="B9">
        <v>0</v>
      </c>
      <c r="C9">
        <v>0</v>
      </c>
    </row>
    <row r="10" spans="1:3">
      <c r="A10" t="s">
        <v>15</v>
      </c>
      <c r="B10">
        <v>0</v>
      </c>
      <c r="C10">
        <v>0</v>
      </c>
    </row>
    <row r="11" spans="1:3">
      <c r="A11" t="s">
        <v>16</v>
      </c>
      <c r="B11">
        <v>-0.15</v>
      </c>
      <c r="C11">
        <v>-0.01</v>
      </c>
    </row>
    <row r="12" spans="1:3">
      <c r="A12" t="s">
        <v>17</v>
      </c>
      <c r="B12">
        <v>-1.32</v>
      </c>
      <c r="C12">
        <v>-0.06</v>
      </c>
    </row>
    <row r="13" spans="1:3">
      <c r="A13" t="s">
        <v>18</v>
      </c>
      <c r="B13">
        <v>-0.24</v>
      </c>
      <c r="C13">
        <v>-0.38</v>
      </c>
    </row>
    <row r="14" spans="1:3">
      <c r="A14" t="s">
        <v>19</v>
      </c>
      <c r="B14">
        <v>-2.4500000000000002</v>
      </c>
      <c r="C14">
        <v>-7.97</v>
      </c>
    </row>
    <row r="15" spans="1:3">
      <c r="A15" t="s">
        <v>20</v>
      </c>
      <c r="B15">
        <v>-1.42</v>
      </c>
      <c r="C15">
        <v>-1.62</v>
      </c>
    </row>
    <row r="16" spans="1:3">
      <c r="A16" t="s">
        <v>21</v>
      </c>
      <c r="B16">
        <v>-0.93</v>
      </c>
      <c r="C16">
        <v>-7.0000000000000007E-2</v>
      </c>
    </row>
    <row r="17" spans="1:3">
      <c r="A17" t="s">
        <v>22</v>
      </c>
      <c r="B17">
        <v>-0.79</v>
      </c>
      <c r="C17">
        <v>-39.9</v>
      </c>
    </row>
    <row r="18" spans="1:3">
      <c r="A18" t="s">
        <v>23</v>
      </c>
      <c r="B18">
        <v>-6.98</v>
      </c>
      <c r="C18">
        <v>-19.96</v>
      </c>
    </row>
    <row r="19" spans="1:3">
      <c r="A19" t="s">
        <v>24</v>
      </c>
      <c r="B19">
        <v>-43.17</v>
      </c>
      <c r="C19">
        <v>-72.239999999999995</v>
      </c>
    </row>
    <row r="20" spans="1:3">
      <c r="A20" t="s">
        <v>25</v>
      </c>
      <c r="B20">
        <v>368.36</v>
      </c>
      <c r="C20">
        <v>51.52</v>
      </c>
    </row>
    <row r="21" spans="1:3">
      <c r="A21" t="s">
        <v>26</v>
      </c>
      <c r="B21">
        <v>0.34</v>
      </c>
      <c r="C21">
        <v>0.49</v>
      </c>
    </row>
    <row r="22" spans="1:3">
      <c r="A22" t="s">
        <v>27</v>
      </c>
      <c r="B22">
        <v>-1.73</v>
      </c>
      <c r="C22">
        <v>-2.64</v>
      </c>
    </row>
    <row r="23" spans="1:3">
      <c r="A23" t="s">
        <v>28</v>
      </c>
      <c r="B23">
        <v>-1.98</v>
      </c>
      <c r="C23">
        <v>-1.07</v>
      </c>
    </row>
    <row r="24" spans="1:3">
      <c r="A24" t="s">
        <v>29</v>
      </c>
      <c r="B24">
        <v>-2.95</v>
      </c>
      <c r="C24">
        <v>-8.2100000000000009</v>
      </c>
    </row>
    <row r="25" spans="1:3">
      <c r="A25" t="s">
        <v>30</v>
      </c>
      <c r="B25">
        <v>0.94</v>
      </c>
      <c r="C25">
        <v>0.59</v>
      </c>
    </row>
    <row r="26" spans="1:3">
      <c r="A26" t="s">
        <v>31</v>
      </c>
      <c r="B26">
        <v>-0.98</v>
      </c>
      <c r="C26">
        <v>-1.85</v>
      </c>
    </row>
    <row r="27" spans="1:3">
      <c r="A27" t="s">
        <v>32</v>
      </c>
      <c r="B27">
        <v>-0.01</v>
      </c>
      <c r="C27">
        <v>-0.02</v>
      </c>
    </row>
    <row r="28" spans="1:3">
      <c r="A28" t="s">
        <v>33</v>
      </c>
      <c r="B28">
        <v>-7.0000000000000007E-2</v>
      </c>
      <c r="C28">
        <v>-0.21</v>
      </c>
    </row>
    <row r="29" spans="1:3">
      <c r="A29" t="s">
        <v>34</v>
      </c>
      <c r="B29">
        <v>-9.59</v>
      </c>
      <c r="C29">
        <v>-10.69</v>
      </c>
    </row>
    <row r="30" spans="1:3">
      <c r="A30" t="s">
        <v>35</v>
      </c>
      <c r="B30">
        <v>-3.37</v>
      </c>
      <c r="C30">
        <v>-4.66</v>
      </c>
    </row>
    <row r="31" spans="1:3">
      <c r="A31" t="s">
        <v>36</v>
      </c>
      <c r="B31">
        <v>-13.13</v>
      </c>
      <c r="C31">
        <v>-7.03</v>
      </c>
    </row>
    <row r="32" spans="1:3">
      <c r="A32" t="s">
        <v>37</v>
      </c>
      <c r="B32" t="s">
        <v>43</v>
      </c>
      <c r="C32" t="s">
        <v>43</v>
      </c>
    </row>
    <row r="34" spans="1:3">
      <c r="A34" t="s">
        <v>44</v>
      </c>
      <c r="B34">
        <f>SUM(B3:B31)</f>
        <v>230.69999999999996</v>
      </c>
      <c r="C34">
        <f>SUM(C3:C31)</f>
        <v>-251.35000000000002</v>
      </c>
    </row>
    <row r="36" spans="1:3">
      <c r="A36" t="s">
        <v>39</v>
      </c>
      <c r="B36">
        <f>B34</f>
        <v>230.69999999999996</v>
      </c>
      <c r="C36">
        <f>C34</f>
        <v>-251.35000000000002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37FAAD-A3B3-4494-B80F-1B577B704028}">
  <dimension ref="A1:I37"/>
  <sheetViews>
    <sheetView workbookViewId="0"/>
  </sheetViews>
  <sheetFormatPr defaultRowHeight="14.45"/>
  <cols>
    <col min="1" max="1" width="45.42578125" customWidth="1"/>
    <col min="2" max="2" width="28.28515625" customWidth="1"/>
    <col min="3" max="3" width="22.85546875" customWidth="1"/>
    <col min="4" max="4" width="21.42578125" customWidth="1"/>
    <col min="5" max="5" width="16.85546875" bestFit="1" customWidth="1"/>
    <col min="6" max="6" width="29.7109375" customWidth="1"/>
    <col min="7" max="7" width="23" customWidth="1"/>
    <col min="8" max="8" width="21.42578125" customWidth="1"/>
    <col min="9" max="9" width="16.85546875" bestFit="1" customWidth="1"/>
  </cols>
  <sheetData>
    <row r="1" spans="1:9" ht="36.950000000000003">
      <c r="A1" s="18" t="s">
        <v>45</v>
      </c>
      <c r="B1" t="s">
        <v>46</v>
      </c>
      <c r="C1" t="s">
        <v>47</v>
      </c>
      <c r="D1" t="s">
        <v>48</v>
      </c>
      <c r="E1" t="s">
        <v>48</v>
      </c>
      <c r="F1" t="s">
        <v>46</v>
      </c>
      <c r="G1" t="s">
        <v>47</v>
      </c>
      <c r="H1" t="s">
        <v>48</v>
      </c>
      <c r="I1" t="s">
        <v>48</v>
      </c>
    </row>
    <row r="2" spans="1:9" ht="45" customHeight="1" thickBot="1">
      <c r="A2" s="17" t="s">
        <v>5</v>
      </c>
      <c r="B2" s="17" t="s">
        <v>49</v>
      </c>
      <c r="C2" s="17" t="s">
        <v>50</v>
      </c>
      <c r="D2" s="17" t="s">
        <v>51</v>
      </c>
      <c r="E2" s="17" t="s">
        <v>52</v>
      </c>
      <c r="F2" s="17" t="s">
        <v>53</v>
      </c>
      <c r="G2" s="17" t="s">
        <v>50</v>
      </c>
      <c r="H2" s="17" t="s">
        <v>51</v>
      </c>
      <c r="I2" s="17" t="s">
        <v>52</v>
      </c>
    </row>
    <row r="3" spans="1:9">
      <c r="A3" t="s">
        <v>54</v>
      </c>
      <c r="B3">
        <v>6155</v>
      </c>
      <c r="C3">
        <v>-24.39</v>
      </c>
      <c r="D3" s="4">
        <f>IF(C3&lt;0,C3,"N/A")</f>
        <v>-24.39</v>
      </c>
      <c r="E3" s="21">
        <f>IFERROR(B3/-D3,"N/A")</f>
        <v>252.35752357523575</v>
      </c>
      <c r="F3">
        <v>14189</v>
      </c>
      <c r="G3">
        <v>-56.22</v>
      </c>
      <c r="H3">
        <f>IF(G3&lt;0,G3,"N/A")</f>
        <v>-56.22</v>
      </c>
      <c r="I3" s="21">
        <f>IFERROR(F3/-H3,"N/A")</f>
        <v>252.38349341871222</v>
      </c>
    </row>
    <row r="4" spans="1:9">
      <c r="A4" t="s">
        <v>9</v>
      </c>
      <c r="B4">
        <v>3472</v>
      </c>
      <c r="C4">
        <v>-16.73</v>
      </c>
      <c r="D4" s="4">
        <f t="shared" ref="D4:D31" si="0">IF(C4&lt;0,C4,"N/A")</f>
        <v>-16.73</v>
      </c>
      <c r="E4" s="21">
        <f>IFERROR(B4/-D4,"N/A")</f>
        <v>207.53138075313808</v>
      </c>
      <c r="F4">
        <v>8881</v>
      </c>
      <c r="G4">
        <v>-42.81</v>
      </c>
      <c r="H4">
        <f t="shared" ref="H4:H31" si="1">IF(G4&lt;0,G4,"N/A")</f>
        <v>-42.81</v>
      </c>
      <c r="I4" s="21">
        <f t="shared" ref="I4:I31" si="2">IFERROR(F4/-H4,"N/A")</f>
        <v>207.45153001635131</v>
      </c>
    </row>
    <row r="5" spans="1:9">
      <c r="A5" t="s">
        <v>10</v>
      </c>
      <c r="B5">
        <v>4125</v>
      </c>
      <c r="C5">
        <v>-5.7</v>
      </c>
      <c r="D5" s="4">
        <f t="shared" si="0"/>
        <v>-5.7</v>
      </c>
      <c r="E5" s="21">
        <f t="shared" ref="E5:E31" si="3">IFERROR(B5/-D5,"N/A")</f>
        <v>723.68421052631572</v>
      </c>
      <c r="F5">
        <v>5250</v>
      </c>
      <c r="G5">
        <v>-7.26</v>
      </c>
      <c r="H5">
        <f t="shared" si="1"/>
        <v>-7.26</v>
      </c>
      <c r="I5" s="21">
        <f t="shared" si="2"/>
        <v>723.14049586776866</v>
      </c>
    </row>
    <row r="6" spans="1:9">
      <c r="A6" t="s">
        <v>11</v>
      </c>
      <c r="B6">
        <v>205</v>
      </c>
      <c r="C6">
        <v>-0.5</v>
      </c>
      <c r="D6" s="4">
        <f t="shared" si="0"/>
        <v>-0.5</v>
      </c>
      <c r="E6" s="21">
        <f>IFERROR(B6/-D6,"N/A")</f>
        <v>410</v>
      </c>
      <c r="F6">
        <v>4497</v>
      </c>
      <c r="G6">
        <v>-11.06</v>
      </c>
      <c r="H6">
        <f t="shared" si="1"/>
        <v>-11.06</v>
      </c>
      <c r="I6" s="21">
        <f t="shared" si="2"/>
        <v>406.60036166365279</v>
      </c>
    </row>
    <row r="7" spans="1:9">
      <c r="A7" t="s">
        <v>12</v>
      </c>
      <c r="B7">
        <v>205</v>
      </c>
      <c r="C7">
        <v>-0.36</v>
      </c>
      <c r="D7" s="4">
        <f t="shared" si="0"/>
        <v>-0.36</v>
      </c>
      <c r="E7" s="21">
        <f>IFERROR(B7/-D7,"N/A")</f>
        <v>569.44444444444446</v>
      </c>
      <c r="F7">
        <v>4497</v>
      </c>
      <c r="G7">
        <v>-8.01</v>
      </c>
      <c r="H7">
        <f t="shared" si="1"/>
        <v>-8.01</v>
      </c>
      <c r="I7" s="21">
        <f t="shared" si="2"/>
        <v>561.4232209737828</v>
      </c>
    </row>
    <row r="8" spans="1:9">
      <c r="A8" t="s">
        <v>13</v>
      </c>
      <c r="B8">
        <v>0</v>
      </c>
      <c r="C8">
        <v>0</v>
      </c>
      <c r="D8" s="4" t="str">
        <f t="shared" si="0"/>
        <v>N/A</v>
      </c>
      <c r="E8" s="21" t="str">
        <f>IFERROR(B8/-D8,"N/A")</f>
        <v>N/A</v>
      </c>
      <c r="F8">
        <v>0</v>
      </c>
      <c r="G8">
        <v>0</v>
      </c>
      <c r="H8" t="str">
        <f t="shared" si="1"/>
        <v>N/A</v>
      </c>
      <c r="I8" s="21" t="str">
        <f t="shared" si="2"/>
        <v>N/A</v>
      </c>
    </row>
    <row r="9" spans="1:9">
      <c r="A9" t="s">
        <v>14</v>
      </c>
      <c r="B9">
        <v>0</v>
      </c>
      <c r="C9">
        <v>0</v>
      </c>
      <c r="D9" s="4" t="str">
        <f t="shared" si="0"/>
        <v>N/A</v>
      </c>
      <c r="E9" s="21" t="str">
        <f t="shared" si="3"/>
        <v>N/A</v>
      </c>
      <c r="F9">
        <v>0</v>
      </c>
      <c r="G9">
        <v>0</v>
      </c>
      <c r="H9" t="str">
        <f t="shared" si="1"/>
        <v>N/A</v>
      </c>
      <c r="I9" s="21" t="str">
        <f t="shared" si="2"/>
        <v>N/A</v>
      </c>
    </row>
    <row r="10" spans="1:9">
      <c r="A10" t="s">
        <v>15</v>
      </c>
      <c r="B10">
        <v>50</v>
      </c>
      <c r="C10">
        <v>0</v>
      </c>
      <c r="D10" s="4" t="str">
        <f t="shared" si="0"/>
        <v>N/A</v>
      </c>
      <c r="E10" s="21" t="str">
        <f t="shared" si="3"/>
        <v>N/A</v>
      </c>
      <c r="F10">
        <v>100</v>
      </c>
      <c r="G10">
        <v>0</v>
      </c>
      <c r="H10" t="str">
        <f t="shared" si="1"/>
        <v>N/A</v>
      </c>
      <c r="I10" s="21" t="str">
        <f t="shared" si="2"/>
        <v>N/A</v>
      </c>
    </row>
    <row r="11" spans="1:9">
      <c r="A11" t="s">
        <v>16</v>
      </c>
      <c r="B11">
        <v>2719</v>
      </c>
      <c r="C11">
        <v>-0.15</v>
      </c>
      <c r="D11" s="4">
        <f t="shared" si="0"/>
        <v>-0.15</v>
      </c>
      <c r="E11" s="21">
        <f t="shared" si="3"/>
        <v>18126.666666666668</v>
      </c>
      <c r="F11">
        <v>119</v>
      </c>
      <c r="G11">
        <v>-0.01</v>
      </c>
      <c r="H11">
        <f t="shared" si="1"/>
        <v>-0.01</v>
      </c>
      <c r="I11" s="21">
        <f t="shared" si="2"/>
        <v>11900</v>
      </c>
    </row>
    <row r="12" spans="1:9">
      <c r="A12" t="s">
        <v>17</v>
      </c>
      <c r="B12">
        <v>2719</v>
      </c>
      <c r="C12">
        <v>-1.32</v>
      </c>
      <c r="D12" s="4">
        <f t="shared" si="0"/>
        <v>-1.32</v>
      </c>
      <c r="E12" s="21">
        <f t="shared" si="3"/>
        <v>2059.8484848484845</v>
      </c>
      <c r="F12">
        <v>129</v>
      </c>
      <c r="G12">
        <v>-0.06</v>
      </c>
      <c r="H12">
        <f t="shared" si="1"/>
        <v>-0.06</v>
      </c>
      <c r="I12" s="21">
        <f t="shared" si="2"/>
        <v>2150</v>
      </c>
    </row>
    <row r="13" spans="1:9">
      <c r="A13" t="s">
        <v>18</v>
      </c>
      <c r="B13">
        <v>105</v>
      </c>
      <c r="C13">
        <v>-0.24</v>
      </c>
      <c r="D13" s="4">
        <f t="shared" si="0"/>
        <v>-0.24</v>
      </c>
      <c r="E13" s="21">
        <f t="shared" si="3"/>
        <v>437.5</v>
      </c>
      <c r="F13">
        <v>165</v>
      </c>
      <c r="G13">
        <v>-0.38</v>
      </c>
      <c r="H13">
        <f t="shared" si="1"/>
        <v>-0.38</v>
      </c>
      <c r="I13" s="21">
        <f t="shared" si="2"/>
        <v>434.21052631578948</v>
      </c>
    </row>
    <row r="14" spans="1:9">
      <c r="A14" t="s">
        <v>19</v>
      </c>
      <c r="B14">
        <v>5445</v>
      </c>
      <c r="C14">
        <v>-2.4500000000000002</v>
      </c>
      <c r="D14" s="4">
        <f t="shared" si="0"/>
        <v>-2.4500000000000002</v>
      </c>
      <c r="E14" s="21">
        <f t="shared" si="3"/>
        <v>2222.4489795918366</v>
      </c>
      <c r="F14">
        <v>19968</v>
      </c>
      <c r="G14">
        <v>-7.97</v>
      </c>
      <c r="H14">
        <f t="shared" si="1"/>
        <v>-7.97</v>
      </c>
      <c r="I14" s="21">
        <f t="shared" si="2"/>
        <v>2505.395232120452</v>
      </c>
    </row>
    <row r="15" spans="1:9">
      <c r="A15" t="s">
        <v>20</v>
      </c>
      <c r="B15">
        <v>12459</v>
      </c>
      <c r="C15">
        <v>-1.42</v>
      </c>
      <c r="D15" s="4">
        <f t="shared" si="0"/>
        <v>-1.42</v>
      </c>
      <c r="E15" s="21">
        <f t="shared" si="3"/>
        <v>8773.9436619718308</v>
      </c>
      <c r="F15">
        <v>14209</v>
      </c>
      <c r="G15">
        <v>-1.62</v>
      </c>
      <c r="H15">
        <f t="shared" si="1"/>
        <v>-1.62</v>
      </c>
      <c r="I15" s="21">
        <f t="shared" si="2"/>
        <v>8770.9876543209866</v>
      </c>
    </row>
    <row r="16" spans="1:9">
      <c r="A16" t="s">
        <v>21</v>
      </c>
      <c r="B16">
        <v>4062</v>
      </c>
      <c r="C16">
        <v>-0.93</v>
      </c>
      <c r="D16" s="4">
        <f t="shared" si="0"/>
        <v>-0.93</v>
      </c>
      <c r="E16" s="21">
        <f t="shared" si="3"/>
        <v>4367.7419354838703</v>
      </c>
      <c r="F16">
        <v>288</v>
      </c>
      <c r="G16">
        <v>-7.0000000000000007E-2</v>
      </c>
      <c r="H16">
        <f t="shared" si="1"/>
        <v>-7.0000000000000007E-2</v>
      </c>
      <c r="I16" s="21">
        <f t="shared" si="2"/>
        <v>4114.2857142857138</v>
      </c>
    </row>
    <row r="17" spans="1:9">
      <c r="A17" t="s">
        <v>22</v>
      </c>
      <c r="B17">
        <v>160</v>
      </c>
      <c r="C17">
        <v>-0.79</v>
      </c>
      <c r="D17" s="4">
        <f t="shared" si="0"/>
        <v>-0.79</v>
      </c>
      <c r="E17" s="21">
        <f t="shared" si="3"/>
        <v>202.53164556962025</v>
      </c>
      <c r="F17">
        <v>8132</v>
      </c>
      <c r="G17">
        <v>-39.9</v>
      </c>
      <c r="H17">
        <f t="shared" si="1"/>
        <v>-39.9</v>
      </c>
      <c r="I17" s="21">
        <f t="shared" si="2"/>
        <v>203.80952380952382</v>
      </c>
    </row>
    <row r="18" spans="1:9">
      <c r="A18" t="s">
        <v>23</v>
      </c>
      <c r="B18">
        <v>5923</v>
      </c>
      <c r="C18">
        <v>-6.98</v>
      </c>
      <c r="D18" s="4">
        <f t="shared" si="0"/>
        <v>-6.98</v>
      </c>
      <c r="E18" s="21">
        <f t="shared" si="3"/>
        <v>848.56733524355298</v>
      </c>
      <c r="F18">
        <v>16940</v>
      </c>
      <c r="G18">
        <v>-19.96</v>
      </c>
      <c r="H18">
        <f t="shared" si="1"/>
        <v>-19.96</v>
      </c>
      <c r="I18" s="21">
        <f t="shared" si="2"/>
        <v>848.69739478957911</v>
      </c>
    </row>
    <row r="19" spans="1:9">
      <c r="A19" t="s">
        <v>24</v>
      </c>
      <c r="B19">
        <v>150934</v>
      </c>
      <c r="C19">
        <v>-43.17</v>
      </c>
      <c r="D19" s="4">
        <f t="shared" si="0"/>
        <v>-43.17</v>
      </c>
      <c r="E19" s="21">
        <f t="shared" si="3"/>
        <v>3496.2705582580493</v>
      </c>
      <c r="F19">
        <v>252491</v>
      </c>
      <c r="G19">
        <v>-72.239999999999995</v>
      </c>
      <c r="H19">
        <f t="shared" si="1"/>
        <v>-72.239999999999995</v>
      </c>
      <c r="I19" s="21">
        <f t="shared" si="2"/>
        <v>3495.1688815060911</v>
      </c>
    </row>
    <row r="20" spans="1:9">
      <c r="A20" t="s">
        <v>25</v>
      </c>
      <c r="B20">
        <v>181491</v>
      </c>
      <c r="C20">
        <v>368.36</v>
      </c>
      <c r="D20" s="4" t="str">
        <f t="shared" si="0"/>
        <v>N/A</v>
      </c>
      <c r="E20" s="21" t="str">
        <f t="shared" si="3"/>
        <v>N/A</v>
      </c>
      <c r="F20">
        <v>25388</v>
      </c>
      <c r="G20">
        <v>51.52</v>
      </c>
      <c r="H20" t="str">
        <f t="shared" si="1"/>
        <v>N/A</v>
      </c>
      <c r="I20" s="21" t="str">
        <f t="shared" si="2"/>
        <v>N/A</v>
      </c>
    </row>
    <row r="21" spans="1:9">
      <c r="A21" t="s">
        <v>26</v>
      </c>
      <c r="B21">
        <v>7052</v>
      </c>
      <c r="C21">
        <v>0.34</v>
      </c>
      <c r="D21" s="4" t="str">
        <f t="shared" si="0"/>
        <v>N/A</v>
      </c>
      <c r="E21" s="21" t="str">
        <f t="shared" si="3"/>
        <v>N/A</v>
      </c>
      <c r="F21">
        <v>10341</v>
      </c>
      <c r="G21">
        <v>0.49</v>
      </c>
      <c r="H21" t="str">
        <f t="shared" si="1"/>
        <v>N/A</v>
      </c>
      <c r="I21" s="21" t="str">
        <f t="shared" si="2"/>
        <v>N/A</v>
      </c>
    </row>
    <row r="22" spans="1:9">
      <c r="A22" t="s">
        <v>27</v>
      </c>
      <c r="B22">
        <v>14820</v>
      </c>
      <c r="C22">
        <v>-1.73</v>
      </c>
      <c r="D22" s="4">
        <f t="shared" si="0"/>
        <v>-1.73</v>
      </c>
      <c r="E22" s="21">
        <f t="shared" si="3"/>
        <v>8566.4739884393057</v>
      </c>
      <c r="F22">
        <v>22566</v>
      </c>
      <c r="G22">
        <v>-2.64</v>
      </c>
      <c r="H22">
        <f t="shared" si="1"/>
        <v>-2.64</v>
      </c>
      <c r="I22" s="21">
        <f t="shared" si="2"/>
        <v>8547.7272727272721</v>
      </c>
    </row>
    <row r="23" spans="1:9">
      <c r="A23" t="s">
        <v>28</v>
      </c>
      <c r="B23">
        <v>53545</v>
      </c>
      <c r="C23">
        <v>-1.98</v>
      </c>
      <c r="D23" s="4">
        <f t="shared" si="0"/>
        <v>-1.98</v>
      </c>
      <c r="E23" s="21">
        <f t="shared" si="3"/>
        <v>27042.929292929293</v>
      </c>
      <c r="F23">
        <v>28772</v>
      </c>
      <c r="G23">
        <v>-1.07</v>
      </c>
      <c r="H23">
        <f t="shared" si="1"/>
        <v>-1.07</v>
      </c>
      <c r="I23" s="21">
        <f t="shared" si="2"/>
        <v>26889.719626168222</v>
      </c>
    </row>
    <row r="24" spans="1:9">
      <c r="A24" t="s">
        <v>29</v>
      </c>
      <c r="B24">
        <v>19389</v>
      </c>
      <c r="C24">
        <v>-2.95</v>
      </c>
      <c r="D24" s="4">
        <f t="shared" si="0"/>
        <v>-2.95</v>
      </c>
      <c r="E24" s="21">
        <f t="shared" si="3"/>
        <v>6572.5423728813557</v>
      </c>
      <c r="F24">
        <v>54062</v>
      </c>
      <c r="G24">
        <v>-8.2100000000000009</v>
      </c>
      <c r="H24">
        <f t="shared" si="1"/>
        <v>-8.2100000000000009</v>
      </c>
      <c r="I24" s="21">
        <f t="shared" si="2"/>
        <v>6584.8964677222893</v>
      </c>
    </row>
    <row r="25" spans="1:9">
      <c r="A25" t="s">
        <v>30</v>
      </c>
      <c r="B25">
        <v>8448</v>
      </c>
      <c r="C25">
        <v>0.94</v>
      </c>
      <c r="D25" s="4" t="str">
        <f t="shared" si="0"/>
        <v>N/A</v>
      </c>
      <c r="E25" s="21" t="str">
        <f t="shared" si="3"/>
        <v>N/A</v>
      </c>
      <c r="F25">
        <v>5346</v>
      </c>
      <c r="G25">
        <v>0.59</v>
      </c>
      <c r="H25" t="str">
        <f t="shared" si="1"/>
        <v>N/A</v>
      </c>
      <c r="I25" s="21" t="str">
        <f t="shared" si="2"/>
        <v>N/A</v>
      </c>
    </row>
    <row r="26" spans="1:9">
      <c r="A26" t="s">
        <v>31</v>
      </c>
      <c r="B26">
        <v>3246</v>
      </c>
      <c r="C26">
        <v>-0.98</v>
      </c>
      <c r="D26" s="4">
        <f t="shared" si="0"/>
        <v>-0.98</v>
      </c>
      <c r="E26" s="21">
        <f t="shared" si="3"/>
        <v>3312.2448979591836</v>
      </c>
      <c r="F26">
        <v>6111</v>
      </c>
      <c r="G26">
        <v>-1.85</v>
      </c>
      <c r="H26">
        <f t="shared" si="1"/>
        <v>-1.85</v>
      </c>
      <c r="I26" s="21">
        <f t="shared" si="2"/>
        <v>3303.2432432432429</v>
      </c>
    </row>
    <row r="27" spans="1:9">
      <c r="A27" t="s">
        <v>32</v>
      </c>
      <c r="B27">
        <v>55</v>
      </c>
      <c r="C27">
        <v>-0.01</v>
      </c>
      <c r="D27" s="4">
        <f t="shared" si="0"/>
        <v>-0.01</v>
      </c>
      <c r="E27" s="21">
        <f t="shared" si="3"/>
        <v>5500</v>
      </c>
      <c r="F27">
        <v>114</v>
      </c>
      <c r="G27">
        <v>-0.02</v>
      </c>
      <c r="H27">
        <f t="shared" si="1"/>
        <v>-0.02</v>
      </c>
      <c r="I27" s="21">
        <f t="shared" si="2"/>
        <v>5700</v>
      </c>
    </row>
    <row r="28" spans="1:9">
      <c r="A28" t="s">
        <v>33</v>
      </c>
      <c r="B28">
        <v>423</v>
      </c>
      <c r="C28">
        <v>-7.0000000000000007E-2</v>
      </c>
      <c r="D28" s="4">
        <f t="shared" si="0"/>
        <v>-7.0000000000000007E-2</v>
      </c>
      <c r="E28" s="21">
        <f t="shared" si="3"/>
        <v>6042.8571428571422</v>
      </c>
      <c r="F28">
        <v>1304</v>
      </c>
      <c r="G28">
        <v>-0.21</v>
      </c>
      <c r="H28">
        <f t="shared" si="1"/>
        <v>-0.21</v>
      </c>
      <c r="I28" s="21">
        <f t="shared" si="2"/>
        <v>6209.5238095238101</v>
      </c>
    </row>
    <row r="29" spans="1:9">
      <c r="A29" t="s">
        <v>34</v>
      </c>
      <c r="B29">
        <v>22740</v>
      </c>
      <c r="C29">
        <v>-9.59</v>
      </c>
      <c r="D29" s="4">
        <f t="shared" si="0"/>
        <v>-9.59</v>
      </c>
      <c r="E29" s="21">
        <f t="shared" si="3"/>
        <v>2371.2200208550576</v>
      </c>
      <c r="F29">
        <v>25369</v>
      </c>
      <c r="G29">
        <v>-10.69</v>
      </c>
      <c r="H29">
        <f t="shared" si="1"/>
        <v>-10.69</v>
      </c>
      <c r="I29" s="21">
        <f t="shared" si="2"/>
        <v>2373.1524789522919</v>
      </c>
    </row>
    <row r="30" spans="1:9">
      <c r="A30" t="s">
        <v>35</v>
      </c>
      <c r="B30">
        <v>31627</v>
      </c>
      <c r="C30">
        <v>-3.37</v>
      </c>
      <c r="D30" s="4">
        <f t="shared" si="0"/>
        <v>-3.37</v>
      </c>
      <c r="E30" s="21">
        <f t="shared" si="3"/>
        <v>9384.8664688427289</v>
      </c>
      <c r="F30">
        <v>43649</v>
      </c>
      <c r="G30">
        <v>-4.66</v>
      </c>
      <c r="H30">
        <f t="shared" si="1"/>
        <v>-4.66</v>
      </c>
      <c r="I30" s="21">
        <f t="shared" si="2"/>
        <v>9366.7381974248929</v>
      </c>
    </row>
    <row r="31" spans="1:9">
      <c r="A31" t="s">
        <v>36</v>
      </c>
      <c r="B31">
        <v>57408</v>
      </c>
      <c r="C31">
        <v>-13.13</v>
      </c>
      <c r="D31" s="4">
        <f t="shared" si="0"/>
        <v>-13.13</v>
      </c>
      <c r="E31" s="21">
        <f t="shared" si="3"/>
        <v>4372.2772277227723</v>
      </c>
      <c r="F31">
        <v>30745</v>
      </c>
      <c r="G31">
        <v>-7.03</v>
      </c>
      <c r="H31">
        <f t="shared" si="1"/>
        <v>-7.03</v>
      </c>
      <c r="I31" s="21">
        <f t="shared" si="2"/>
        <v>4373.3997155049783</v>
      </c>
    </row>
    <row r="32" spans="1:9" ht="15" thickBot="1">
      <c r="A32" s="8" t="s">
        <v>37</v>
      </c>
      <c r="B32" s="8">
        <v>64062</v>
      </c>
      <c r="C32" s="8" t="s">
        <v>43</v>
      </c>
      <c r="D32" s="8" t="s">
        <v>43</v>
      </c>
      <c r="E32" s="22" t="s">
        <v>43</v>
      </c>
      <c r="F32" s="8">
        <v>59424</v>
      </c>
      <c r="G32" s="8" t="s">
        <v>43</v>
      </c>
      <c r="H32" s="8" t="s">
        <v>43</v>
      </c>
      <c r="I32" s="22" t="s">
        <v>43</v>
      </c>
    </row>
    <row r="33" spans="1:9" ht="15" thickTop="1"/>
    <row r="34" spans="1:9">
      <c r="A34" t="s">
        <v>55</v>
      </c>
      <c r="E34" s="20">
        <f>AVERAGE(E$3:E$31)</f>
        <v>5037.5629669313003</v>
      </c>
      <c r="I34" s="20">
        <f>AVERAGE(I$26:I$31,I$3:I$7,I22:I24,I11:I19)</f>
        <v>4779.2154278415392</v>
      </c>
    </row>
    <row r="35" spans="1:9">
      <c r="A35" t="s">
        <v>56</v>
      </c>
      <c r="E35" s="5">
        <f>MEDIAN(E$3:E$31)</f>
        <v>3312.2448979591836</v>
      </c>
      <c r="I35" s="5">
        <f>MEDIAN(I$26:I$31,I$3:I$7,I22:I24,I11:I19)</f>
        <v>3303.2432432432429</v>
      </c>
    </row>
    <row r="36" spans="1:9">
      <c r="A36" t="s">
        <v>57</v>
      </c>
      <c r="E36" s="5">
        <f>MIN(E$3:E$31)</f>
        <v>202.53164556962025</v>
      </c>
      <c r="I36" s="5">
        <f>MIN(I$26:I$31,I$3:I$7,I22:I24,I11:I19)</f>
        <v>203.80952380952382</v>
      </c>
    </row>
    <row r="37" spans="1:9">
      <c r="A37" t="s">
        <v>58</v>
      </c>
      <c r="E37" s="5">
        <f>MAX(E$3:E$31)</f>
        <v>27042.929292929293</v>
      </c>
      <c r="I37" s="5">
        <f>MAX(I$26:I$31,I$3:I$7,I22:I24,I11:I19)</f>
        <v>26889.719626168222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A54BA1-7214-4B80-82C8-D9B3FF260260}">
  <dimension ref="A1:D36"/>
  <sheetViews>
    <sheetView zoomScale="115" zoomScaleNormal="115" workbookViewId="0"/>
  </sheetViews>
  <sheetFormatPr defaultRowHeight="14.45"/>
  <cols>
    <col min="1" max="1" width="34.140625" customWidth="1"/>
    <col min="2" max="2" width="27.5703125" customWidth="1"/>
    <col min="3" max="3" width="27.28515625" customWidth="1"/>
    <col min="4" max="4" width="33" customWidth="1"/>
    <col min="5" max="5" width="26.85546875" customWidth="1"/>
    <col min="6" max="6" width="13.85546875" customWidth="1"/>
  </cols>
  <sheetData>
    <row r="1" spans="1:4" ht="32.450000000000003" customHeight="1">
      <c r="A1" s="29" t="s">
        <v>59</v>
      </c>
      <c r="B1" s="30" t="s">
        <v>60</v>
      </c>
      <c r="C1" s="31"/>
    </row>
    <row r="2" spans="1:4" ht="48" customHeight="1">
      <c r="A2" s="25"/>
      <c r="B2" s="23" t="s">
        <v>61</v>
      </c>
      <c r="C2" s="9" t="s">
        <v>62</v>
      </c>
    </row>
    <row r="3" spans="1:4" ht="30.6" customHeight="1">
      <c r="A3" s="26"/>
      <c r="B3" s="24">
        <f>'Cost-Effectiveness'!E34</f>
        <v>5037.5629669313003</v>
      </c>
      <c r="C3" s="7">
        <f>'Cost-Effectiveness'!I34</f>
        <v>4779.2154278415392</v>
      </c>
    </row>
    <row r="4" spans="1:4" ht="47.25" customHeight="1">
      <c r="A4" s="25"/>
      <c r="B4" s="32" t="s">
        <v>63</v>
      </c>
      <c r="C4" s="33" t="s">
        <v>63</v>
      </c>
      <c r="D4" s="34" t="s">
        <v>64</v>
      </c>
    </row>
    <row r="5" spans="1:4" ht="43.5">
      <c r="B5" s="10" t="s">
        <v>65</v>
      </c>
      <c r="C5" s="11" t="s">
        <v>66</v>
      </c>
    </row>
    <row r="6" spans="1:4">
      <c r="A6" s="6" t="s">
        <v>67</v>
      </c>
      <c r="B6" s="12">
        <f>737</f>
        <v>737</v>
      </c>
      <c r="C6" s="12">
        <f>181</f>
        <v>181</v>
      </c>
    </row>
    <row r="7" spans="1:4">
      <c r="A7" s="6" t="s">
        <v>68</v>
      </c>
      <c r="B7" s="12">
        <f>3365</f>
        <v>3365</v>
      </c>
      <c r="C7" s="12">
        <f>1458</f>
        <v>1458</v>
      </c>
    </row>
    <row r="8" spans="1:4" ht="15">
      <c r="A8" s="6" t="s">
        <v>69</v>
      </c>
      <c r="B8" s="12">
        <f>20</f>
        <v>20</v>
      </c>
      <c r="C8" s="12">
        <f>15</f>
        <v>15</v>
      </c>
      <c r="D8" s="28" t="s">
        <v>70</v>
      </c>
    </row>
    <row r="9" spans="1:4">
      <c r="A9" s="6" t="s">
        <v>71</v>
      </c>
      <c r="B9" s="12">
        <f>1411</f>
        <v>1411</v>
      </c>
      <c r="C9" s="12">
        <f>281</f>
        <v>281</v>
      </c>
    </row>
    <row r="10" spans="1:4" ht="15" thickBot="1">
      <c r="A10" s="15" t="s">
        <v>72</v>
      </c>
      <c r="B10" s="16">
        <f>16589</f>
        <v>16589</v>
      </c>
      <c r="C10" s="16">
        <f>2376</f>
        <v>2376</v>
      </c>
      <c r="D10" s="28" t="s">
        <v>73</v>
      </c>
    </row>
    <row r="11" spans="1:4" ht="15" thickTop="1">
      <c r="A11" s="13" t="s">
        <v>74</v>
      </c>
      <c r="B11" s="14">
        <f>766</f>
        <v>766</v>
      </c>
      <c r="C11" s="14">
        <f>416</f>
        <v>416</v>
      </c>
    </row>
    <row r="15" spans="1:4" ht="15">
      <c r="B15" s="30" t="s">
        <v>75</v>
      </c>
      <c r="C15" s="31"/>
    </row>
    <row r="16" spans="1:4" ht="29.1">
      <c r="A16" s="25"/>
      <c r="B16" s="23" t="s">
        <v>61</v>
      </c>
      <c r="C16" s="9" t="s">
        <v>62</v>
      </c>
    </row>
    <row r="17" spans="1:4" ht="15">
      <c r="A17" s="26"/>
      <c r="B17" s="24">
        <f>AVERAGE('Cost-Effectiveness'!E3,'Cost-Effectiveness'!E11,'Cost-Effectiveness'!E12,'Cost-Effectiveness'!E13,'Cost-Effectiveness'!E14,'Cost-Effectiveness'!E15,'Cost-Effectiveness'!E16,'Cost-Effectiveness'!E22,'Cost-Effectiveness'!E23)</f>
        <v>7983.3233926118364</v>
      </c>
      <c r="C17" s="7">
        <f>AVERAGE('Cost-Effectiveness'!I3,'Cost-Effectiveness'!I11,'Cost-Effectiveness'!I12,'Cost-Effectiveness'!I13,'Cost-Effectiveness'!I14,'Cost-Effectiveness'!I15,'Cost-Effectiveness'!I16,'Cost-Effectiveness'!I22,'Cost-Effectiveness'!I23)</f>
        <v>7284.9677243730157</v>
      </c>
    </row>
    <row r="18" spans="1:4" ht="45.75" customHeight="1">
      <c r="A18" s="27"/>
      <c r="B18" s="32" t="s">
        <v>63</v>
      </c>
      <c r="C18" s="33" t="s">
        <v>63</v>
      </c>
      <c r="D18" s="34" t="s">
        <v>64</v>
      </c>
    </row>
    <row r="19" spans="1:4" ht="43.5">
      <c r="B19" s="10" t="s">
        <v>65</v>
      </c>
      <c r="C19" s="11" t="s">
        <v>66</v>
      </c>
    </row>
    <row r="20" spans="1:4">
      <c r="A20" s="6" t="s">
        <v>67</v>
      </c>
      <c r="B20" s="12">
        <f t="shared" ref="B20:C25" si="0">B6</f>
        <v>737</v>
      </c>
      <c r="C20" s="12">
        <f t="shared" si="0"/>
        <v>181</v>
      </c>
    </row>
    <row r="21" spans="1:4">
      <c r="A21" s="6" t="s">
        <v>68</v>
      </c>
      <c r="B21" s="12">
        <f t="shared" si="0"/>
        <v>3365</v>
      </c>
      <c r="C21" s="12">
        <f t="shared" si="0"/>
        <v>1458</v>
      </c>
    </row>
    <row r="22" spans="1:4" ht="15">
      <c r="A22" s="6" t="s">
        <v>69</v>
      </c>
      <c r="B22" s="12">
        <f t="shared" si="0"/>
        <v>20</v>
      </c>
      <c r="C22" s="12">
        <f t="shared" si="0"/>
        <v>15</v>
      </c>
      <c r="D22" s="28" t="s">
        <v>70</v>
      </c>
    </row>
    <row r="23" spans="1:4">
      <c r="A23" s="6" t="s">
        <v>71</v>
      </c>
      <c r="B23" s="12">
        <f t="shared" si="0"/>
        <v>1411</v>
      </c>
      <c r="C23" s="12">
        <f t="shared" si="0"/>
        <v>281</v>
      </c>
    </row>
    <row r="24" spans="1:4" ht="15" thickBot="1">
      <c r="A24" s="15" t="s">
        <v>72</v>
      </c>
      <c r="B24" s="16">
        <f t="shared" si="0"/>
        <v>16589</v>
      </c>
      <c r="C24" s="16">
        <f t="shared" si="0"/>
        <v>2376</v>
      </c>
      <c r="D24" s="28" t="s">
        <v>73</v>
      </c>
    </row>
    <row r="25" spans="1:4" ht="15" thickTop="1">
      <c r="A25" s="13" t="s">
        <v>74</v>
      </c>
      <c r="B25" s="14">
        <f t="shared" si="0"/>
        <v>766</v>
      </c>
      <c r="C25" s="14">
        <f t="shared" si="0"/>
        <v>416</v>
      </c>
    </row>
    <row r="28" spans="1:4" ht="15"/>
    <row r="29" spans="1:4" ht="15"/>
    <row r="30" spans="1:4" ht="15"/>
    <row r="31" spans="1:4" ht="15"/>
    <row r="32" spans="1:4" ht="15"/>
    <row r="33" ht="15"/>
    <row r="34" ht="15"/>
    <row r="35" ht="15"/>
    <row r="36" ht="15"/>
  </sheetData>
  <mergeCells count="2">
    <mergeCell ref="B1:C1"/>
    <mergeCell ref="B15:C15"/>
  </mergeCells>
  <conditionalFormatting sqref="B6:B11">
    <cfRule type="cellIs" dxfId="7" priority="12" operator="greaterThan">
      <formula>$B$3</formula>
    </cfRule>
    <cfRule type="cellIs" dxfId="6" priority="13" operator="lessThan">
      <formula>$B$3</formula>
    </cfRule>
  </conditionalFormatting>
  <conditionalFormatting sqref="B20:B25">
    <cfRule type="cellIs" dxfId="5" priority="8" operator="greaterThan">
      <formula>$B$3</formula>
    </cfRule>
    <cfRule type="cellIs" dxfId="4" priority="9" operator="lessThan">
      <formula>$B$3</formula>
    </cfRule>
  </conditionalFormatting>
  <conditionalFormatting sqref="C6:C11">
    <cfRule type="cellIs" dxfId="3" priority="10" operator="greaterThan">
      <formula>$C$3</formula>
    </cfRule>
    <cfRule type="cellIs" dxfId="2" priority="11" operator="lessThan">
      <formula>$C$3</formula>
    </cfRule>
  </conditionalFormatting>
  <conditionalFormatting sqref="C20:C25">
    <cfRule type="cellIs" dxfId="1" priority="6" operator="greaterThan">
      <formula>$C$3</formula>
    </cfRule>
    <cfRule type="cellIs" dxfId="0" priority="7" operator="lessThan">
      <formula>$C$3</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2f758dc8-839e-489e-a80f-fff00b4baf60">
      <Terms xmlns="http://schemas.microsoft.com/office/infopath/2007/PartnerControls"/>
    </lcf76f155ced4ddcb4097134ff3c332f>
    <TaxCatchAll xmlns="e8161222-89b8-4df9-88e0-63f255b2bc9a"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6582C4148E3B440BFB62DD623A30E67" ma:contentTypeVersion="14" ma:contentTypeDescription="Create a new document." ma:contentTypeScope="" ma:versionID="4033c883ecaa469677da7c59df627333">
  <xsd:schema xmlns:xsd="http://www.w3.org/2001/XMLSchema" xmlns:xs="http://www.w3.org/2001/XMLSchema" xmlns:p="http://schemas.microsoft.com/office/2006/metadata/properties" xmlns:ns2="2f758dc8-839e-489e-a80f-fff00b4baf60" xmlns:ns3="e8161222-89b8-4df9-88e0-63f255b2bc9a" targetNamespace="http://schemas.microsoft.com/office/2006/metadata/properties" ma:root="true" ma:fieldsID="05671fb9574e30b71aa16da82977c5fe" ns2:_="" ns3:_="">
    <xsd:import namespace="2f758dc8-839e-489e-a80f-fff00b4baf60"/>
    <xsd:import namespace="e8161222-89b8-4df9-88e0-63f255b2bc9a"/>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758dc8-839e-489e-a80f-fff00b4baf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a7334e89-0b5a-479c-ac9f-74724dd37f67"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8161222-89b8-4df9-88e0-63f255b2bc9a"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1934df99-d168-43da-a03e-f40fe2ce4e2a}" ma:internalName="TaxCatchAll" ma:showField="CatchAllData" ma:web="e8161222-89b8-4df9-88e0-63f255b2bc9a">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869C6AB-10A2-4E1C-B4C4-F2E0615EB905}"/>
</file>

<file path=customXml/itemProps2.xml><?xml version="1.0" encoding="utf-8"?>
<ds:datastoreItem xmlns:ds="http://schemas.openxmlformats.org/officeDocument/2006/customXml" ds:itemID="{077D739C-D6E4-406F-B730-F5ED0401659C}"/>
</file>

<file path=customXml/itemProps3.xml><?xml version="1.0" encoding="utf-8"?>
<ds:datastoreItem xmlns:ds="http://schemas.openxmlformats.org/officeDocument/2006/customXml" ds:itemID="{27295888-CA68-4AA3-A350-E7945E31B78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Joel Mandella</dc:creator>
  <cp:keywords/>
  <dc:description/>
  <cp:lastModifiedBy>Joel Mandella</cp:lastModifiedBy>
  <cp:revision/>
  <dcterms:created xsi:type="dcterms:W3CDTF">2015-06-05T18:17:20Z</dcterms:created>
  <dcterms:modified xsi:type="dcterms:W3CDTF">2024-03-29T16:09:36Z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0x010100C6582C4148E3B440BFB62DD623A30E67</vt:lpwstr>
  </property>
  <property fmtid="{D5CDD505-2E9C-101B-9397-08002B2CF9AE}" pid="3" name="MediaServiceImageTags">
    <vt:lpwstr/>
  </property>
</Properties>
</file>