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mwcog-my.sharepoint.com/personal/jking_mwcog_org/Documents/COG CPRG Implementation Grant/COG Individual Application (RACE)/Final Submission Materials/"/>
    </mc:Choice>
  </mc:AlternateContent>
  <xr:revisionPtr revIDLastSave="2504" documentId="8_{3307C49C-CCA9-4D26-9208-1260E1AB0F2B}" xr6:coauthVersionLast="47" xr6:coauthVersionMax="47" xr10:uidLastSave="{84628201-DC1F-4DD1-AD56-BFE8ED567CBA}"/>
  <bookViews>
    <workbookView xWindow="33720" yWindow="-120" windowWidth="29040" windowHeight="15720" activeTab="2" xr2:uid="{9894DB13-76E4-4C14-BA0A-8368A3CF689D}"/>
  </bookViews>
  <sheets>
    <sheet name="Summary" sheetId="1" r:id="rId1"/>
    <sheet name="Measure 1" sheetId="2" r:id="rId2"/>
    <sheet name="Measure 2" sheetId="3" r:id="rId3"/>
    <sheet name="Conversions and Lookups" sheetId="4" r:id="rId4"/>
    <sheet name="NREL Efficiency Measures Data" sheetId="6" r:id="rId5"/>
  </sheets>
  <definedNames>
    <definedName name="_xlnm._FilterDatabase" localSheetId="2" hidden="1">'Measure 2'!$B$27:$L$67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C5" i="3"/>
  <c r="D188" i="3"/>
  <c r="N75" i="3"/>
  <c r="R188" i="3"/>
  <c r="S188" i="3" s="1"/>
  <c r="T188" i="3" s="1"/>
  <c r="U188" i="3" s="1"/>
  <c r="V188" i="3" s="1"/>
  <c r="W188" i="3" s="1"/>
  <c r="X188" i="3" s="1"/>
  <c r="Y188" i="3" s="1"/>
  <c r="Z188" i="3" s="1"/>
  <c r="AA188" i="3" s="1"/>
  <c r="AB188" i="3" s="1"/>
  <c r="Q188" i="3"/>
  <c r="O188" i="3"/>
  <c r="N188" i="3"/>
  <c r="M188" i="3"/>
  <c r="L188" i="3"/>
  <c r="K188" i="3"/>
  <c r="J188" i="3"/>
  <c r="I188" i="3"/>
  <c r="H188" i="3"/>
  <c r="G188" i="3"/>
  <c r="F188" i="3"/>
  <c r="E188" i="3"/>
  <c r="E187" i="3"/>
  <c r="F187" i="3" s="1"/>
  <c r="G187" i="3" s="1"/>
  <c r="H187" i="3" s="1"/>
  <c r="I187" i="3" s="1"/>
  <c r="J187" i="3" s="1"/>
  <c r="K187" i="3" s="1"/>
  <c r="L187" i="3" s="1"/>
  <c r="M187" i="3" s="1"/>
  <c r="N187" i="3" s="1"/>
  <c r="O187" i="3" s="1"/>
  <c r="P187" i="3" s="1"/>
  <c r="Q187" i="3" s="1"/>
  <c r="R187" i="3" s="1"/>
  <c r="S187" i="3" s="1"/>
  <c r="T187" i="3" s="1"/>
  <c r="U187" i="3" s="1"/>
  <c r="V187" i="3" s="1"/>
  <c r="W187" i="3" s="1"/>
  <c r="X187" i="3" s="1"/>
  <c r="Y187" i="3" s="1"/>
  <c r="Z187" i="3" s="1"/>
  <c r="AA187" i="3" s="1"/>
  <c r="AB187" i="3" s="1"/>
  <c r="D187" i="3"/>
  <c r="F140" i="2"/>
  <c r="E73" i="2" l="1"/>
  <c r="E42" i="2"/>
  <c r="C45" i="2" s="1"/>
  <c r="C117" i="2" l="1"/>
  <c r="C116" i="2"/>
  <c r="C115" i="2"/>
  <c r="C114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C113" i="2"/>
  <c r="E54" i="2"/>
  <c r="C47" i="2" s="1"/>
  <c r="C50" i="2" s="1"/>
  <c r="D50" i="2" s="1"/>
  <c r="E50" i="2" s="1"/>
  <c r="F50" i="2" s="1"/>
  <c r="G50" i="2" s="1"/>
  <c r="H50" i="2" s="1"/>
  <c r="D150" i="2" l="1"/>
  <c r="D149" i="2"/>
  <c r="D148" i="2"/>
  <c r="D147" i="2"/>
  <c r="D146" i="2"/>
  <c r="D145" i="2"/>
  <c r="D144" i="2"/>
  <c r="D143" i="2"/>
  <c r="D142" i="2"/>
  <c r="D141" i="2"/>
  <c r="D140" i="2"/>
  <c r="D139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C46" i="2"/>
  <c r="F70" i="2" l="1"/>
  <c r="G70" i="2" s="1"/>
  <c r="F69" i="2"/>
  <c r="G69" i="2" s="1"/>
  <c r="F68" i="2"/>
  <c r="G68" i="2" s="1"/>
  <c r="F67" i="2"/>
  <c r="G67" i="2" s="1"/>
  <c r="F62" i="2"/>
  <c r="G62" i="2" s="1"/>
  <c r="F65" i="2"/>
  <c r="G65" i="2" s="1"/>
  <c r="G72" i="2"/>
  <c r="G71" i="2"/>
  <c r="G66" i="2"/>
  <c r="G64" i="2"/>
  <c r="G63" i="2"/>
  <c r="G61" i="2"/>
  <c r="C88" i="2"/>
  <c r="E114" i="2" s="1"/>
  <c r="G135" i="2"/>
  <c r="G134" i="2"/>
  <c r="H133" i="2"/>
  <c r="F132" i="2"/>
  <c r="H131" i="2"/>
  <c r="H130" i="2"/>
  <c r="H129" i="2"/>
  <c r="H128" i="2"/>
  <c r="G127" i="2"/>
  <c r="G126" i="2"/>
  <c r="H125" i="2"/>
  <c r="H124" i="2"/>
  <c r="O116" i="2"/>
  <c r="N116" i="2"/>
  <c r="M116" i="2"/>
  <c r="L116" i="2"/>
  <c r="K116" i="2"/>
  <c r="J116" i="2"/>
  <c r="I116" i="2"/>
  <c r="H116" i="2"/>
  <c r="O115" i="2"/>
  <c r="N115" i="2"/>
  <c r="M115" i="2"/>
  <c r="L115" i="2"/>
  <c r="K115" i="2"/>
  <c r="J115" i="2"/>
  <c r="I115" i="2"/>
  <c r="H115" i="2"/>
  <c r="O114" i="2"/>
  <c r="N114" i="2"/>
  <c r="M114" i="2"/>
  <c r="L114" i="2"/>
  <c r="K114" i="2"/>
  <c r="J114" i="2"/>
  <c r="I114" i="2"/>
  <c r="H114" i="2"/>
  <c r="O113" i="2"/>
  <c r="O117" i="2" s="1"/>
  <c r="O118" i="2" s="1"/>
  <c r="N113" i="2"/>
  <c r="M113" i="2"/>
  <c r="L113" i="2"/>
  <c r="K113" i="2"/>
  <c r="K117" i="2" s="1"/>
  <c r="K118" i="2" s="1"/>
  <c r="J113" i="2"/>
  <c r="I113" i="2"/>
  <c r="H113" i="2"/>
  <c r="G116" i="2"/>
  <c r="G115" i="2"/>
  <c r="G114" i="2"/>
  <c r="G113" i="2"/>
  <c r="F116" i="2"/>
  <c r="F115" i="2"/>
  <c r="F114" i="2"/>
  <c r="F113" i="2"/>
  <c r="D116" i="2"/>
  <c r="D115" i="2"/>
  <c r="D114" i="2"/>
  <c r="D113" i="2"/>
  <c r="E116" i="2"/>
  <c r="E115" i="2"/>
  <c r="G109" i="2"/>
  <c r="G108" i="2"/>
  <c r="G107" i="2"/>
  <c r="G106" i="2"/>
  <c r="G105" i="2"/>
  <c r="G104" i="2"/>
  <c r="G103" i="2"/>
  <c r="G102" i="2"/>
  <c r="G101" i="2"/>
  <c r="G100" i="2"/>
  <c r="G98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C84" i="2"/>
  <c r="I71" i="2"/>
  <c r="I72" i="2"/>
  <c r="D70" i="2"/>
  <c r="I70" i="2" s="1"/>
  <c r="I69" i="2"/>
  <c r="I68" i="2"/>
  <c r="I67" i="2"/>
  <c r="I62" i="2"/>
  <c r="I65" i="2"/>
  <c r="I64" i="2"/>
  <c r="I63" i="2"/>
  <c r="I61" i="2"/>
  <c r="H89" i="4"/>
  <c r="I89" i="4" s="1"/>
  <c r="J89" i="4" s="1"/>
  <c r="K89" i="4" s="1"/>
  <c r="L89" i="4" s="1"/>
  <c r="M89" i="4" s="1"/>
  <c r="N89" i="4" s="1"/>
  <c r="O89" i="4" s="1"/>
  <c r="P89" i="4" s="1"/>
  <c r="Q89" i="4" s="1"/>
  <c r="R89" i="4" s="1"/>
  <c r="S89" i="4" s="1"/>
  <c r="T89" i="4" s="1"/>
  <c r="U89" i="4" s="1"/>
  <c r="V89" i="4" s="1"/>
  <c r="W89" i="4" s="1"/>
  <c r="X89" i="4" s="1"/>
  <c r="Y89" i="4" s="1"/>
  <c r="Z89" i="4" s="1"/>
  <c r="AA89" i="4" s="1"/>
  <c r="AB89" i="4" s="1"/>
  <c r="AC89" i="4" s="1"/>
  <c r="AD89" i="4" s="1"/>
  <c r="AE89" i="4" s="1"/>
  <c r="AF89" i="4" s="1"/>
  <c r="AG89" i="4" s="1"/>
  <c r="AH89" i="4" s="1"/>
  <c r="AI89" i="4" s="1"/>
  <c r="AJ89" i="4" s="1"/>
  <c r="C99" i="4"/>
  <c r="C98" i="4"/>
  <c r="D95" i="4"/>
  <c r="C95" i="4" s="1"/>
  <c r="D94" i="4"/>
  <c r="E95" i="4"/>
  <c r="H88" i="4" s="1"/>
  <c r="E94" i="4"/>
  <c r="H84" i="4" s="1"/>
  <c r="F95" i="4"/>
  <c r="F94" i="4"/>
  <c r="H85" i="4" s="1"/>
  <c r="I85" i="4" s="1"/>
  <c r="J85" i="4" s="1"/>
  <c r="K85" i="4" s="1"/>
  <c r="L85" i="4" s="1"/>
  <c r="M85" i="4" s="1"/>
  <c r="N85" i="4" s="1"/>
  <c r="O85" i="4" s="1"/>
  <c r="P85" i="4" s="1"/>
  <c r="Q85" i="4" s="1"/>
  <c r="R85" i="4" s="1"/>
  <c r="S85" i="4" s="1"/>
  <c r="T85" i="4" s="1"/>
  <c r="U85" i="4" s="1"/>
  <c r="V85" i="4" s="1"/>
  <c r="W85" i="4" s="1"/>
  <c r="X85" i="4" s="1"/>
  <c r="Y85" i="4" s="1"/>
  <c r="Z85" i="4" s="1"/>
  <c r="AA85" i="4" s="1"/>
  <c r="AB85" i="4" s="1"/>
  <c r="AC85" i="4" s="1"/>
  <c r="AD85" i="4" s="1"/>
  <c r="AE85" i="4" s="1"/>
  <c r="AF85" i="4" s="1"/>
  <c r="AG85" i="4" s="1"/>
  <c r="AH85" i="4" s="1"/>
  <c r="AI85" i="4" s="1"/>
  <c r="AJ85" i="4" s="1"/>
  <c r="H41" i="2"/>
  <c r="H40" i="2"/>
  <c r="H39" i="2"/>
  <c r="H38" i="2"/>
  <c r="H37" i="2"/>
  <c r="I50" i="2"/>
  <c r="J50" i="2" s="1"/>
  <c r="K50" i="2" s="1"/>
  <c r="L50" i="2" s="1"/>
  <c r="M50" i="2" s="1"/>
  <c r="N50" i="2" s="1"/>
  <c r="O50" i="2" s="1"/>
  <c r="P50" i="2" s="1"/>
  <c r="Q50" i="2" s="1"/>
  <c r="R50" i="2" s="1"/>
  <c r="S50" i="2" s="1"/>
  <c r="T50" i="2" s="1"/>
  <c r="U50" i="2" s="1"/>
  <c r="V50" i="2" s="1"/>
  <c r="W50" i="2" s="1"/>
  <c r="X50" i="2" s="1"/>
  <c r="Y50" i="2" s="1"/>
  <c r="Z50" i="2" s="1"/>
  <c r="AA50" i="2" s="1"/>
  <c r="AB50" i="2" s="1"/>
  <c r="C28" i="2"/>
  <c r="C31" i="2" s="1"/>
  <c r="Q62" i="3"/>
  <c r="C23" i="3"/>
  <c r="R62" i="3" s="1"/>
  <c r="S62" i="3" s="1"/>
  <c r="Q38" i="3" s="1"/>
  <c r="O62" i="3"/>
  <c r="O61" i="3"/>
  <c r="P61" i="3" s="1"/>
  <c r="Q61" i="3" s="1"/>
  <c r="O60" i="3"/>
  <c r="P60" i="3" s="1"/>
  <c r="Q60" i="3" s="1"/>
  <c r="O59" i="3"/>
  <c r="P59" i="3" s="1"/>
  <c r="Q59" i="3" s="1"/>
  <c r="O58" i="3"/>
  <c r="P58" i="3" s="1"/>
  <c r="Q58" i="3" s="1"/>
  <c r="O57" i="3"/>
  <c r="P57" i="3" s="1"/>
  <c r="Q57" i="3" s="1"/>
  <c r="O56" i="3"/>
  <c r="P56" i="3" s="1"/>
  <c r="Q56" i="3" s="1"/>
  <c r="O55" i="3"/>
  <c r="P55" i="3" s="1"/>
  <c r="Q55" i="3" s="1"/>
  <c r="O54" i="3"/>
  <c r="P54" i="3" s="1"/>
  <c r="Q54" i="3" s="1"/>
  <c r="O53" i="3"/>
  <c r="P53" i="3" s="1"/>
  <c r="Q53" i="3" s="1"/>
  <c r="O52" i="3"/>
  <c r="P52" i="3" s="1"/>
  <c r="S52" i="3" s="1"/>
  <c r="Q28" i="3" s="1"/>
  <c r="AR78" i="3"/>
  <c r="AQ78" i="3"/>
  <c r="AP78" i="3"/>
  <c r="AO78" i="3"/>
  <c r="AN78" i="3"/>
  <c r="AM78" i="3"/>
  <c r="AL78" i="3"/>
  <c r="AK78" i="3"/>
  <c r="AJ78" i="3"/>
  <c r="AI78" i="3"/>
  <c r="AH78" i="3"/>
  <c r="AG78" i="3"/>
  <c r="AF78" i="3"/>
  <c r="S78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79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F185" i="3"/>
  <c r="F184" i="3"/>
  <c r="AT184" i="3" s="1"/>
  <c r="F183" i="3"/>
  <c r="K183" i="3" s="1"/>
  <c r="F182" i="3"/>
  <c r="F181" i="3"/>
  <c r="F180" i="3"/>
  <c r="F179" i="3"/>
  <c r="L179" i="3" s="1"/>
  <c r="F178" i="3"/>
  <c r="AU178" i="3" s="1"/>
  <c r="F177" i="3"/>
  <c r="AT177" i="3" s="1"/>
  <c r="F176" i="3"/>
  <c r="AT176" i="3" s="1"/>
  <c r="F175" i="3"/>
  <c r="L175" i="3" s="1"/>
  <c r="F174" i="3"/>
  <c r="AU174" i="3" s="1"/>
  <c r="F173" i="3"/>
  <c r="F172" i="3"/>
  <c r="F171" i="3"/>
  <c r="F170" i="3"/>
  <c r="AU170" i="3" s="1"/>
  <c r="F169" i="3"/>
  <c r="F168" i="3"/>
  <c r="AT168" i="3" s="1"/>
  <c r="F167" i="3"/>
  <c r="K167" i="3" s="1"/>
  <c r="F166" i="3"/>
  <c r="F165" i="3"/>
  <c r="F164" i="3"/>
  <c r="F163" i="3"/>
  <c r="L163" i="3" s="1"/>
  <c r="F162" i="3"/>
  <c r="AU162" i="3" s="1"/>
  <c r="F161" i="3"/>
  <c r="AT161" i="3" s="1"/>
  <c r="F160" i="3"/>
  <c r="F159" i="3"/>
  <c r="L159" i="3" s="1"/>
  <c r="F158" i="3"/>
  <c r="AU158" i="3" s="1"/>
  <c r="F157" i="3"/>
  <c r="F156" i="3"/>
  <c r="F155" i="3"/>
  <c r="F154" i="3"/>
  <c r="AU154" i="3" s="1"/>
  <c r="F153" i="3"/>
  <c r="F152" i="3"/>
  <c r="AT152" i="3" s="1"/>
  <c r="F151" i="3"/>
  <c r="K151" i="3" s="1"/>
  <c r="F150" i="3"/>
  <c r="F149" i="3"/>
  <c r="F148" i="3"/>
  <c r="F147" i="3"/>
  <c r="L147" i="3" s="1"/>
  <c r="F146" i="3"/>
  <c r="AU146" i="3" s="1"/>
  <c r="F145" i="3"/>
  <c r="AT145" i="3" s="1"/>
  <c r="F144" i="3"/>
  <c r="AT144" i="3" s="1"/>
  <c r="F143" i="3"/>
  <c r="K143" i="3" s="1"/>
  <c r="F142" i="3"/>
  <c r="AU142" i="3" s="1"/>
  <c r="F141" i="3"/>
  <c r="F140" i="3"/>
  <c r="F139" i="3"/>
  <c r="F138" i="3"/>
  <c r="AU138" i="3" s="1"/>
  <c r="F137" i="3"/>
  <c r="AT137" i="3" s="1"/>
  <c r="F136" i="3"/>
  <c r="AT136" i="3" s="1"/>
  <c r="F135" i="3"/>
  <c r="K135" i="3" s="1"/>
  <c r="F134" i="3"/>
  <c r="F133" i="3"/>
  <c r="F132" i="3"/>
  <c r="F131" i="3"/>
  <c r="L131" i="3" s="1"/>
  <c r="F130" i="3"/>
  <c r="AU130" i="3" s="1"/>
  <c r="F129" i="3"/>
  <c r="AT129" i="3" s="1"/>
  <c r="F128" i="3"/>
  <c r="F127" i="3"/>
  <c r="L127" i="3" s="1"/>
  <c r="F126" i="3"/>
  <c r="F125" i="3"/>
  <c r="F124" i="3"/>
  <c r="F123" i="3"/>
  <c r="F122" i="3"/>
  <c r="AU122" i="3" s="1"/>
  <c r="F121" i="3"/>
  <c r="F120" i="3"/>
  <c r="AT120" i="3" s="1"/>
  <c r="F119" i="3"/>
  <c r="K119" i="3" s="1"/>
  <c r="F118" i="3"/>
  <c r="AU118" i="3" s="1"/>
  <c r="F117" i="3"/>
  <c r="F116" i="3"/>
  <c r="F113" i="3"/>
  <c r="AT113" i="3" s="1"/>
  <c r="F112" i="3"/>
  <c r="AT112" i="3" s="1"/>
  <c r="F111" i="3"/>
  <c r="K111" i="3" s="1"/>
  <c r="F110" i="3"/>
  <c r="AU110" i="3" s="1"/>
  <c r="F109" i="3"/>
  <c r="F108" i="3"/>
  <c r="F107" i="3"/>
  <c r="F106" i="3"/>
  <c r="AV106" i="3" s="1"/>
  <c r="F105" i="3"/>
  <c r="F104" i="3"/>
  <c r="AT104" i="3" s="1"/>
  <c r="F103" i="3"/>
  <c r="K103" i="3" s="1"/>
  <c r="F102" i="3"/>
  <c r="AU102" i="3" s="1"/>
  <c r="F101" i="3"/>
  <c r="F100" i="3"/>
  <c r="F99" i="3"/>
  <c r="L99" i="3" s="1"/>
  <c r="F98" i="3"/>
  <c r="F97" i="3"/>
  <c r="F96" i="3"/>
  <c r="AT96" i="3" s="1"/>
  <c r="F95" i="3"/>
  <c r="K95" i="3" s="1"/>
  <c r="F94" i="3"/>
  <c r="AU94" i="3" s="1"/>
  <c r="F93" i="3"/>
  <c r="F92" i="3"/>
  <c r="F91" i="3"/>
  <c r="F90" i="3"/>
  <c r="F89" i="3"/>
  <c r="F88" i="3"/>
  <c r="AT88" i="3" s="1"/>
  <c r="F87" i="3"/>
  <c r="K87" i="3" s="1"/>
  <c r="F86" i="3"/>
  <c r="AV86" i="3" s="1"/>
  <c r="F85" i="3"/>
  <c r="F84" i="3"/>
  <c r="F83" i="3"/>
  <c r="L83" i="3" s="1"/>
  <c r="F82" i="3"/>
  <c r="F81" i="3"/>
  <c r="AT81" i="3" s="1"/>
  <c r="F80" i="3"/>
  <c r="AT80" i="3" s="1"/>
  <c r="F79" i="3"/>
  <c r="D7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28" i="3"/>
  <c r="O46" i="3"/>
  <c r="O45" i="3"/>
  <c r="O44" i="3"/>
  <c r="O43" i="3"/>
  <c r="O42" i="3"/>
  <c r="O41" i="3"/>
  <c r="O38" i="3"/>
  <c r="O37" i="3"/>
  <c r="O36" i="3"/>
  <c r="O35" i="3"/>
  <c r="O34" i="3"/>
  <c r="O33" i="3"/>
  <c r="O32" i="3"/>
  <c r="O31" i="3"/>
  <c r="O30" i="3"/>
  <c r="O29" i="3"/>
  <c r="O28" i="3"/>
  <c r="I67" i="3"/>
  <c r="J67" i="3" s="1"/>
  <c r="L67" i="3" s="1"/>
  <c r="I66" i="3"/>
  <c r="J66" i="3" s="1"/>
  <c r="L66" i="3" s="1"/>
  <c r="I65" i="3"/>
  <c r="J65" i="3" s="1"/>
  <c r="L65" i="3" s="1"/>
  <c r="I64" i="3"/>
  <c r="J64" i="3" s="1"/>
  <c r="L64" i="3" s="1"/>
  <c r="I63" i="3"/>
  <c r="J63" i="3" s="1"/>
  <c r="L63" i="3" s="1"/>
  <c r="P37" i="3" s="1"/>
  <c r="I62" i="3"/>
  <c r="J62" i="3" s="1"/>
  <c r="L62" i="3" s="1"/>
  <c r="I61" i="3"/>
  <c r="J61" i="3" s="1"/>
  <c r="L61" i="3" s="1"/>
  <c r="I60" i="3"/>
  <c r="J60" i="3" s="1"/>
  <c r="L60" i="3" s="1"/>
  <c r="I59" i="3"/>
  <c r="J59" i="3" s="1"/>
  <c r="L59" i="3" s="1"/>
  <c r="I58" i="3"/>
  <c r="J58" i="3" s="1"/>
  <c r="L58" i="3" s="1"/>
  <c r="I57" i="3"/>
  <c r="J57" i="3" s="1"/>
  <c r="L57" i="3" s="1"/>
  <c r="I56" i="3"/>
  <c r="J56" i="3" s="1"/>
  <c r="L56" i="3" s="1"/>
  <c r="I55" i="3"/>
  <c r="J55" i="3" s="1"/>
  <c r="L55" i="3" s="1"/>
  <c r="I54" i="3"/>
  <c r="J54" i="3" s="1"/>
  <c r="L54" i="3" s="1"/>
  <c r="I53" i="3"/>
  <c r="J53" i="3" s="1"/>
  <c r="L53" i="3" s="1"/>
  <c r="I52" i="3"/>
  <c r="J52" i="3" s="1"/>
  <c r="L52" i="3" s="1"/>
  <c r="I51" i="3"/>
  <c r="J51" i="3" s="1"/>
  <c r="L51" i="3" s="1"/>
  <c r="I50" i="3"/>
  <c r="J50" i="3" s="1"/>
  <c r="L50" i="3" s="1"/>
  <c r="I49" i="3"/>
  <c r="J49" i="3" s="1"/>
  <c r="L49" i="3" s="1"/>
  <c r="I48" i="3"/>
  <c r="J48" i="3" s="1"/>
  <c r="L48" i="3" s="1"/>
  <c r="I47" i="3"/>
  <c r="J47" i="3" s="1"/>
  <c r="L47" i="3" s="1"/>
  <c r="I46" i="3"/>
  <c r="J46" i="3" s="1"/>
  <c r="L46" i="3" s="1"/>
  <c r="I45" i="3"/>
  <c r="J45" i="3" s="1"/>
  <c r="L45" i="3" s="1"/>
  <c r="P32" i="3" s="1"/>
  <c r="I44" i="3"/>
  <c r="J44" i="3" s="1"/>
  <c r="L44" i="3" s="1"/>
  <c r="I43" i="3"/>
  <c r="J43" i="3" s="1"/>
  <c r="L43" i="3" s="1"/>
  <c r="I42" i="3"/>
  <c r="J42" i="3" s="1"/>
  <c r="L42" i="3" s="1"/>
  <c r="I41" i="3"/>
  <c r="J41" i="3" s="1"/>
  <c r="L41" i="3" s="1"/>
  <c r="I40" i="3"/>
  <c r="J40" i="3" s="1"/>
  <c r="L40" i="3" s="1"/>
  <c r="I39" i="3"/>
  <c r="J39" i="3" s="1"/>
  <c r="L39" i="3" s="1"/>
  <c r="I38" i="3"/>
  <c r="J38" i="3" s="1"/>
  <c r="L38" i="3" s="1"/>
  <c r="I37" i="3"/>
  <c r="J37" i="3" s="1"/>
  <c r="L37" i="3" s="1"/>
  <c r="I36" i="3"/>
  <c r="J36" i="3" s="1"/>
  <c r="L36" i="3" s="1"/>
  <c r="I35" i="3"/>
  <c r="J35" i="3" s="1"/>
  <c r="L35" i="3" s="1"/>
  <c r="I34" i="3"/>
  <c r="J34" i="3" s="1"/>
  <c r="L34" i="3" s="1"/>
  <c r="I33" i="3"/>
  <c r="J33" i="3" s="1"/>
  <c r="L33" i="3" s="1"/>
  <c r="I32" i="3"/>
  <c r="J32" i="3" s="1"/>
  <c r="L32" i="3" s="1"/>
  <c r="I31" i="3"/>
  <c r="J31" i="3" s="1"/>
  <c r="L31" i="3" s="1"/>
  <c r="I30" i="3"/>
  <c r="J30" i="3" s="1"/>
  <c r="L30" i="3" s="1"/>
  <c r="I29" i="3"/>
  <c r="J29" i="3" s="1"/>
  <c r="L29" i="3" s="1"/>
  <c r="I28" i="3"/>
  <c r="J28" i="3" s="1"/>
  <c r="L28" i="3" s="1"/>
  <c r="K27" i="3"/>
  <c r="H27" i="3"/>
  <c r="E27" i="3"/>
  <c r="E8" i="1"/>
  <c r="G8" i="1" s="1"/>
  <c r="I8" i="1" s="1"/>
  <c r="H42" i="2" l="1"/>
  <c r="F41" i="2"/>
  <c r="F37" i="2"/>
  <c r="M117" i="2"/>
  <c r="M118" i="2" s="1"/>
  <c r="N117" i="2"/>
  <c r="N118" i="2" s="1"/>
  <c r="I73" i="2"/>
  <c r="H8" i="1"/>
  <c r="J8" i="1" s="1"/>
  <c r="Q52" i="3"/>
  <c r="Q51" i="3" s="1"/>
  <c r="G73" i="2"/>
  <c r="H117" i="2"/>
  <c r="H118" i="2" s="1"/>
  <c r="H139" i="2"/>
  <c r="H148" i="2"/>
  <c r="F147" i="2"/>
  <c r="G150" i="2"/>
  <c r="H143" i="2"/>
  <c r="G142" i="2"/>
  <c r="H144" i="2"/>
  <c r="H145" i="2"/>
  <c r="G141" i="2"/>
  <c r="G149" i="2"/>
  <c r="H146" i="2"/>
  <c r="E129" i="2"/>
  <c r="E144" i="2" s="1"/>
  <c r="G128" i="2"/>
  <c r="G129" i="2"/>
  <c r="E128" i="2"/>
  <c r="E143" i="2" s="1"/>
  <c r="F124" i="2"/>
  <c r="E130" i="2"/>
  <c r="E145" i="2" s="1"/>
  <c r="F126" i="2"/>
  <c r="F134" i="2"/>
  <c r="G130" i="2"/>
  <c r="H126" i="2"/>
  <c r="H134" i="2"/>
  <c r="F125" i="2"/>
  <c r="E131" i="2"/>
  <c r="E146" i="2" s="1"/>
  <c r="F127" i="2"/>
  <c r="F135" i="2"/>
  <c r="G131" i="2"/>
  <c r="H127" i="2"/>
  <c r="H135" i="2"/>
  <c r="H132" i="2"/>
  <c r="F133" i="2"/>
  <c r="E124" i="2"/>
  <c r="E132" i="2"/>
  <c r="E147" i="2" s="1"/>
  <c r="F128" i="2"/>
  <c r="G124" i="2"/>
  <c r="G132" i="2"/>
  <c r="E125" i="2"/>
  <c r="E133" i="2"/>
  <c r="E148" i="2" s="1"/>
  <c r="F129" i="2"/>
  <c r="G125" i="2"/>
  <c r="G133" i="2"/>
  <c r="E126" i="2"/>
  <c r="E141" i="2" s="1"/>
  <c r="E134" i="2"/>
  <c r="E149" i="2" s="1"/>
  <c r="F130" i="2"/>
  <c r="E127" i="2"/>
  <c r="E142" i="2" s="1"/>
  <c r="E135" i="2"/>
  <c r="E150" i="2" s="1"/>
  <c r="F131" i="2"/>
  <c r="L117" i="2"/>
  <c r="L118" i="2" s="1"/>
  <c r="F117" i="2"/>
  <c r="F118" i="2" s="1"/>
  <c r="D117" i="2"/>
  <c r="D118" i="2" s="1"/>
  <c r="I117" i="2"/>
  <c r="I118" i="2" s="1"/>
  <c r="J117" i="2"/>
  <c r="J118" i="2" s="1"/>
  <c r="G117" i="2"/>
  <c r="G118" i="2" s="1"/>
  <c r="C89" i="2"/>
  <c r="C93" i="2" s="1"/>
  <c r="C94" i="2" s="1"/>
  <c r="C90" i="2"/>
  <c r="H86" i="4"/>
  <c r="C94" i="4"/>
  <c r="H90" i="4"/>
  <c r="I88" i="4"/>
  <c r="I90" i="4" s="1"/>
  <c r="F38" i="2"/>
  <c r="F39" i="2"/>
  <c r="F40" i="2"/>
  <c r="I84" i="4"/>
  <c r="H91" i="4"/>
  <c r="C77" i="4" s="1"/>
  <c r="C78" i="4" s="1"/>
  <c r="J88" i="4"/>
  <c r="J90" i="4" s="1"/>
  <c r="R61" i="3"/>
  <c r="S61" i="3" s="1"/>
  <c r="Q37" i="3" s="1"/>
  <c r="R54" i="3"/>
  <c r="S54" i="3" s="1"/>
  <c r="Q30" i="3" s="1"/>
  <c r="R55" i="3"/>
  <c r="S55" i="3" s="1"/>
  <c r="Q31" i="3" s="1"/>
  <c r="R53" i="3"/>
  <c r="R56" i="3"/>
  <c r="S56" i="3" s="1"/>
  <c r="Q32" i="3" s="1"/>
  <c r="R57" i="3"/>
  <c r="S57" i="3" s="1"/>
  <c r="Q33" i="3" s="1"/>
  <c r="R58" i="3"/>
  <c r="S58" i="3" s="1"/>
  <c r="Q34" i="3" s="1"/>
  <c r="R59" i="3"/>
  <c r="S59" i="3" s="1"/>
  <c r="Q35" i="3" s="1"/>
  <c r="R60" i="3"/>
  <c r="S60" i="3" s="1"/>
  <c r="Q36" i="3" s="1"/>
  <c r="I169" i="3"/>
  <c r="J169" i="3" s="1"/>
  <c r="AU86" i="3"/>
  <c r="I149" i="3"/>
  <c r="J149" i="3" s="1"/>
  <c r="I157" i="3"/>
  <c r="J157" i="3" s="1"/>
  <c r="R178" i="3"/>
  <c r="R170" i="3"/>
  <c r="R162" i="3"/>
  <c r="R154" i="3"/>
  <c r="R146" i="3"/>
  <c r="R138" i="3"/>
  <c r="R130" i="3"/>
  <c r="R122" i="3"/>
  <c r="R106" i="3"/>
  <c r="R98" i="3"/>
  <c r="R90" i="3"/>
  <c r="R82" i="3"/>
  <c r="L111" i="3"/>
  <c r="R169" i="3"/>
  <c r="R129" i="3"/>
  <c r="Q44" i="3"/>
  <c r="R79" i="3"/>
  <c r="R161" i="3"/>
  <c r="I80" i="3"/>
  <c r="J80" i="3" s="1"/>
  <c r="I88" i="3"/>
  <c r="J88" i="3" s="1"/>
  <c r="I96" i="3"/>
  <c r="J96" i="3" s="1"/>
  <c r="I104" i="3"/>
  <c r="J104" i="3" s="1"/>
  <c r="I112" i="3"/>
  <c r="J112" i="3" s="1"/>
  <c r="I120" i="3"/>
  <c r="J120" i="3" s="1"/>
  <c r="I128" i="3"/>
  <c r="J128" i="3" s="1"/>
  <c r="I136" i="3"/>
  <c r="J136" i="3" s="1"/>
  <c r="I144" i="3"/>
  <c r="J144" i="3" s="1"/>
  <c r="I152" i="3"/>
  <c r="J152" i="3" s="1"/>
  <c r="I160" i="3"/>
  <c r="J160" i="3" s="1"/>
  <c r="I168" i="3"/>
  <c r="J168" i="3" s="1"/>
  <c r="I176" i="3"/>
  <c r="J176" i="3" s="1"/>
  <c r="AV154" i="3"/>
  <c r="AT169" i="3"/>
  <c r="R177" i="3"/>
  <c r="R137" i="3"/>
  <c r="P46" i="3"/>
  <c r="R46" i="3" s="1"/>
  <c r="P43" i="3"/>
  <c r="R43" i="3" s="1"/>
  <c r="I129" i="3"/>
  <c r="J129" i="3" s="1"/>
  <c r="I145" i="3"/>
  <c r="J145" i="3" s="1"/>
  <c r="I153" i="3"/>
  <c r="J153" i="3" s="1"/>
  <c r="I161" i="3"/>
  <c r="J161" i="3" s="1"/>
  <c r="I177" i="3"/>
  <c r="J177" i="3" s="1"/>
  <c r="I185" i="3"/>
  <c r="J185" i="3" s="1"/>
  <c r="R153" i="3"/>
  <c r="L143" i="3"/>
  <c r="L95" i="3"/>
  <c r="AV102" i="3"/>
  <c r="AV170" i="3"/>
  <c r="I83" i="3"/>
  <c r="J83" i="3" s="1"/>
  <c r="I91" i="3"/>
  <c r="J91" i="3" s="1"/>
  <c r="I99" i="3"/>
  <c r="J99" i="3" s="1"/>
  <c r="I107" i="3"/>
  <c r="J107" i="3" s="1"/>
  <c r="I123" i="3"/>
  <c r="J123" i="3" s="1"/>
  <c r="I131" i="3"/>
  <c r="J131" i="3" s="1"/>
  <c r="I139" i="3"/>
  <c r="J139" i="3" s="1"/>
  <c r="I147" i="3"/>
  <c r="J147" i="3" s="1"/>
  <c r="I155" i="3"/>
  <c r="J155" i="3" s="1"/>
  <c r="I163" i="3"/>
  <c r="J163" i="3" s="1"/>
  <c r="I171" i="3"/>
  <c r="J171" i="3" s="1"/>
  <c r="I179" i="3"/>
  <c r="J179" i="3" s="1"/>
  <c r="R173" i="3"/>
  <c r="R157" i="3"/>
  <c r="R141" i="3"/>
  <c r="R93" i="3"/>
  <c r="R185" i="3"/>
  <c r="R145" i="3"/>
  <c r="R121" i="3"/>
  <c r="P28" i="3"/>
  <c r="Q41" i="3"/>
  <c r="O47" i="3"/>
  <c r="P44" i="3"/>
  <c r="R44" i="3" s="1"/>
  <c r="I116" i="3"/>
  <c r="J116" i="3" s="1"/>
  <c r="I124" i="3"/>
  <c r="J124" i="3" s="1"/>
  <c r="I132" i="3"/>
  <c r="J132" i="3" s="1"/>
  <c r="I140" i="3"/>
  <c r="J140" i="3" s="1"/>
  <c r="I148" i="3"/>
  <c r="J148" i="3" s="1"/>
  <c r="I156" i="3"/>
  <c r="J156" i="3" s="1"/>
  <c r="I164" i="3"/>
  <c r="J164" i="3" s="1"/>
  <c r="I180" i="3"/>
  <c r="J180" i="3" s="1"/>
  <c r="K100" i="3"/>
  <c r="L100" i="3"/>
  <c r="AT100" i="3"/>
  <c r="AU100" i="3"/>
  <c r="AV100" i="3"/>
  <c r="K89" i="3"/>
  <c r="L89" i="3"/>
  <c r="AU89" i="3"/>
  <c r="AV89" i="3"/>
  <c r="K105" i="3"/>
  <c r="L105" i="3"/>
  <c r="AU105" i="3"/>
  <c r="AV105" i="3"/>
  <c r="AU123" i="3"/>
  <c r="AT123" i="3"/>
  <c r="AV123" i="3"/>
  <c r="AU139" i="3"/>
  <c r="AT139" i="3"/>
  <c r="AV139" i="3"/>
  <c r="AU155" i="3"/>
  <c r="AT155" i="3"/>
  <c r="AV155" i="3"/>
  <c r="AU171" i="3"/>
  <c r="AT171" i="3"/>
  <c r="AV171" i="3"/>
  <c r="Q45" i="3"/>
  <c r="AT90" i="3"/>
  <c r="K90" i="3"/>
  <c r="L90" i="3"/>
  <c r="K132" i="3"/>
  <c r="L132" i="3"/>
  <c r="AT132" i="3"/>
  <c r="AU132" i="3"/>
  <c r="AV132" i="3"/>
  <c r="I81" i="3"/>
  <c r="J81" i="3" s="1"/>
  <c r="I89" i="3"/>
  <c r="J89" i="3" s="1"/>
  <c r="I105" i="3"/>
  <c r="J105" i="3" s="1"/>
  <c r="I113" i="3"/>
  <c r="J113" i="3" s="1"/>
  <c r="AV138" i="3"/>
  <c r="AV122" i="3"/>
  <c r="AV90" i="3"/>
  <c r="K84" i="3"/>
  <c r="L84" i="3"/>
  <c r="AT84" i="3"/>
  <c r="AU84" i="3"/>
  <c r="AV84" i="3"/>
  <c r="K92" i="3"/>
  <c r="L92" i="3"/>
  <c r="AT92" i="3"/>
  <c r="AU92" i="3"/>
  <c r="AV92" i="3"/>
  <c r="AT126" i="3"/>
  <c r="K126" i="3"/>
  <c r="L126" i="3"/>
  <c r="AT134" i="3"/>
  <c r="K134" i="3"/>
  <c r="L134" i="3"/>
  <c r="AT142" i="3"/>
  <c r="K142" i="3"/>
  <c r="L142" i="3"/>
  <c r="AT150" i="3"/>
  <c r="K150" i="3"/>
  <c r="L150" i="3"/>
  <c r="AT166" i="3"/>
  <c r="K166" i="3"/>
  <c r="L166" i="3"/>
  <c r="AT174" i="3"/>
  <c r="K174" i="3"/>
  <c r="L174" i="3"/>
  <c r="AT182" i="3"/>
  <c r="K182" i="3"/>
  <c r="L182" i="3"/>
  <c r="K81" i="3"/>
  <c r="L81" i="3"/>
  <c r="AU81" i="3"/>
  <c r="AV81" i="3"/>
  <c r="K97" i="3"/>
  <c r="L97" i="3"/>
  <c r="AU97" i="3"/>
  <c r="AV97" i="3"/>
  <c r="K113" i="3"/>
  <c r="L113" i="3"/>
  <c r="AU113" i="3"/>
  <c r="AV113" i="3"/>
  <c r="AU131" i="3"/>
  <c r="AT131" i="3"/>
  <c r="AV131" i="3"/>
  <c r="AU147" i="3"/>
  <c r="AT147" i="3"/>
  <c r="AV147" i="3"/>
  <c r="AU163" i="3"/>
  <c r="AT163" i="3"/>
  <c r="AV163" i="3"/>
  <c r="AU179" i="3"/>
  <c r="AT179" i="3"/>
  <c r="AV179" i="3"/>
  <c r="AU126" i="3"/>
  <c r="AT82" i="3"/>
  <c r="K82" i="3"/>
  <c r="L82" i="3"/>
  <c r="AT98" i="3"/>
  <c r="K98" i="3"/>
  <c r="L98" i="3"/>
  <c r="AT106" i="3"/>
  <c r="K106" i="3"/>
  <c r="L106" i="3"/>
  <c r="K116" i="3"/>
  <c r="L116" i="3"/>
  <c r="AT116" i="3"/>
  <c r="AU116" i="3"/>
  <c r="AV116" i="3"/>
  <c r="K124" i="3"/>
  <c r="L124" i="3"/>
  <c r="AT124" i="3"/>
  <c r="AU124" i="3"/>
  <c r="AV124" i="3"/>
  <c r="K140" i="3"/>
  <c r="L140" i="3"/>
  <c r="AT140" i="3"/>
  <c r="AU140" i="3"/>
  <c r="AV140" i="3"/>
  <c r="K148" i="3"/>
  <c r="L148" i="3"/>
  <c r="AT148" i="3"/>
  <c r="AU148" i="3"/>
  <c r="AV148" i="3"/>
  <c r="K156" i="3"/>
  <c r="L156" i="3"/>
  <c r="AT156" i="3"/>
  <c r="AU156" i="3"/>
  <c r="AV156" i="3"/>
  <c r="K164" i="3"/>
  <c r="L164" i="3"/>
  <c r="AT164" i="3"/>
  <c r="AU164" i="3"/>
  <c r="AV164" i="3"/>
  <c r="K172" i="3"/>
  <c r="I172" i="3"/>
  <c r="J172" i="3" s="1"/>
  <c r="L172" i="3"/>
  <c r="AT172" i="3"/>
  <c r="AU172" i="3"/>
  <c r="AV172" i="3"/>
  <c r="K180" i="3"/>
  <c r="L180" i="3"/>
  <c r="AT180" i="3"/>
  <c r="AU180" i="3"/>
  <c r="AV180" i="3"/>
  <c r="I97" i="3"/>
  <c r="J97" i="3" s="1"/>
  <c r="AU83" i="3"/>
  <c r="AT83" i="3"/>
  <c r="AV83" i="3"/>
  <c r="AU91" i="3"/>
  <c r="AT91" i="3"/>
  <c r="AV91" i="3"/>
  <c r="AU99" i="3"/>
  <c r="AT99" i="3"/>
  <c r="AV99" i="3"/>
  <c r="AU107" i="3"/>
  <c r="AT107" i="3"/>
  <c r="AV107" i="3"/>
  <c r="K117" i="3"/>
  <c r="AT117" i="3"/>
  <c r="L117" i="3"/>
  <c r="AU117" i="3"/>
  <c r="AV117" i="3"/>
  <c r="K125" i="3"/>
  <c r="AT125" i="3"/>
  <c r="L125" i="3"/>
  <c r="AU125" i="3"/>
  <c r="AV125" i="3"/>
  <c r="K133" i="3"/>
  <c r="AT133" i="3"/>
  <c r="L133" i="3"/>
  <c r="AU133" i="3"/>
  <c r="AV133" i="3"/>
  <c r="K141" i="3"/>
  <c r="AT141" i="3"/>
  <c r="L141" i="3"/>
  <c r="AU141" i="3"/>
  <c r="AV141" i="3"/>
  <c r="K149" i="3"/>
  <c r="AT149" i="3"/>
  <c r="L149" i="3"/>
  <c r="AU149" i="3"/>
  <c r="AV149" i="3"/>
  <c r="K157" i="3"/>
  <c r="AT157" i="3"/>
  <c r="L157" i="3"/>
  <c r="AU157" i="3"/>
  <c r="AV157" i="3"/>
  <c r="K165" i="3"/>
  <c r="AT165" i="3"/>
  <c r="L165" i="3"/>
  <c r="AU165" i="3"/>
  <c r="AV165" i="3"/>
  <c r="K173" i="3"/>
  <c r="AT173" i="3"/>
  <c r="L173" i="3"/>
  <c r="AU173" i="3"/>
  <c r="AV173" i="3"/>
  <c r="K181" i="3"/>
  <c r="AT181" i="3"/>
  <c r="L181" i="3"/>
  <c r="AU181" i="3"/>
  <c r="AV181" i="3"/>
  <c r="I82" i="3"/>
  <c r="J82" i="3" s="1"/>
  <c r="I90" i="3"/>
  <c r="J90" i="3" s="1"/>
  <c r="I98" i="3"/>
  <c r="J98" i="3" s="1"/>
  <c r="I106" i="3"/>
  <c r="J106" i="3" s="1"/>
  <c r="I122" i="3"/>
  <c r="J122" i="3" s="1"/>
  <c r="I130" i="3"/>
  <c r="J130" i="3" s="1"/>
  <c r="I138" i="3"/>
  <c r="J138" i="3" s="1"/>
  <c r="I146" i="3"/>
  <c r="J146" i="3" s="1"/>
  <c r="I154" i="3"/>
  <c r="J154" i="3" s="1"/>
  <c r="I162" i="3"/>
  <c r="J162" i="3" s="1"/>
  <c r="I170" i="3"/>
  <c r="J170" i="3" s="1"/>
  <c r="I178" i="3"/>
  <c r="J178" i="3" s="1"/>
  <c r="K179" i="3"/>
  <c r="K163" i="3"/>
  <c r="M163" i="3" s="1"/>
  <c r="K147" i="3"/>
  <c r="K131" i="3"/>
  <c r="K99" i="3"/>
  <c r="K83" i="3"/>
  <c r="AU106" i="3"/>
  <c r="AU90" i="3"/>
  <c r="K108" i="3"/>
  <c r="L108" i="3"/>
  <c r="AT108" i="3"/>
  <c r="AU108" i="3"/>
  <c r="AV108" i="3"/>
  <c r="AV166" i="3"/>
  <c r="AV134" i="3"/>
  <c r="P41" i="3"/>
  <c r="R41" i="3" s="1"/>
  <c r="K85" i="3"/>
  <c r="AT85" i="3"/>
  <c r="L85" i="3"/>
  <c r="AU85" i="3"/>
  <c r="AV85" i="3"/>
  <c r="AU119" i="3"/>
  <c r="AV119" i="3"/>
  <c r="AT119" i="3"/>
  <c r="AU135" i="3"/>
  <c r="AV135" i="3"/>
  <c r="AT135" i="3"/>
  <c r="AU151" i="3"/>
  <c r="AV151" i="3"/>
  <c r="AT151" i="3"/>
  <c r="AU167" i="3"/>
  <c r="AV167" i="3"/>
  <c r="AT167" i="3"/>
  <c r="AU175" i="3"/>
  <c r="AV175" i="3"/>
  <c r="AT175" i="3"/>
  <c r="AU183" i="3"/>
  <c r="AV183" i="3"/>
  <c r="AT183" i="3"/>
  <c r="I100" i="3"/>
  <c r="J100" i="3" s="1"/>
  <c r="R89" i="3"/>
  <c r="AU166" i="3"/>
  <c r="I86" i="3"/>
  <c r="J86" i="3" s="1"/>
  <c r="AT86" i="3"/>
  <c r="K86" i="3"/>
  <c r="L86" i="3"/>
  <c r="AT94" i="3"/>
  <c r="K94" i="3"/>
  <c r="R94" i="3"/>
  <c r="L94" i="3"/>
  <c r="I102" i="3"/>
  <c r="J102" i="3" s="1"/>
  <c r="AT102" i="3"/>
  <c r="K102" i="3"/>
  <c r="L102" i="3"/>
  <c r="AT110" i="3"/>
  <c r="K110" i="3"/>
  <c r="L110" i="3"/>
  <c r="K120" i="3"/>
  <c r="L120" i="3"/>
  <c r="AU120" i="3"/>
  <c r="AV120" i="3"/>
  <c r="K128" i="3"/>
  <c r="L128" i="3"/>
  <c r="AU128" i="3"/>
  <c r="AV128" i="3"/>
  <c r="K136" i="3"/>
  <c r="L136" i="3"/>
  <c r="AU136" i="3"/>
  <c r="AV136" i="3"/>
  <c r="K144" i="3"/>
  <c r="L144" i="3"/>
  <c r="AU144" i="3"/>
  <c r="AV144" i="3"/>
  <c r="K152" i="3"/>
  <c r="L152" i="3"/>
  <c r="AU152" i="3"/>
  <c r="AV152" i="3"/>
  <c r="K160" i="3"/>
  <c r="L160" i="3"/>
  <c r="AU160" i="3"/>
  <c r="AV160" i="3"/>
  <c r="K168" i="3"/>
  <c r="L168" i="3"/>
  <c r="AU168" i="3"/>
  <c r="AV168" i="3"/>
  <c r="K176" i="3"/>
  <c r="L176" i="3"/>
  <c r="AU176" i="3"/>
  <c r="AV176" i="3"/>
  <c r="K184" i="3"/>
  <c r="L184" i="3"/>
  <c r="I184" i="3"/>
  <c r="J184" i="3" s="1"/>
  <c r="AU184" i="3"/>
  <c r="AV184" i="3"/>
  <c r="I85" i="3"/>
  <c r="J85" i="3" s="1"/>
  <c r="I101" i="3"/>
  <c r="J101" i="3" s="1"/>
  <c r="I109" i="3"/>
  <c r="J109" i="3" s="1"/>
  <c r="I117" i="3"/>
  <c r="J117" i="3" s="1"/>
  <c r="I125" i="3"/>
  <c r="J125" i="3" s="1"/>
  <c r="I133" i="3"/>
  <c r="J133" i="3" s="1"/>
  <c r="I141" i="3"/>
  <c r="J141" i="3" s="1"/>
  <c r="I165" i="3"/>
  <c r="J165" i="3" s="1"/>
  <c r="I173" i="3"/>
  <c r="J173" i="3" s="1"/>
  <c r="I181" i="3"/>
  <c r="J181" i="3" s="1"/>
  <c r="L171" i="3"/>
  <c r="L155" i="3"/>
  <c r="L139" i="3"/>
  <c r="L123" i="3"/>
  <c r="L107" i="3"/>
  <c r="L91" i="3"/>
  <c r="AV178" i="3"/>
  <c r="AV162" i="3"/>
  <c r="AV146" i="3"/>
  <c r="AV130" i="3"/>
  <c r="AV98" i="3"/>
  <c r="AV82" i="3"/>
  <c r="AT97" i="3"/>
  <c r="AT118" i="3"/>
  <c r="K118" i="3"/>
  <c r="L118" i="3"/>
  <c r="AT158" i="3"/>
  <c r="K158" i="3"/>
  <c r="L158" i="3"/>
  <c r="AV182" i="3"/>
  <c r="AV118" i="3"/>
  <c r="AT105" i="3"/>
  <c r="I93" i="3"/>
  <c r="J93" i="3" s="1"/>
  <c r="K93" i="3"/>
  <c r="AT93" i="3"/>
  <c r="L93" i="3"/>
  <c r="AU93" i="3"/>
  <c r="AV93" i="3"/>
  <c r="K109" i="3"/>
  <c r="AT109" i="3"/>
  <c r="L109" i="3"/>
  <c r="AU109" i="3"/>
  <c r="AV109" i="3"/>
  <c r="AU127" i="3"/>
  <c r="AV127" i="3"/>
  <c r="AT127" i="3"/>
  <c r="AU159" i="3"/>
  <c r="AV159" i="3"/>
  <c r="AT159" i="3"/>
  <c r="I92" i="3"/>
  <c r="J92" i="3" s="1"/>
  <c r="K159" i="3"/>
  <c r="R113" i="3"/>
  <c r="R97" i="3"/>
  <c r="R81" i="3"/>
  <c r="AU150" i="3"/>
  <c r="P35" i="3"/>
  <c r="P45" i="3"/>
  <c r="R45" i="3" s="1"/>
  <c r="AU79" i="3"/>
  <c r="AV79" i="3"/>
  <c r="L79" i="3"/>
  <c r="AT79" i="3"/>
  <c r="K79" i="3"/>
  <c r="AU87" i="3"/>
  <c r="AV87" i="3"/>
  <c r="AT87" i="3"/>
  <c r="AU95" i="3"/>
  <c r="AV95" i="3"/>
  <c r="AT95" i="3"/>
  <c r="AU103" i="3"/>
  <c r="AV103" i="3"/>
  <c r="AT103" i="3"/>
  <c r="AU111" i="3"/>
  <c r="AV111" i="3"/>
  <c r="AT111" i="3"/>
  <c r="K121" i="3"/>
  <c r="L121" i="3"/>
  <c r="I121" i="3"/>
  <c r="J121" i="3" s="1"/>
  <c r="AU121" i="3"/>
  <c r="AV121" i="3"/>
  <c r="K129" i="3"/>
  <c r="L129" i="3"/>
  <c r="AU129" i="3"/>
  <c r="AV129" i="3"/>
  <c r="K137" i="3"/>
  <c r="L137" i="3"/>
  <c r="AU137" i="3"/>
  <c r="I137" i="3"/>
  <c r="J137" i="3" s="1"/>
  <c r="AV137" i="3"/>
  <c r="K145" i="3"/>
  <c r="L145" i="3"/>
  <c r="AU145" i="3"/>
  <c r="AV145" i="3"/>
  <c r="K153" i="3"/>
  <c r="L153" i="3"/>
  <c r="AU153" i="3"/>
  <c r="AV153" i="3"/>
  <c r="K161" i="3"/>
  <c r="L161" i="3"/>
  <c r="AU161" i="3"/>
  <c r="AV161" i="3"/>
  <c r="K169" i="3"/>
  <c r="L169" i="3"/>
  <c r="AU169" i="3"/>
  <c r="AV169" i="3"/>
  <c r="K177" i="3"/>
  <c r="L177" i="3"/>
  <c r="AU177" i="3"/>
  <c r="AV177" i="3"/>
  <c r="K185" i="3"/>
  <c r="L185" i="3"/>
  <c r="AU185" i="3"/>
  <c r="AV185" i="3"/>
  <c r="I94" i="3"/>
  <c r="J94" i="3" s="1"/>
  <c r="I110" i="3"/>
  <c r="J110" i="3" s="1"/>
  <c r="I118" i="3"/>
  <c r="J118" i="3" s="1"/>
  <c r="I126" i="3"/>
  <c r="J126" i="3" s="1"/>
  <c r="I134" i="3"/>
  <c r="J134" i="3" s="1"/>
  <c r="I142" i="3"/>
  <c r="J142" i="3" s="1"/>
  <c r="I150" i="3"/>
  <c r="J150" i="3" s="1"/>
  <c r="I158" i="3"/>
  <c r="J158" i="3" s="1"/>
  <c r="I166" i="3"/>
  <c r="J166" i="3" s="1"/>
  <c r="I174" i="3"/>
  <c r="J174" i="3" s="1"/>
  <c r="I182" i="3"/>
  <c r="J182" i="3" s="1"/>
  <c r="K171" i="3"/>
  <c r="K155" i="3"/>
  <c r="K139" i="3"/>
  <c r="K123" i="3"/>
  <c r="K107" i="3"/>
  <c r="K91" i="3"/>
  <c r="R125" i="3"/>
  <c r="AU98" i="3"/>
  <c r="AU82" i="3"/>
  <c r="AT160" i="3"/>
  <c r="AT128" i="3"/>
  <c r="AV150" i="3"/>
  <c r="P42" i="3"/>
  <c r="R42" i="3" s="1"/>
  <c r="K101" i="3"/>
  <c r="AT101" i="3"/>
  <c r="L101" i="3"/>
  <c r="AU101" i="3"/>
  <c r="AV101" i="3"/>
  <c r="AU143" i="3"/>
  <c r="AV143" i="3"/>
  <c r="AT143" i="3"/>
  <c r="I84" i="3"/>
  <c r="J84" i="3" s="1"/>
  <c r="I108" i="3"/>
  <c r="J108" i="3" s="1"/>
  <c r="K175" i="3"/>
  <c r="K127" i="3"/>
  <c r="R105" i="3"/>
  <c r="AU182" i="3"/>
  <c r="AU134" i="3"/>
  <c r="Q46" i="3"/>
  <c r="Q43" i="3"/>
  <c r="K80" i="3"/>
  <c r="L80" i="3"/>
  <c r="AU80" i="3"/>
  <c r="AV80" i="3"/>
  <c r="K88" i="3"/>
  <c r="L88" i="3"/>
  <c r="AU88" i="3"/>
  <c r="AV88" i="3"/>
  <c r="K96" i="3"/>
  <c r="L96" i="3"/>
  <c r="AU96" i="3"/>
  <c r="AV96" i="3"/>
  <c r="K104" i="3"/>
  <c r="L104" i="3"/>
  <c r="AU104" i="3"/>
  <c r="AV104" i="3"/>
  <c r="K112" i="3"/>
  <c r="L112" i="3"/>
  <c r="AU112" i="3"/>
  <c r="AV112" i="3"/>
  <c r="AT122" i="3"/>
  <c r="K122" i="3"/>
  <c r="L122" i="3"/>
  <c r="AT130" i="3"/>
  <c r="K130" i="3"/>
  <c r="L130" i="3"/>
  <c r="AT138" i="3"/>
  <c r="K138" i="3"/>
  <c r="L138" i="3"/>
  <c r="AT146" i="3"/>
  <c r="K146" i="3"/>
  <c r="L146" i="3"/>
  <c r="AT154" i="3"/>
  <c r="K154" i="3"/>
  <c r="L154" i="3"/>
  <c r="AT162" i="3"/>
  <c r="K162" i="3"/>
  <c r="L162" i="3"/>
  <c r="AT170" i="3"/>
  <c r="K170" i="3"/>
  <c r="L170" i="3"/>
  <c r="AT178" i="3"/>
  <c r="K178" i="3"/>
  <c r="L178" i="3"/>
  <c r="I79" i="3"/>
  <c r="J79" i="3" s="1"/>
  <c r="I87" i="3"/>
  <c r="J87" i="3" s="1"/>
  <c r="I95" i="3"/>
  <c r="J95" i="3" s="1"/>
  <c r="I103" i="3"/>
  <c r="J103" i="3" s="1"/>
  <c r="I111" i="3"/>
  <c r="J111" i="3" s="1"/>
  <c r="I119" i="3"/>
  <c r="J119" i="3" s="1"/>
  <c r="I127" i="3"/>
  <c r="J127" i="3" s="1"/>
  <c r="M127" i="3" s="1"/>
  <c r="O127" i="3" s="1"/>
  <c r="I135" i="3"/>
  <c r="J135" i="3" s="1"/>
  <c r="I143" i="3"/>
  <c r="J143" i="3" s="1"/>
  <c r="I151" i="3"/>
  <c r="J151" i="3" s="1"/>
  <c r="I159" i="3"/>
  <c r="J159" i="3" s="1"/>
  <c r="I167" i="3"/>
  <c r="J167" i="3" s="1"/>
  <c r="I175" i="3"/>
  <c r="J175" i="3" s="1"/>
  <c r="I183" i="3"/>
  <c r="J183" i="3" s="1"/>
  <c r="L183" i="3"/>
  <c r="L167" i="3"/>
  <c r="L151" i="3"/>
  <c r="L135" i="3"/>
  <c r="L119" i="3"/>
  <c r="L103" i="3"/>
  <c r="L87" i="3"/>
  <c r="R158" i="3"/>
  <c r="R126" i="3"/>
  <c r="R109" i="3"/>
  <c r="AV174" i="3"/>
  <c r="AV158" i="3"/>
  <c r="AV142" i="3"/>
  <c r="AV126" i="3"/>
  <c r="AV110" i="3"/>
  <c r="AV94" i="3"/>
  <c r="AT185" i="3"/>
  <c r="AT153" i="3"/>
  <c r="AT121" i="3"/>
  <c r="AT89" i="3"/>
  <c r="R184" i="3"/>
  <c r="R176" i="3"/>
  <c r="R168" i="3"/>
  <c r="R160" i="3"/>
  <c r="R152" i="3"/>
  <c r="R144" i="3"/>
  <c r="R136" i="3"/>
  <c r="R128" i="3"/>
  <c r="R120" i="3"/>
  <c r="R112" i="3"/>
  <c r="R104" i="3"/>
  <c r="R96" i="3"/>
  <c r="R88" i="3"/>
  <c r="R80" i="3"/>
  <c r="R183" i="3"/>
  <c r="R175" i="3"/>
  <c r="R167" i="3"/>
  <c r="R159" i="3"/>
  <c r="R151" i="3"/>
  <c r="R143" i="3"/>
  <c r="R135" i="3"/>
  <c r="R127" i="3"/>
  <c r="R119" i="3"/>
  <c r="R111" i="3"/>
  <c r="R103" i="3"/>
  <c r="R95" i="3"/>
  <c r="R87" i="3"/>
  <c r="R182" i="3"/>
  <c r="R174" i="3"/>
  <c r="R166" i="3"/>
  <c r="R150" i="3"/>
  <c r="R142" i="3"/>
  <c r="R134" i="3"/>
  <c r="R118" i="3"/>
  <c r="R110" i="3"/>
  <c r="R102" i="3"/>
  <c r="R86" i="3"/>
  <c r="R181" i="3"/>
  <c r="R165" i="3"/>
  <c r="R149" i="3"/>
  <c r="R133" i="3"/>
  <c r="R117" i="3"/>
  <c r="R101" i="3"/>
  <c r="R85" i="3"/>
  <c r="R180" i="3"/>
  <c r="R172" i="3"/>
  <c r="R164" i="3"/>
  <c r="R156" i="3"/>
  <c r="R148" i="3"/>
  <c r="R140" i="3"/>
  <c r="R132" i="3"/>
  <c r="R124" i="3"/>
  <c r="R116" i="3"/>
  <c r="R108" i="3"/>
  <c r="R100" i="3"/>
  <c r="R92" i="3"/>
  <c r="R84" i="3"/>
  <c r="R179" i="3"/>
  <c r="R171" i="3"/>
  <c r="R163" i="3"/>
  <c r="R155" i="3"/>
  <c r="R147" i="3"/>
  <c r="R139" i="3"/>
  <c r="R131" i="3"/>
  <c r="R123" i="3"/>
  <c r="R107" i="3"/>
  <c r="R99" i="3"/>
  <c r="R91" i="3"/>
  <c r="R83" i="3"/>
  <c r="P51" i="3"/>
  <c r="P63" i="3" s="1"/>
  <c r="O51" i="3"/>
  <c r="G27" i="3"/>
  <c r="C6" i="3" s="1"/>
  <c r="E7" i="1" s="1"/>
  <c r="Q42" i="3"/>
  <c r="P29" i="3"/>
  <c r="P31" i="3"/>
  <c r="P34" i="3"/>
  <c r="P30" i="3"/>
  <c r="O27" i="3"/>
  <c r="L27" i="3"/>
  <c r="P38" i="3"/>
  <c r="P33" i="3"/>
  <c r="P36" i="3"/>
  <c r="F42" i="2" l="1"/>
  <c r="C8" i="2"/>
  <c r="C6" i="2"/>
  <c r="E6" i="1" s="1"/>
  <c r="F143" i="2"/>
  <c r="G148" i="2"/>
  <c r="E139" i="2"/>
  <c r="F139" i="2"/>
  <c r="F142" i="2"/>
  <c r="F146" i="2"/>
  <c r="F144" i="2"/>
  <c r="F148" i="2"/>
  <c r="F150" i="2"/>
  <c r="H147" i="2"/>
  <c r="H149" i="2"/>
  <c r="G143" i="2"/>
  <c r="E140" i="2"/>
  <c r="H150" i="2"/>
  <c r="H141" i="2"/>
  <c r="F145" i="2"/>
  <c r="G147" i="2"/>
  <c r="H142" i="2"/>
  <c r="G145" i="2"/>
  <c r="F141" i="2"/>
  <c r="G139" i="2"/>
  <c r="G146" i="2"/>
  <c r="F149" i="2"/>
  <c r="G144" i="2"/>
  <c r="G99" i="2"/>
  <c r="E113" i="2" s="1"/>
  <c r="E117" i="2" s="1"/>
  <c r="E118" i="2" s="1"/>
  <c r="J84" i="4"/>
  <c r="I86" i="4"/>
  <c r="I91" i="4" s="1"/>
  <c r="D77" i="4" s="1"/>
  <c r="D78" i="4" s="1"/>
  <c r="K88" i="4"/>
  <c r="K90" i="4" s="1"/>
  <c r="R51" i="3"/>
  <c r="M142" i="3"/>
  <c r="O142" i="3" s="1"/>
  <c r="M184" i="3"/>
  <c r="N184" i="3" s="1"/>
  <c r="S53" i="3"/>
  <c r="M136" i="3"/>
  <c r="N136" i="3" s="1"/>
  <c r="M162" i="3"/>
  <c r="N162" i="3" s="1"/>
  <c r="M105" i="3"/>
  <c r="O105" i="3" s="1"/>
  <c r="M155" i="3"/>
  <c r="O155" i="3" s="1"/>
  <c r="M128" i="3"/>
  <c r="O128" i="3" s="1"/>
  <c r="M100" i="3"/>
  <c r="O100" i="3" s="1"/>
  <c r="M159" i="3"/>
  <c r="N159" i="3" s="1"/>
  <c r="M83" i="3"/>
  <c r="O83" i="3" s="1"/>
  <c r="M132" i="3"/>
  <c r="N132" i="3" s="1"/>
  <c r="M96" i="3"/>
  <c r="N96" i="3" s="1"/>
  <c r="M143" i="3"/>
  <c r="O143" i="3" s="1"/>
  <c r="M97" i="3"/>
  <c r="N97" i="3" s="1"/>
  <c r="M126" i="3"/>
  <c r="N126" i="3" s="1"/>
  <c r="M152" i="3"/>
  <c r="O152" i="3" s="1"/>
  <c r="M111" i="3"/>
  <c r="P47" i="3"/>
  <c r="M124" i="3"/>
  <c r="O124" i="3" s="1"/>
  <c r="M147" i="3"/>
  <c r="N147" i="3" s="1"/>
  <c r="M173" i="3"/>
  <c r="N173" i="3" s="1"/>
  <c r="M160" i="3"/>
  <c r="N160" i="3" s="1"/>
  <c r="M98" i="3"/>
  <c r="N98" i="3" s="1"/>
  <c r="M112" i="3"/>
  <c r="O112" i="3" s="1"/>
  <c r="M149" i="3"/>
  <c r="N149" i="3" s="1"/>
  <c r="M131" i="3"/>
  <c r="O131" i="3" s="1"/>
  <c r="M180" i="3"/>
  <c r="N180" i="3" s="1"/>
  <c r="M104" i="3"/>
  <c r="M139" i="3"/>
  <c r="N139" i="3" s="1"/>
  <c r="M135" i="3"/>
  <c r="N135" i="3" s="1"/>
  <c r="M138" i="3"/>
  <c r="O138" i="3" s="1"/>
  <c r="M134" i="3"/>
  <c r="N134" i="3" s="1"/>
  <c r="M156" i="3"/>
  <c r="O156" i="3" s="1"/>
  <c r="M178" i="3"/>
  <c r="O178" i="3" s="1"/>
  <c r="M154" i="3"/>
  <c r="O154" i="3" s="1"/>
  <c r="M125" i="3"/>
  <c r="M168" i="3"/>
  <c r="O168" i="3" s="1"/>
  <c r="M148" i="3"/>
  <c r="N148" i="3" s="1"/>
  <c r="M179" i="3"/>
  <c r="O179" i="3" s="1"/>
  <c r="M146" i="3"/>
  <c r="O146" i="3" s="1"/>
  <c r="M130" i="3"/>
  <c r="O130" i="3" s="1"/>
  <c r="M116" i="3"/>
  <c r="O116" i="3" s="1"/>
  <c r="M120" i="3"/>
  <c r="O120" i="3" s="1"/>
  <c r="M164" i="3"/>
  <c r="N164" i="3" s="1"/>
  <c r="M174" i="3"/>
  <c r="N174" i="3" s="1"/>
  <c r="M90" i="3"/>
  <c r="O90" i="3" s="1"/>
  <c r="M140" i="3"/>
  <c r="O140" i="3" s="1"/>
  <c r="M171" i="3"/>
  <c r="N171" i="3" s="1"/>
  <c r="M99" i="3"/>
  <c r="O99" i="3" s="1"/>
  <c r="M185" i="3"/>
  <c r="O185" i="3" s="1"/>
  <c r="N127" i="3"/>
  <c r="M95" i="3"/>
  <c r="M158" i="3"/>
  <c r="O158" i="3" s="1"/>
  <c r="M122" i="3"/>
  <c r="N122" i="3" s="1"/>
  <c r="M157" i="3"/>
  <c r="O157" i="3" s="1"/>
  <c r="M153" i="3"/>
  <c r="M80" i="3"/>
  <c r="O80" i="3" s="1"/>
  <c r="M176" i="3"/>
  <c r="N176" i="3" s="1"/>
  <c r="M170" i="3"/>
  <c r="O170" i="3" s="1"/>
  <c r="M169" i="3"/>
  <c r="O169" i="3" s="1"/>
  <c r="M118" i="3"/>
  <c r="O118" i="3" s="1"/>
  <c r="M85" i="3"/>
  <c r="M144" i="3"/>
  <c r="O144" i="3" s="1"/>
  <c r="M106" i="3"/>
  <c r="O106" i="3" s="1"/>
  <c r="M167" i="3"/>
  <c r="M110" i="3"/>
  <c r="M123" i="3"/>
  <c r="N123" i="3" s="1"/>
  <c r="M133" i="3"/>
  <c r="O133" i="3" s="1"/>
  <c r="M182" i="3"/>
  <c r="N182" i="3" s="1"/>
  <c r="M150" i="3"/>
  <c r="O150" i="3" s="1"/>
  <c r="M87" i="3"/>
  <c r="M84" i="3"/>
  <c r="O84" i="3" s="1"/>
  <c r="M91" i="3"/>
  <c r="M166" i="3"/>
  <c r="O166" i="3" s="1"/>
  <c r="M94" i="3"/>
  <c r="N94" i="3" s="1"/>
  <c r="M177" i="3"/>
  <c r="O177" i="3" s="1"/>
  <c r="M161" i="3"/>
  <c r="O161" i="3" s="1"/>
  <c r="M145" i="3"/>
  <c r="N145" i="3" s="1"/>
  <c r="M102" i="3"/>
  <c r="M86" i="3"/>
  <c r="M79" i="3"/>
  <c r="M88" i="3"/>
  <c r="O88" i="3" s="1"/>
  <c r="M107" i="3"/>
  <c r="O107" i="3" s="1"/>
  <c r="M82" i="3"/>
  <c r="O82" i="3" s="1"/>
  <c r="M129" i="3"/>
  <c r="O163" i="3"/>
  <c r="N163" i="3"/>
  <c r="M103" i="3"/>
  <c r="M165" i="3"/>
  <c r="M89" i="3"/>
  <c r="Q47" i="3"/>
  <c r="M151" i="3"/>
  <c r="M108" i="3"/>
  <c r="M141" i="3"/>
  <c r="M81" i="3"/>
  <c r="M137" i="3"/>
  <c r="M117" i="3"/>
  <c r="M172" i="3"/>
  <c r="M183" i="3"/>
  <c r="M119" i="3"/>
  <c r="M92" i="3"/>
  <c r="M109" i="3"/>
  <c r="M175" i="3"/>
  <c r="M121" i="3"/>
  <c r="M93" i="3"/>
  <c r="M181" i="3"/>
  <c r="M101" i="3"/>
  <c r="M113" i="3"/>
  <c r="P27" i="3"/>
  <c r="N105" i="3" l="1"/>
  <c r="E9" i="1"/>
  <c r="C156" i="2"/>
  <c r="C154" i="2"/>
  <c r="C155" i="2"/>
  <c r="C153" i="2"/>
  <c r="C166" i="2" s="1"/>
  <c r="O98" i="3"/>
  <c r="O136" i="3"/>
  <c r="K84" i="4"/>
  <c r="J86" i="4"/>
  <c r="J91" i="4" s="1"/>
  <c r="E77" i="4" s="1"/>
  <c r="E78" i="4" s="1"/>
  <c r="O184" i="3"/>
  <c r="N142" i="3"/>
  <c r="O174" i="3"/>
  <c r="O145" i="3"/>
  <c r="O148" i="3"/>
  <c r="L88" i="4"/>
  <c r="L90" i="4" s="1"/>
  <c r="N178" i="3"/>
  <c r="N128" i="3"/>
  <c r="N99" i="3"/>
  <c r="N131" i="3"/>
  <c r="O126" i="3"/>
  <c r="N83" i="3"/>
  <c r="N82" i="3"/>
  <c r="S51" i="3"/>
  <c r="Q29" i="3"/>
  <c r="Q27" i="3" s="1"/>
  <c r="O96" i="3"/>
  <c r="O180" i="3"/>
  <c r="O162" i="3"/>
  <c r="N166" i="3"/>
  <c r="N112" i="3"/>
  <c r="N143" i="3"/>
  <c r="N100" i="3"/>
  <c r="O132" i="3"/>
  <c r="O123" i="3"/>
  <c r="O159" i="3"/>
  <c r="N169" i="3"/>
  <c r="N158" i="3"/>
  <c r="O135" i="3"/>
  <c r="O97" i="3"/>
  <c r="N138" i="3"/>
  <c r="O139" i="3"/>
  <c r="N90" i="3"/>
  <c r="N170" i="3"/>
  <c r="O173" i="3"/>
  <c r="O171" i="3"/>
  <c r="O134" i="3"/>
  <c r="N140" i="3"/>
  <c r="O147" i="3"/>
  <c r="N157" i="3"/>
  <c r="N155" i="3"/>
  <c r="N130" i="3"/>
  <c r="N106" i="3"/>
  <c r="N116" i="3"/>
  <c r="N88" i="3"/>
  <c r="N168" i="3"/>
  <c r="N124" i="3"/>
  <c r="N146" i="3"/>
  <c r="N154" i="3"/>
  <c r="N152" i="3"/>
  <c r="N177" i="3"/>
  <c r="N156" i="3"/>
  <c r="O122" i="3"/>
  <c r="O149" i="3"/>
  <c r="N111" i="3"/>
  <c r="O111" i="3"/>
  <c r="N107" i="3"/>
  <c r="O94" i="3"/>
  <c r="O160" i="3"/>
  <c r="O182" i="3"/>
  <c r="N133" i="3"/>
  <c r="O95" i="3"/>
  <c r="N95" i="3"/>
  <c r="O176" i="3"/>
  <c r="N161" i="3"/>
  <c r="O125" i="3"/>
  <c r="N125" i="3"/>
  <c r="N120" i="3"/>
  <c r="O164" i="3"/>
  <c r="O104" i="3"/>
  <c r="N104" i="3"/>
  <c r="N80" i="3"/>
  <c r="N179" i="3"/>
  <c r="N185" i="3"/>
  <c r="O102" i="3"/>
  <c r="N102" i="3"/>
  <c r="N118" i="3"/>
  <c r="N150" i="3"/>
  <c r="O86" i="3"/>
  <c r="N86" i="3"/>
  <c r="N110" i="3"/>
  <c r="O110" i="3"/>
  <c r="N91" i="3"/>
  <c r="O91" i="3"/>
  <c r="O87" i="3"/>
  <c r="N87" i="3"/>
  <c r="N84" i="3"/>
  <c r="O79" i="3"/>
  <c r="N79" i="3"/>
  <c r="N144" i="3"/>
  <c r="N167" i="3"/>
  <c r="O167" i="3"/>
  <c r="N85" i="3"/>
  <c r="O85" i="3"/>
  <c r="N153" i="3"/>
  <c r="O153" i="3"/>
  <c r="O113" i="3"/>
  <c r="N113" i="3"/>
  <c r="O108" i="3"/>
  <c r="N108" i="3"/>
  <c r="N103" i="3"/>
  <c r="O103" i="3"/>
  <c r="O101" i="3"/>
  <c r="N101" i="3"/>
  <c r="N92" i="3"/>
  <c r="O92" i="3"/>
  <c r="N151" i="3"/>
  <c r="O151" i="3"/>
  <c r="N93" i="3"/>
  <c r="O93" i="3"/>
  <c r="N183" i="3"/>
  <c r="O183" i="3"/>
  <c r="O117" i="3"/>
  <c r="N117" i="3"/>
  <c r="O89" i="3"/>
  <c r="N89" i="3"/>
  <c r="N109" i="3"/>
  <c r="O109" i="3"/>
  <c r="N172" i="3"/>
  <c r="O172" i="3"/>
  <c r="N129" i="3"/>
  <c r="O129" i="3"/>
  <c r="N137" i="3"/>
  <c r="O137" i="3"/>
  <c r="N175" i="3"/>
  <c r="O175" i="3"/>
  <c r="O81" i="3"/>
  <c r="N81" i="3"/>
  <c r="N165" i="3"/>
  <c r="O165" i="3"/>
  <c r="N181" i="3"/>
  <c r="O181" i="3"/>
  <c r="O119" i="3"/>
  <c r="N119" i="3"/>
  <c r="N121" i="3"/>
  <c r="O121" i="3"/>
  <c r="N141" i="3"/>
  <c r="O141" i="3"/>
  <c r="D175" i="2" l="1"/>
  <c r="C176" i="2"/>
  <c r="D177" i="2"/>
  <c r="D174" i="2"/>
  <c r="C175" i="2"/>
  <c r="C177" i="2"/>
  <c r="D173" i="2"/>
  <c r="C174" i="2"/>
  <c r="E174" i="2" s="1"/>
  <c r="C16" i="2" s="1"/>
  <c r="D172" i="2"/>
  <c r="C173" i="2"/>
  <c r="D171" i="2"/>
  <c r="C172" i="2"/>
  <c r="D176" i="2"/>
  <c r="D170" i="2"/>
  <c r="C171" i="2"/>
  <c r="C170" i="2"/>
  <c r="C8" i="3"/>
  <c r="F9" i="1" s="1"/>
  <c r="C161" i="2"/>
  <c r="G155" i="2"/>
  <c r="E155" i="2"/>
  <c r="F155" i="2"/>
  <c r="D155" i="2"/>
  <c r="C159" i="2"/>
  <c r="F153" i="2"/>
  <c r="F166" i="2" s="1"/>
  <c r="D153" i="2"/>
  <c r="G153" i="2"/>
  <c r="G166" i="2" s="1"/>
  <c r="E153" i="2"/>
  <c r="E166" i="2" s="1"/>
  <c r="C160" i="2"/>
  <c r="G154" i="2"/>
  <c r="E154" i="2"/>
  <c r="F154" i="2"/>
  <c r="D154" i="2"/>
  <c r="C162" i="2"/>
  <c r="G156" i="2"/>
  <c r="E156" i="2"/>
  <c r="F156" i="2"/>
  <c r="D156" i="2"/>
  <c r="D162" i="2" s="1"/>
  <c r="K86" i="4"/>
  <c r="K91" i="4" s="1"/>
  <c r="F77" i="4" s="1"/>
  <c r="L84" i="4"/>
  <c r="M88" i="4"/>
  <c r="M90" i="4" s="1"/>
  <c r="D16" i="2" l="1"/>
  <c r="C15" i="1"/>
  <c r="E15" i="1" s="1"/>
  <c r="E170" i="2"/>
  <c r="C19" i="2" s="1"/>
  <c r="E175" i="2"/>
  <c r="C15" i="2" s="1"/>
  <c r="E173" i="2"/>
  <c r="C14" i="2" s="1"/>
  <c r="E172" i="2"/>
  <c r="C20" i="2" s="1"/>
  <c r="E176" i="2"/>
  <c r="C13" i="2" s="1"/>
  <c r="E171" i="2"/>
  <c r="C17" i="2" s="1"/>
  <c r="E177" i="2"/>
  <c r="C18" i="2" s="1"/>
  <c r="D159" i="2"/>
  <c r="D166" i="2"/>
  <c r="C163" i="2"/>
  <c r="E162" i="2"/>
  <c r="D160" i="2"/>
  <c r="D161" i="2"/>
  <c r="C51" i="2"/>
  <c r="F78" i="4"/>
  <c r="L86" i="4"/>
  <c r="L91" i="4" s="1"/>
  <c r="G77" i="4" s="1"/>
  <c r="M84" i="4"/>
  <c r="N88" i="4"/>
  <c r="N90" i="4" s="1"/>
  <c r="D20" i="2" l="1"/>
  <c r="C19" i="1"/>
  <c r="E19" i="1" s="1"/>
  <c r="D13" i="2"/>
  <c r="C12" i="1"/>
  <c r="D19" i="2"/>
  <c r="C18" i="1"/>
  <c r="E18" i="1" s="1"/>
  <c r="D17" i="2"/>
  <c r="C16" i="1"/>
  <c r="D14" i="2"/>
  <c r="C13" i="1"/>
  <c r="D15" i="2"/>
  <c r="C14" i="1"/>
  <c r="D18" i="2"/>
  <c r="C17" i="1"/>
  <c r="E17" i="1" s="1"/>
  <c r="E159" i="2"/>
  <c r="D163" i="2"/>
  <c r="E161" i="2"/>
  <c r="E160" i="2"/>
  <c r="H156" i="2"/>
  <c r="I156" i="2" s="1"/>
  <c r="J156" i="2" s="1"/>
  <c r="K156" i="2" s="1"/>
  <c r="L156" i="2" s="1"/>
  <c r="M156" i="2" s="1"/>
  <c r="N156" i="2" s="1"/>
  <c r="O156" i="2" s="1"/>
  <c r="P156" i="2" s="1"/>
  <c r="Q156" i="2" s="1"/>
  <c r="R156" i="2" s="1"/>
  <c r="S156" i="2" s="1"/>
  <c r="T156" i="2" s="1"/>
  <c r="U156" i="2" s="1"/>
  <c r="V156" i="2" s="1"/>
  <c r="W156" i="2" s="1"/>
  <c r="X156" i="2" s="1"/>
  <c r="F162" i="2"/>
  <c r="D51" i="2"/>
  <c r="G78" i="4"/>
  <c r="M86" i="4"/>
  <c r="M91" i="4" s="1"/>
  <c r="H77" i="4" s="1"/>
  <c r="N84" i="4"/>
  <c r="O88" i="4"/>
  <c r="O90" i="4" s="1"/>
  <c r="C20" i="1" l="1"/>
  <c r="E12" i="1"/>
  <c r="Y156" i="2"/>
  <c r="X162" i="2"/>
  <c r="E163" i="2"/>
  <c r="H153" i="2"/>
  <c r="F159" i="2"/>
  <c r="G162" i="2"/>
  <c r="H154" i="2"/>
  <c r="F160" i="2"/>
  <c r="H155" i="2"/>
  <c r="I155" i="2" s="1"/>
  <c r="J155" i="2" s="1"/>
  <c r="K155" i="2" s="1"/>
  <c r="L155" i="2" s="1"/>
  <c r="M155" i="2" s="1"/>
  <c r="N155" i="2" s="1"/>
  <c r="O155" i="2" s="1"/>
  <c r="P155" i="2" s="1"/>
  <c r="Q155" i="2" s="1"/>
  <c r="R155" i="2" s="1"/>
  <c r="S155" i="2" s="1"/>
  <c r="T155" i="2" s="1"/>
  <c r="U155" i="2" s="1"/>
  <c r="V155" i="2" s="1"/>
  <c r="W155" i="2" s="1"/>
  <c r="X155" i="2" s="1"/>
  <c r="F161" i="2"/>
  <c r="E51" i="2"/>
  <c r="H78" i="4"/>
  <c r="T138" i="3"/>
  <c r="T127" i="3"/>
  <c r="T162" i="3"/>
  <c r="T131" i="3"/>
  <c r="T79" i="3"/>
  <c r="T152" i="3"/>
  <c r="T112" i="3"/>
  <c r="T90" i="3"/>
  <c r="T134" i="3"/>
  <c r="T129" i="3"/>
  <c r="T149" i="3"/>
  <c r="T142" i="3"/>
  <c r="T151" i="3"/>
  <c r="T144" i="3"/>
  <c r="T145" i="3"/>
  <c r="T106" i="3"/>
  <c r="T107" i="3"/>
  <c r="T102" i="3"/>
  <c r="T123" i="3"/>
  <c r="T167" i="3"/>
  <c r="T104" i="3"/>
  <c r="T150" i="3"/>
  <c r="T103" i="3"/>
  <c r="T133" i="3"/>
  <c r="T99" i="3"/>
  <c r="T170" i="3"/>
  <c r="T154" i="3"/>
  <c r="T122" i="3"/>
  <c r="T143" i="3"/>
  <c r="T177" i="3"/>
  <c r="T110" i="3"/>
  <c r="T124" i="3"/>
  <c r="T157" i="3"/>
  <c r="T120" i="3"/>
  <c r="T141" i="3"/>
  <c r="T173" i="3"/>
  <c r="T180" i="3"/>
  <c r="T147" i="3"/>
  <c r="T126" i="3"/>
  <c r="T88" i="3"/>
  <c r="T132" i="3"/>
  <c r="T185" i="3"/>
  <c r="T93" i="3"/>
  <c r="T155" i="3"/>
  <c r="T160" i="3"/>
  <c r="T96" i="3"/>
  <c r="T95" i="3"/>
  <c r="T182" i="3"/>
  <c r="T101" i="3"/>
  <c r="T146" i="3"/>
  <c r="T121" i="3"/>
  <c r="T172" i="3"/>
  <c r="T108" i="3"/>
  <c r="T139" i="3"/>
  <c r="T119" i="3"/>
  <c r="T118" i="3"/>
  <c r="T158" i="3"/>
  <c r="T178" i="3"/>
  <c r="T125" i="3"/>
  <c r="T169" i="3"/>
  <c r="T87" i="3"/>
  <c r="T81" i="3"/>
  <c r="T128" i="3"/>
  <c r="T86" i="3"/>
  <c r="T153" i="3"/>
  <c r="T85" i="3"/>
  <c r="T100" i="3"/>
  <c r="T136" i="3"/>
  <c r="T159" i="3"/>
  <c r="T164" i="3"/>
  <c r="T176" i="3"/>
  <c r="T179" i="3"/>
  <c r="T105" i="3"/>
  <c r="T181" i="3"/>
  <c r="T174" i="3"/>
  <c r="T168" i="3"/>
  <c r="T161" i="3"/>
  <c r="T84" i="3"/>
  <c r="T165" i="3"/>
  <c r="T91" i="3"/>
  <c r="T82" i="3"/>
  <c r="T163" i="3"/>
  <c r="T156" i="3"/>
  <c r="T184" i="3"/>
  <c r="T109" i="3"/>
  <c r="T140" i="3"/>
  <c r="T148" i="3"/>
  <c r="T83" i="3"/>
  <c r="T116" i="3"/>
  <c r="T97" i="3"/>
  <c r="T117" i="3"/>
  <c r="T113" i="3"/>
  <c r="T175" i="3"/>
  <c r="T137" i="3"/>
  <c r="T111" i="3"/>
  <c r="T80" i="3"/>
  <c r="T94" i="3"/>
  <c r="T135" i="3"/>
  <c r="T89" i="3"/>
  <c r="T183" i="3"/>
  <c r="T166" i="3"/>
  <c r="T92" i="3"/>
  <c r="T98" i="3"/>
  <c r="T171" i="3"/>
  <c r="T130" i="3"/>
  <c r="O84" i="4"/>
  <c r="N86" i="4"/>
  <c r="N91" i="4" s="1"/>
  <c r="I77" i="4" s="1"/>
  <c r="P88" i="4"/>
  <c r="P90" i="4" s="1"/>
  <c r="I154" i="2" l="1"/>
  <c r="J154" i="2" s="1"/>
  <c r="K154" i="2" s="1"/>
  <c r="L154" i="2" s="1"/>
  <c r="M154" i="2" s="1"/>
  <c r="N154" i="2" s="1"/>
  <c r="O154" i="2" s="1"/>
  <c r="P154" i="2" s="1"/>
  <c r="Q154" i="2" s="1"/>
  <c r="R154" i="2" s="1"/>
  <c r="S154" i="2" s="1"/>
  <c r="T154" i="2" s="1"/>
  <c r="U154" i="2" s="1"/>
  <c r="V154" i="2" s="1"/>
  <c r="W154" i="2" s="1"/>
  <c r="X154" i="2" s="1"/>
  <c r="X160" i="2" s="1"/>
  <c r="H157" i="2"/>
  <c r="I153" i="2"/>
  <c r="H166" i="2"/>
  <c r="Z156" i="2"/>
  <c r="Y162" i="2"/>
  <c r="Y155" i="2"/>
  <c r="X161" i="2"/>
  <c r="G159" i="2"/>
  <c r="F163" i="2"/>
  <c r="G161" i="2"/>
  <c r="G160" i="2"/>
  <c r="H162" i="2"/>
  <c r="F51" i="2"/>
  <c r="I78" i="4"/>
  <c r="U157" i="3"/>
  <c r="U184" i="3"/>
  <c r="U169" i="3"/>
  <c r="U110" i="3"/>
  <c r="U177" i="3"/>
  <c r="U151" i="3"/>
  <c r="U130" i="3"/>
  <c r="U156" i="3"/>
  <c r="U148" i="3"/>
  <c r="U149" i="3"/>
  <c r="U185" i="3"/>
  <c r="U97" i="3"/>
  <c r="U143" i="3"/>
  <c r="U96" i="3"/>
  <c r="U168" i="3"/>
  <c r="U134" i="3"/>
  <c r="U101" i="3"/>
  <c r="U93" i="3"/>
  <c r="U117" i="3"/>
  <c r="U107" i="3"/>
  <c r="U102" i="3"/>
  <c r="U123" i="3"/>
  <c r="U106" i="3"/>
  <c r="U178" i="3"/>
  <c r="U129" i="3"/>
  <c r="U125" i="3"/>
  <c r="U95" i="3"/>
  <c r="U98" i="3"/>
  <c r="U82" i="3"/>
  <c r="U163" i="3"/>
  <c r="U171" i="3"/>
  <c r="U167" i="3"/>
  <c r="U119" i="3"/>
  <c r="U111" i="3"/>
  <c r="U92" i="3"/>
  <c r="U142" i="3"/>
  <c r="U181" i="3"/>
  <c r="U170" i="3"/>
  <c r="U104" i="3"/>
  <c r="U103" i="3"/>
  <c r="U113" i="3"/>
  <c r="U86" i="3"/>
  <c r="U89" i="3"/>
  <c r="U164" i="3"/>
  <c r="U145" i="3"/>
  <c r="U116" i="3"/>
  <c r="U124" i="3"/>
  <c r="U137" i="3"/>
  <c r="U135" i="3"/>
  <c r="U158" i="3"/>
  <c r="U112" i="3"/>
  <c r="U154" i="3"/>
  <c r="U131" i="3"/>
  <c r="U133" i="3"/>
  <c r="U146" i="3"/>
  <c r="U182" i="3"/>
  <c r="U152" i="3"/>
  <c r="U165" i="3"/>
  <c r="U91" i="3"/>
  <c r="U174" i="3"/>
  <c r="U81" i="3"/>
  <c r="U126" i="3"/>
  <c r="U141" i="3"/>
  <c r="U120" i="3"/>
  <c r="U90" i="3"/>
  <c r="U88" i="3"/>
  <c r="U138" i="3"/>
  <c r="U180" i="3"/>
  <c r="U183" i="3"/>
  <c r="U132" i="3"/>
  <c r="U155" i="3"/>
  <c r="U127" i="3"/>
  <c r="U162" i="3"/>
  <c r="U160" i="3"/>
  <c r="U79" i="3"/>
  <c r="U94" i="3"/>
  <c r="U144" i="3"/>
  <c r="U80" i="3"/>
  <c r="U105" i="3"/>
  <c r="U118" i="3"/>
  <c r="U121" i="3"/>
  <c r="U179" i="3"/>
  <c r="U176" i="3"/>
  <c r="U84" i="3"/>
  <c r="U122" i="3"/>
  <c r="U172" i="3"/>
  <c r="U87" i="3"/>
  <c r="U153" i="3"/>
  <c r="U166" i="3"/>
  <c r="U108" i="3"/>
  <c r="U159" i="3"/>
  <c r="U100" i="3"/>
  <c r="U175" i="3"/>
  <c r="U136" i="3"/>
  <c r="U109" i="3"/>
  <c r="U139" i="3"/>
  <c r="U140" i="3"/>
  <c r="U161" i="3"/>
  <c r="U128" i="3"/>
  <c r="U150" i="3"/>
  <c r="U147" i="3"/>
  <c r="U173" i="3"/>
  <c r="U99" i="3"/>
  <c r="U85" i="3"/>
  <c r="U83" i="3"/>
  <c r="P84" i="4"/>
  <c r="O86" i="4"/>
  <c r="O91" i="4" s="1"/>
  <c r="J77" i="4" s="1"/>
  <c r="Q88" i="4"/>
  <c r="Q90" i="4" s="1"/>
  <c r="Y154" i="2" l="1"/>
  <c r="Z154" i="2" s="1"/>
  <c r="J153" i="2"/>
  <c r="I166" i="2"/>
  <c r="Z155" i="2"/>
  <c r="Y161" i="2"/>
  <c r="AA156" i="2"/>
  <c r="Z162" i="2"/>
  <c r="H159" i="2"/>
  <c r="AC159" i="2" s="1"/>
  <c r="AC162" i="2"/>
  <c r="G163" i="2"/>
  <c r="H160" i="2"/>
  <c r="AC160" i="2" s="1"/>
  <c r="I162" i="2"/>
  <c r="H161" i="2"/>
  <c r="AC161" i="2" s="1"/>
  <c r="G51" i="2"/>
  <c r="J78" i="4"/>
  <c r="V157" i="3"/>
  <c r="V159" i="3"/>
  <c r="V178" i="3"/>
  <c r="V183" i="3"/>
  <c r="V87" i="3"/>
  <c r="V162" i="3"/>
  <c r="V104" i="3"/>
  <c r="V90" i="3"/>
  <c r="V125" i="3"/>
  <c r="V106" i="3"/>
  <c r="V175" i="3"/>
  <c r="V169" i="3"/>
  <c r="V100" i="3"/>
  <c r="V130" i="3"/>
  <c r="V180" i="3"/>
  <c r="V111" i="3"/>
  <c r="V91" i="3"/>
  <c r="V161" i="3"/>
  <c r="V109" i="3"/>
  <c r="V168" i="3"/>
  <c r="V123" i="3"/>
  <c r="V120" i="3"/>
  <c r="V110" i="3"/>
  <c r="V131" i="3"/>
  <c r="V136" i="3"/>
  <c r="V82" i="3"/>
  <c r="V143" i="3"/>
  <c r="V185" i="3"/>
  <c r="V134" i="3"/>
  <c r="V92" i="3"/>
  <c r="V122" i="3"/>
  <c r="V93" i="3"/>
  <c r="V129" i="3"/>
  <c r="V79" i="3"/>
  <c r="V132" i="3"/>
  <c r="V142" i="3"/>
  <c r="V99" i="3"/>
  <c r="V135" i="3"/>
  <c r="V88" i="3"/>
  <c r="V182" i="3"/>
  <c r="V137" i="3"/>
  <c r="V116" i="3"/>
  <c r="V177" i="3"/>
  <c r="V94" i="3"/>
  <c r="V164" i="3"/>
  <c r="V85" i="3"/>
  <c r="V117" i="3"/>
  <c r="V151" i="3"/>
  <c r="V148" i="3"/>
  <c r="V138" i="3"/>
  <c r="V96" i="3"/>
  <c r="V158" i="3"/>
  <c r="V144" i="3"/>
  <c r="V174" i="3"/>
  <c r="V80" i="3"/>
  <c r="V167" i="3"/>
  <c r="V145" i="3"/>
  <c r="V154" i="3"/>
  <c r="V146" i="3"/>
  <c r="V97" i="3"/>
  <c r="V155" i="3"/>
  <c r="V89" i="3"/>
  <c r="V150" i="3"/>
  <c r="V118" i="3"/>
  <c r="V133" i="3"/>
  <c r="V101" i="3"/>
  <c r="V153" i="3"/>
  <c r="V160" i="3"/>
  <c r="V107" i="3"/>
  <c r="V171" i="3"/>
  <c r="V112" i="3"/>
  <c r="V181" i="3"/>
  <c r="V152" i="3"/>
  <c r="V166" i="3"/>
  <c r="V113" i="3"/>
  <c r="V140" i="3"/>
  <c r="V81" i="3"/>
  <c r="V127" i="3"/>
  <c r="V147" i="3"/>
  <c r="V173" i="3"/>
  <c r="V163" i="3"/>
  <c r="V86" i="3"/>
  <c r="V83" i="3"/>
  <c r="V128" i="3"/>
  <c r="V124" i="3"/>
  <c r="V84" i="3"/>
  <c r="V98" i="3"/>
  <c r="V184" i="3"/>
  <c r="V149" i="3"/>
  <c r="V103" i="3"/>
  <c r="V108" i="3"/>
  <c r="V119" i="3"/>
  <c r="V170" i="3"/>
  <c r="V102" i="3"/>
  <c r="V105" i="3"/>
  <c r="V139" i="3"/>
  <c r="V172" i="3"/>
  <c r="V141" i="3"/>
  <c r="V121" i="3"/>
  <c r="V179" i="3"/>
  <c r="V176" i="3"/>
  <c r="V156" i="3"/>
  <c r="V165" i="3"/>
  <c r="V126" i="3"/>
  <c r="V95" i="3"/>
  <c r="Q84" i="4"/>
  <c r="P86" i="4"/>
  <c r="P91" i="4" s="1"/>
  <c r="K77" i="4" s="1"/>
  <c r="R88" i="4"/>
  <c r="R90" i="4" s="1"/>
  <c r="Y160" i="2" l="1"/>
  <c r="K153" i="2"/>
  <c r="J166" i="2"/>
  <c r="AA155" i="2"/>
  <c r="Z161" i="2"/>
  <c r="AB156" i="2"/>
  <c r="AB162" i="2" s="1"/>
  <c r="AA162" i="2"/>
  <c r="AA154" i="2"/>
  <c r="Z160" i="2"/>
  <c r="I159" i="2"/>
  <c r="H163" i="2"/>
  <c r="AC163" i="2" s="1"/>
  <c r="J162" i="2"/>
  <c r="I161" i="2"/>
  <c r="I160" i="2"/>
  <c r="H51" i="2"/>
  <c r="AC51" i="2" s="1"/>
  <c r="K78" i="4"/>
  <c r="W157" i="3"/>
  <c r="W103" i="3"/>
  <c r="W185" i="3"/>
  <c r="W112" i="3"/>
  <c r="W104" i="3"/>
  <c r="W177" i="3"/>
  <c r="W140" i="3"/>
  <c r="W82" i="3"/>
  <c r="W84" i="3"/>
  <c r="W81" i="3"/>
  <c r="W142" i="3"/>
  <c r="W162" i="3"/>
  <c r="W170" i="3"/>
  <c r="W106" i="3"/>
  <c r="W110" i="3"/>
  <c r="W93" i="3"/>
  <c r="W156" i="3"/>
  <c r="W141" i="3"/>
  <c r="W125" i="3"/>
  <c r="W88" i="3"/>
  <c r="W98" i="3"/>
  <c r="W151" i="3"/>
  <c r="W158" i="3"/>
  <c r="W134" i="3"/>
  <c r="W133" i="3"/>
  <c r="W131" i="3"/>
  <c r="W113" i="3"/>
  <c r="W164" i="3"/>
  <c r="W161" i="3"/>
  <c r="W91" i="3"/>
  <c r="W146" i="3"/>
  <c r="W128" i="3"/>
  <c r="W85" i="3"/>
  <c r="W149" i="3"/>
  <c r="W167" i="3"/>
  <c r="W123" i="3"/>
  <c r="W148" i="3"/>
  <c r="W166" i="3"/>
  <c r="W116" i="3"/>
  <c r="W154" i="3"/>
  <c r="W90" i="3"/>
  <c r="W80" i="3"/>
  <c r="W174" i="3"/>
  <c r="W150" i="3"/>
  <c r="W183" i="3"/>
  <c r="W171" i="3"/>
  <c r="W120" i="3"/>
  <c r="W138" i="3"/>
  <c r="W97" i="3"/>
  <c r="W155" i="3"/>
  <c r="W165" i="3"/>
  <c r="W119" i="3"/>
  <c r="W121" i="3"/>
  <c r="W173" i="3"/>
  <c r="W135" i="3"/>
  <c r="W94" i="3"/>
  <c r="W137" i="3"/>
  <c r="W87" i="3"/>
  <c r="W132" i="3"/>
  <c r="W122" i="3"/>
  <c r="W172" i="3"/>
  <c r="W169" i="3"/>
  <c r="W163" i="3"/>
  <c r="W153" i="3"/>
  <c r="W101" i="3"/>
  <c r="W145" i="3"/>
  <c r="W178" i="3"/>
  <c r="W107" i="3"/>
  <c r="W129" i="3"/>
  <c r="W152" i="3"/>
  <c r="W96" i="3"/>
  <c r="W109" i="3"/>
  <c r="W89" i="3"/>
  <c r="W144" i="3"/>
  <c r="W86" i="3"/>
  <c r="W118" i="3"/>
  <c r="W168" i="3"/>
  <c r="W130" i="3"/>
  <c r="W159" i="3"/>
  <c r="W147" i="3"/>
  <c r="W102" i="3"/>
  <c r="W181" i="3"/>
  <c r="W83" i="3"/>
  <c r="W111" i="3"/>
  <c r="W182" i="3"/>
  <c r="W79" i="3"/>
  <c r="W180" i="3"/>
  <c r="W160" i="3"/>
  <c r="W100" i="3"/>
  <c r="W92" i="3"/>
  <c r="W95" i="3"/>
  <c r="W143" i="3"/>
  <c r="W175" i="3"/>
  <c r="W99" i="3"/>
  <c r="W105" i="3"/>
  <c r="W126" i="3"/>
  <c r="W139" i="3"/>
  <c r="W127" i="3"/>
  <c r="W184" i="3"/>
  <c r="W124" i="3"/>
  <c r="W136" i="3"/>
  <c r="W117" i="3"/>
  <c r="W179" i="3"/>
  <c r="W108" i="3"/>
  <c r="W176" i="3"/>
  <c r="R84" i="4"/>
  <c r="Q86" i="4"/>
  <c r="Q91" i="4" s="1"/>
  <c r="L77" i="4" s="1"/>
  <c r="S88" i="4"/>
  <c r="S90" i="4" s="1"/>
  <c r="L153" i="2" l="1"/>
  <c r="K166" i="2"/>
  <c r="AB154" i="2"/>
  <c r="AB160" i="2" s="1"/>
  <c r="AA160" i="2"/>
  <c r="AB155" i="2"/>
  <c r="AB161" i="2" s="1"/>
  <c r="AA161" i="2"/>
  <c r="J159" i="2"/>
  <c r="I163" i="2"/>
  <c r="C5" i="2"/>
  <c r="J161" i="2"/>
  <c r="J160" i="2"/>
  <c r="K162" i="2"/>
  <c r="I51" i="2"/>
  <c r="L78" i="4"/>
  <c r="X170" i="3"/>
  <c r="X118" i="3"/>
  <c r="X98" i="3"/>
  <c r="X182" i="3"/>
  <c r="X79" i="3"/>
  <c r="X167" i="3"/>
  <c r="X157" i="3"/>
  <c r="X141" i="3"/>
  <c r="X150" i="3"/>
  <c r="X92" i="3"/>
  <c r="X88" i="3"/>
  <c r="X138" i="3"/>
  <c r="X154" i="3"/>
  <c r="X86" i="3"/>
  <c r="X185" i="3"/>
  <c r="X102" i="3"/>
  <c r="X99" i="3"/>
  <c r="X148" i="3"/>
  <c r="X131" i="3"/>
  <c r="X142" i="3"/>
  <c r="X123" i="3"/>
  <c r="X87" i="3"/>
  <c r="X134" i="3"/>
  <c r="X129" i="3"/>
  <c r="X149" i="3"/>
  <c r="X100" i="3"/>
  <c r="X173" i="3"/>
  <c r="X121" i="3"/>
  <c r="X125" i="3"/>
  <c r="X97" i="3"/>
  <c r="X137" i="3"/>
  <c r="X177" i="3"/>
  <c r="X178" i="3"/>
  <c r="X110" i="3"/>
  <c r="X184" i="3"/>
  <c r="X101" i="3"/>
  <c r="X156" i="3"/>
  <c r="X159" i="3"/>
  <c r="X133" i="3"/>
  <c r="X120" i="3"/>
  <c r="X130" i="3"/>
  <c r="X93" i="3"/>
  <c r="X160" i="3"/>
  <c r="X116" i="3"/>
  <c r="X175" i="3"/>
  <c r="X126" i="3"/>
  <c r="X146" i="3"/>
  <c r="X91" i="3"/>
  <c r="X127" i="3"/>
  <c r="X136" i="3"/>
  <c r="X95" i="3"/>
  <c r="X147" i="3"/>
  <c r="X132" i="3"/>
  <c r="X122" i="3"/>
  <c r="X180" i="3"/>
  <c r="X143" i="3"/>
  <c r="X181" i="3"/>
  <c r="X179" i="3"/>
  <c r="X151" i="3"/>
  <c r="X124" i="3"/>
  <c r="X163" i="3"/>
  <c r="X158" i="3"/>
  <c r="X104" i="3"/>
  <c r="X169" i="3"/>
  <c r="X161" i="3"/>
  <c r="X155" i="3"/>
  <c r="X165" i="3"/>
  <c r="X113" i="3"/>
  <c r="X103" i="3"/>
  <c r="X82" i="3"/>
  <c r="X106" i="3"/>
  <c r="X85" i="3"/>
  <c r="X96" i="3"/>
  <c r="X174" i="3"/>
  <c r="X111" i="3"/>
  <c r="X128" i="3"/>
  <c r="X108" i="3"/>
  <c r="X152" i="3"/>
  <c r="X145" i="3"/>
  <c r="X183" i="3"/>
  <c r="X105" i="3"/>
  <c r="X176" i="3"/>
  <c r="X119" i="3"/>
  <c r="X83" i="3"/>
  <c r="X117" i="3"/>
  <c r="X162" i="3"/>
  <c r="X89" i="3"/>
  <c r="X172" i="3"/>
  <c r="X140" i="3"/>
  <c r="X90" i="3"/>
  <c r="X84" i="3"/>
  <c r="X168" i="3"/>
  <c r="X81" i="3"/>
  <c r="X107" i="3"/>
  <c r="X139" i="3"/>
  <c r="X171" i="3"/>
  <c r="X144" i="3"/>
  <c r="X94" i="3"/>
  <c r="X109" i="3"/>
  <c r="X135" i="3"/>
  <c r="X153" i="3"/>
  <c r="X164" i="3"/>
  <c r="X80" i="3"/>
  <c r="X112" i="3"/>
  <c r="X166" i="3"/>
  <c r="R86" i="4"/>
  <c r="S84" i="4"/>
  <c r="R91" i="4"/>
  <c r="M77" i="4" s="1"/>
  <c r="T88" i="4"/>
  <c r="T90" i="4" s="1"/>
  <c r="M153" i="2" l="1"/>
  <c r="L166" i="2"/>
  <c r="K159" i="2"/>
  <c r="C9" i="2"/>
  <c r="C10" i="2" s="1"/>
  <c r="C6" i="1"/>
  <c r="G6" i="1" s="1"/>
  <c r="I6" i="1" s="1"/>
  <c r="J163" i="2"/>
  <c r="L162" i="2"/>
  <c r="K160" i="2"/>
  <c r="K161" i="2"/>
  <c r="J51" i="2"/>
  <c r="M78" i="4"/>
  <c r="Y169" i="3"/>
  <c r="Y138" i="3"/>
  <c r="Y84" i="3"/>
  <c r="Y146" i="3"/>
  <c r="Y90" i="3"/>
  <c r="Y154" i="3"/>
  <c r="Y85" i="3"/>
  <c r="Y102" i="3"/>
  <c r="Y148" i="3"/>
  <c r="Y142" i="3"/>
  <c r="Y128" i="3"/>
  <c r="Y163" i="3"/>
  <c r="Y117" i="3"/>
  <c r="Y134" i="3"/>
  <c r="Y157" i="3"/>
  <c r="Y150" i="3"/>
  <c r="Y104" i="3"/>
  <c r="Y170" i="3"/>
  <c r="Y123" i="3"/>
  <c r="Y184" i="3"/>
  <c r="Y82" i="3"/>
  <c r="Y99" i="3"/>
  <c r="Y133" i="3"/>
  <c r="Y122" i="3"/>
  <c r="Y129" i="3"/>
  <c r="Y97" i="3"/>
  <c r="Y111" i="3"/>
  <c r="Y140" i="3"/>
  <c r="Y125" i="3"/>
  <c r="Y173" i="3"/>
  <c r="Y79" i="3"/>
  <c r="Y120" i="3"/>
  <c r="Y149" i="3"/>
  <c r="Y124" i="3"/>
  <c r="Y98" i="3"/>
  <c r="Y151" i="3"/>
  <c r="Y160" i="3"/>
  <c r="Y141" i="3"/>
  <c r="Y130" i="3"/>
  <c r="Y135" i="3"/>
  <c r="Y168" i="3"/>
  <c r="Y137" i="3"/>
  <c r="Y121" i="3"/>
  <c r="Y179" i="3"/>
  <c r="Y100" i="3"/>
  <c r="Y118" i="3"/>
  <c r="Y178" i="3"/>
  <c r="Y156" i="3"/>
  <c r="Y126" i="3"/>
  <c r="Y86" i="3"/>
  <c r="Y180" i="3"/>
  <c r="Y89" i="3"/>
  <c r="Y161" i="3"/>
  <c r="Y109" i="3"/>
  <c r="Y183" i="3"/>
  <c r="Y176" i="3"/>
  <c r="Y96" i="3"/>
  <c r="Y87" i="3"/>
  <c r="Y158" i="3"/>
  <c r="Y155" i="3"/>
  <c r="Y88" i="3"/>
  <c r="Y145" i="3"/>
  <c r="Y174" i="3"/>
  <c r="Y136" i="3"/>
  <c r="Y165" i="3"/>
  <c r="Y153" i="3"/>
  <c r="Y131" i="3"/>
  <c r="Y166" i="3"/>
  <c r="Y162" i="3"/>
  <c r="Y127" i="3"/>
  <c r="Y81" i="3"/>
  <c r="Y132" i="3"/>
  <c r="Y175" i="3"/>
  <c r="Y107" i="3"/>
  <c r="Y119" i="3"/>
  <c r="Y108" i="3"/>
  <c r="Y106" i="3"/>
  <c r="Y92" i="3"/>
  <c r="Y110" i="3"/>
  <c r="Y171" i="3"/>
  <c r="Y112" i="3"/>
  <c r="Y182" i="3"/>
  <c r="Y80" i="3"/>
  <c r="Y101" i="3"/>
  <c r="Y152" i="3"/>
  <c r="Y105" i="3"/>
  <c r="Y159" i="3"/>
  <c r="Y83" i="3"/>
  <c r="Y144" i="3"/>
  <c r="Y139" i="3"/>
  <c r="Y94" i="3"/>
  <c r="Y91" i="3"/>
  <c r="Y172" i="3"/>
  <c r="Y95" i="3"/>
  <c r="Y167" i="3"/>
  <c r="Y116" i="3"/>
  <c r="Y147" i="3"/>
  <c r="Y181" i="3"/>
  <c r="Y164" i="3"/>
  <c r="Y113" i="3"/>
  <c r="Y93" i="3"/>
  <c r="Y143" i="3"/>
  <c r="Y103" i="3"/>
  <c r="Y185" i="3"/>
  <c r="Y177" i="3"/>
  <c r="T84" i="4"/>
  <c r="S86" i="4"/>
  <c r="S91" i="4" s="1"/>
  <c r="N77" i="4" s="1"/>
  <c r="U88" i="4"/>
  <c r="U90" i="4" s="1"/>
  <c r="N153" i="2" l="1"/>
  <c r="M166" i="2"/>
  <c r="L159" i="2"/>
  <c r="K163" i="2"/>
  <c r="L161" i="2"/>
  <c r="L160" i="2"/>
  <c r="M162" i="2"/>
  <c r="Z169" i="3"/>
  <c r="Z138" i="3"/>
  <c r="Z82" i="3"/>
  <c r="Z174" i="3"/>
  <c r="Z177" i="3"/>
  <c r="Z182" i="3"/>
  <c r="Z148" i="3"/>
  <c r="Z134" i="3"/>
  <c r="Z122" i="3"/>
  <c r="Z120" i="3"/>
  <c r="Z107" i="3"/>
  <c r="Z99" i="3"/>
  <c r="Z146" i="3"/>
  <c r="Z141" i="3"/>
  <c r="Z168" i="3"/>
  <c r="Z123" i="3"/>
  <c r="Z133" i="3"/>
  <c r="Z104" i="3"/>
  <c r="Z167" i="3"/>
  <c r="Z130" i="3"/>
  <c r="Z142" i="3"/>
  <c r="Z110" i="3"/>
  <c r="Z91" i="3"/>
  <c r="Z124" i="3"/>
  <c r="Z185" i="3"/>
  <c r="Z163" i="3"/>
  <c r="Z119" i="3"/>
  <c r="Z97" i="3"/>
  <c r="Z175" i="3"/>
  <c r="Z171" i="3"/>
  <c r="Z113" i="3"/>
  <c r="Z90" i="3"/>
  <c r="Z154" i="3"/>
  <c r="Z103" i="3"/>
  <c r="Z184" i="3"/>
  <c r="Z131" i="3"/>
  <c r="Z128" i="3"/>
  <c r="Z183" i="3"/>
  <c r="Z112" i="3"/>
  <c r="Z116" i="3"/>
  <c r="Z106" i="3"/>
  <c r="Z126" i="3"/>
  <c r="Z81" i="3"/>
  <c r="Z121" i="3"/>
  <c r="Z136" i="3"/>
  <c r="Z98" i="3"/>
  <c r="Z162" i="3"/>
  <c r="Z125" i="3"/>
  <c r="Z157" i="3"/>
  <c r="Z151" i="3"/>
  <c r="Z86" i="3"/>
  <c r="Z153" i="3"/>
  <c r="Z160" i="3"/>
  <c r="Z85" i="3"/>
  <c r="Z173" i="3"/>
  <c r="Z135" i="3"/>
  <c r="Z83" i="3"/>
  <c r="Z100" i="3"/>
  <c r="Z127" i="3"/>
  <c r="Z79" i="3"/>
  <c r="Z178" i="3"/>
  <c r="Z92" i="3"/>
  <c r="Z132" i="3"/>
  <c r="Z96" i="3"/>
  <c r="Z155" i="3"/>
  <c r="Z166" i="3"/>
  <c r="Z102" i="3"/>
  <c r="Z143" i="3"/>
  <c r="Z94" i="3"/>
  <c r="Z145" i="3"/>
  <c r="Z89" i="3"/>
  <c r="Z139" i="3"/>
  <c r="Z164" i="3"/>
  <c r="Z111" i="3"/>
  <c r="Z137" i="3"/>
  <c r="Z88" i="3"/>
  <c r="Z95" i="3"/>
  <c r="Z140" i="3"/>
  <c r="Z118" i="3"/>
  <c r="Z156" i="3"/>
  <c r="Z165" i="3"/>
  <c r="Z159" i="3"/>
  <c r="Z149" i="3"/>
  <c r="Z144" i="3"/>
  <c r="Z109" i="3"/>
  <c r="Z84" i="3"/>
  <c r="Z158" i="3"/>
  <c r="Z147" i="3"/>
  <c r="Z152" i="3"/>
  <c r="Z117" i="3"/>
  <c r="Z80" i="3"/>
  <c r="Z172" i="3"/>
  <c r="Z150" i="3"/>
  <c r="Z105" i="3"/>
  <c r="Z108" i="3"/>
  <c r="Z170" i="3"/>
  <c r="Z129" i="3"/>
  <c r="Z93" i="3"/>
  <c r="Z176" i="3"/>
  <c r="Z180" i="3"/>
  <c r="Z87" i="3"/>
  <c r="Z161" i="3"/>
  <c r="Z179" i="3"/>
  <c r="Z101" i="3"/>
  <c r="Z181" i="3"/>
  <c r="K51" i="2"/>
  <c r="N78" i="4"/>
  <c r="T86" i="4"/>
  <c r="T91" i="4" s="1"/>
  <c r="O77" i="4" s="1"/>
  <c r="U84" i="4"/>
  <c r="V88" i="4"/>
  <c r="V90" i="4" s="1"/>
  <c r="O153" i="2" l="1"/>
  <c r="N166" i="2"/>
  <c r="L163" i="2"/>
  <c r="M159" i="2"/>
  <c r="N162" i="2"/>
  <c r="M160" i="2"/>
  <c r="M161" i="2"/>
  <c r="L51" i="2"/>
  <c r="O78" i="4"/>
  <c r="AA138" i="3"/>
  <c r="AA131" i="3"/>
  <c r="AA176" i="3"/>
  <c r="AA170" i="3"/>
  <c r="AA133" i="3"/>
  <c r="AA162" i="3"/>
  <c r="AA178" i="3"/>
  <c r="AA93" i="3"/>
  <c r="AA79" i="3"/>
  <c r="AA84" i="3"/>
  <c r="AA80" i="3"/>
  <c r="AA120" i="3"/>
  <c r="AA154" i="3"/>
  <c r="AA91" i="3"/>
  <c r="AA125" i="3"/>
  <c r="AA122" i="3"/>
  <c r="AA110" i="3"/>
  <c r="AA163" i="3"/>
  <c r="AA123" i="3"/>
  <c r="AA103" i="3"/>
  <c r="AA149" i="3"/>
  <c r="AA134" i="3"/>
  <c r="AA185" i="3"/>
  <c r="AA101" i="3"/>
  <c r="AA90" i="3"/>
  <c r="AA160" i="3"/>
  <c r="AA104" i="3"/>
  <c r="AA82" i="3"/>
  <c r="AA85" i="3"/>
  <c r="AA141" i="3"/>
  <c r="AA130" i="3"/>
  <c r="AA150" i="3"/>
  <c r="AA153" i="3"/>
  <c r="AA98" i="3"/>
  <c r="AA121" i="3"/>
  <c r="AA116" i="3"/>
  <c r="AA99" i="3"/>
  <c r="AA184" i="3"/>
  <c r="AA129" i="3"/>
  <c r="AA175" i="3"/>
  <c r="AA128" i="3"/>
  <c r="AA157" i="3"/>
  <c r="AA168" i="3"/>
  <c r="AA108" i="3"/>
  <c r="AA161" i="3"/>
  <c r="AA89" i="3"/>
  <c r="AA139" i="3"/>
  <c r="AA144" i="3"/>
  <c r="AA167" i="3"/>
  <c r="AA142" i="3"/>
  <c r="AA180" i="3"/>
  <c r="AA145" i="3"/>
  <c r="AA102" i="3"/>
  <c r="AA119" i="3"/>
  <c r="AA92" i="3"/>
  <c r="AA135" i="3"/>
  <c r="AA124" i="3"/>
  <c r="AA147" i="3"/>
  <c r="AA155" i="3"/>
  <c r="AA88" i="3"/>
  <c r="AA166" i="3"/>
  <c r="AA95" i="3"/>
  <c r="AA159" i="3"/>
  <c r="AA173" i="3"/>
  <c r="AA143" i="3"/>
  <c r="AA97" i="3"/>
  <c r="AA148" i="3"/>
  <c r="AA107" i="3"/>
  <c r="AA132" i="3"/>
  <c r="AA171" i="3"/>
  <c r="AA156" i="3"/>
  <c r="AA137" i="3"/>
  <c r="AA126" i="3"/>
  <c r="AA96" i="3"/>
  <c r="AA152" i="3"/>
  <c r="AA100" i="3"/>
  <c r="AA183" i="3"/>
  <c r="AA105" i="3"/>
  <c r="AA169" i="3"/>
  <c r="AA83" i="3"/>
  <c r="AA158" i="3"/>
  <c r="AA174" i="3"/>
  <c r="AA111" i="3"/>
  <c r="AA151" i="3"/>
  <c r="AA94" i="3"/>
  <c r="AA86" i="3"/>
  <c r="AA113" i="3"/>
  <c r="AA140" i="3"/>
  <c r="AA172" i="3"/>
  <c r="AA109" i="3"/>
  <c r="AA182" i="3"/>
  <c r="AA164" i="3"/>
  <c r="AA112" i="3"/>
  <c r="AA117" i="3"/>
  <c r="AA181" i="3"/>
  <c r="AA81" i="3"/>
  <c r="AA165" i="3"/>
  <c r="AA136" i="3"/>
  <c r="AA118" i="3"/>
  <c r="AA106" i="3"/>
  <c r="AA177" i="3"/>
  <c r="AA146" i="3"/>
  <c r="AA127" i="3"/>
  <c r="AA179" i="3"/>
  <c r="AA87" i="3"/>
  <c r="V84" i="4"/>
  <c r="U86" i="4"/>
  <c r="U91" i="4"/>
  <c r="P77" i="4" s="1"/>
  <c r="W88" i="4"/>
  <c r="W90" i="4" s="1"/>
  <c r="P153" i="2" l="1"/>
  <c r="O166" i="2"/>
  <c r="N159" i="2"/>
  <c r="M163" i="2"/>
  <c r="N161" i="2"/>
  <c r="N160" i="2"/>
  <c r="O162" i="2"/>
  <c r="M51" i="2"/>
  <c r="P78" i="4"/>
  <c r="AB157" i="3"/>
  <c r="AB169" i="3"/>
  <c r="AB185" i="3"/>
  <c r="AB102" i="3"/>
  <c r="AB117" i="3"/>
  <c r="AB134" i="3"/>
  <c r="AB103" i="3"/>
  <c r="AB130" i="3"/>
  <c r="AB100" i="3"/>
  <c r="AB155" i="3"/>
  <c r="AB182" i="3"/>
  <c r="AB178" i="3"/>
  <c r="AB101" i="3"/>
  <c r="AB131" i="3"/>
  <c r="AB93" i="3"/>
  <c r="AB156" i="3"/>
  <c r="AB138" i="3"/>
  <c r="AB91" i="3"/>
  <c r="AB167" i="3"/>
  <c r="AB129" i="3"/>
  <c r="AB122" i="3"/>
  <c r="AB118" i="3"/>
  <c r="AB97" i="3"/>
  <c r="AB98" i="3"/>
  <c r="AB104" i="3"/>
  <c r="AB84" i="3"/>
  <c r="AB106" i="3"/>
  <c r="AB120" i="3"/>
  <c r="AB168" i="3"/>
  <c r="AB126" i="3"/>
  <c r="AB108" i="3"/>
  <c r="AB124" i="3"/>
  <c r="AB121" i="3"/>
  <c r="AB94" i="3"/>
  <c r="AB81" i="3"/>
  <c r="AB119" i="3"/>
  <c r="AB105" i="3"/>
  <c r="AB133" i="3"/>
  <c r="AB87" i="3"/>
  <c r="AB173" i="3"/>
  <c r="AB164" i="3"/>
  <c r="AB172" i="3"/>
  <c r="AB184" i="3"/>
  <c r="AB147" i="3"/>
  <c r="AB132" i="3"/>
  <c r="AB177" i="3"/>
  <c r="AB158" i="3"/>
  <c r="AB99" i="3"/>
  <c r="AB128" i="3"/>
  <c r="AB170" i="3"/>
  <c r="AB175" i="3"/>
  <c r="AB137" i="3"/>
  <c r="AB116" i="3"/>
  <c r="AB180" i="3"/>
  <c r="AB154" i="3"/>
  <c r="AB123" i="3"/>
  <c r="AB141" i="3"/>
  <c r="AB111" i="3"/>
  <c r="AB110" i="3"/>
  <c r="AB160" i="3"/>
  <c r="AB135" i="3"/>
  <c r="AB153" i="3"/>
  <c r="AB79" i="3"/>
  <c r="AB151" i="3"/>
  <c r="AB89" i="3"/>
  <c r="AB107" i="3"/>
  <c r="AB150" i="3"/>
  <c r="AB112" i="3"/>
  <c r="AB92" i="3"/>
  <c r="AB179" i="3"/>
  <c r="AB88" i="3"/>
  <c r="AB86" i="3"/>
  <c r="AB96" i="3"/>
  <c r="AB183" i="3"/>
  <c r="AB146" i="3"/>
  <c r="AB163" i="3"/>
  <c r="AB159" i="3"/>
  <c r="AB142" i="3"/>
  <c r="AB148" i="3"/>
  <c r="AB109" i="3"/>
  <c r="AB82" i="3"/>
  <c r="AB181" i="3"/>
  <c r="AB140" i="3"/>
  <c r="AB171" i="3"/>
  <c r="AB149" i="3"/>
  <c r="AB162" i="3"/>
  <c r="AB152" i="3"/>
  <c r="AB85" i="3"/>
  <c r="AB165" i="3"/>
  <c r="AB136" i="3"/>
  <c r="AB144" i="3"/>
  <c r="AB166" i="3"/>
  <c r="AB125" i="3"/>
  <c r="AB161" i="3"/>
  <c r="AB143" i="3"/>
  <c r="AB90" i="3"/>
  <c r="AB95" i="3"/>
  <c r="AB174" i="3"/>
  <c r="AB127" i="3"/>
  <c r="AB139" i="3"/>
  <c r="AB113" i="3"/>
  <c r="AB176" i="3"/>
  <c r="AB145" i="3"/>
  <c r="AB83" i="3"/>
  <c r="AB80" i="3"/>
  <c r="W84" i="4"/>
  <c r="V86" i="4"/>
  <c r="V91" i="4"/>
  <c r="Q77" i="4" s="1"/>
  <c r="X88" i="4"/>
  <c r="X90" i="4" s="1"/>
  <c r="Q153" i="2" l="1"/>
  <c r="P166" i="2"/>
  <c r="O159" i="2"/>
  <c r="N163" i="2"/>
  <c r="O160" i="2"/>
  <c r="O161" i="2"/>
  <c r="P162" i="2"/>
  <c r="AC157" i="3"/>
  <c r="AC169" i="3"/>
  <c r="AC180" i="3"/>
  <c r="AC167" i="3"/>
  <c r="AC163" i="3"/>
  <c r="AC117" i="3"/>
  <c r="AC120" i="3"/>
  <c r="AC129" i="3"/>
  <c r="AC93" i="3"/>
  <c r="AC128" i="3"/>
  <c r="AC156" i="3"/>
  <c r="AC135" i="3"/>
  <c r="AC99" i="3"/>
  <c r="AC137" i="3"/>
  <c r="AC112" i="3"/>
  <c r="AC174" i="3"/>
  <c r="AC98" i="3"/>
  <c r="AC79" i="3"/>
  <c r="AC96" i="3"/>
  <c r="AC123" i="3"/>
  <c r="AC145" i="3"/>
  <c r="AC107" i="3"/>
  <c r="AC104" i="3"/>
  <c r="AC184" i="3"/>
  <c r="AC103" i="3"/>
  <c r="AC175" i="3"/>
  <c r="AC130" i="3"/>
  <c r="AC160" i="3"/>
  <c r="AC89" i="3"/>
  <c r="AC155" i="3"/>
  <c r="AC179" i="3"/>
  <c r="AC111" i="3"/>
  <c r="AC125" i="3"/>
  <c r="AC185" i="3"/>
  <c r="AC182" i="3"/>
  <c r="AC106" i="3"/>
  <c r="AC151" i="3"/>
  <c r="AC101" i="3"/>
  <c r="AC147" i="3"/>
  <c r="AC91" i="3"/>
  <c r="AC164" i="3"/>
  <c r="AC118" i="3"/>
  <c r="AC82" i="3"/>
  <c r="AC150" i="3"/>
  <c r="AC181" i="3"/>
  <c r="AC171" i="3"/>
  <c r="AC122" i="3"/>
  <c r="AC81" i="3"/>
  <c r="AC102" i="3"/>
  <c r="AC139" i="3"/>
  <c r="AC154" i="3"/>
  <c r="AC176" i="3"/>
  <c r="AC131" i="3"/>
  <c r="AC124" i="3"/>
  <c r="AC84" i="3"/>
  <c r="AC178" i="3"/>
  <c r="AC110" i="3"/>
  <c r="AC133" i="3"/>
  <c r="AC141" i="3"/>
  <c r="AC146" i="3"/>
  <c r="AC121" i="3"/>
  <c r="AC88" i="3"/>
  <c r="AC143" i="3"/>
  <c r="AC113" i="3"/>
  <c r="AC162" i="3"/>
  <c r="AC97" i="3"/>
  <c r="AC126" i="3"/>
  <c r="AC177" i="3"/>
  <c r="AC85" i="3"/>
  <c r="AC86" i="3"/>
  <c r="AC158" i="3"/>
  <c r="AC148" i="3"/>
  <c r="AC149" i="3"/>
  <c r="AC90" i="3"/>
  <c r="AC116" i="3"/>
  <c r="AC161" i="3"/>
  <c r="AC105" i="3"/>
  <c r="AC94" i="3"/>
  <c r="AC166" i="3"/>
  <c r="AC183" i="3"/>
  <c r="AC153" i="3"/>
  <c r="AC92" i="3"/>
  <c r="AC119" i="3"/>
  <c r="AC142" i="3"/>
  <c r="AC140" i="3"/>
  <c r="AC165" i="3"/>
  <c r="AC138" i="3"/>
  <c r="AC127" i="3"/>
  <c r="AC136" i="3"/>
  <c r="AC144" i="3"/>
  <c r="AC132" i="3"/>
  <c r="AC87" i="3"/>
  <c r="AC100" i="3"/>
  <c r="AC109" i="3"/>
  <c r="AC108" i="3"/>
  <c r="AC170" i="3"/>
  <c r="AC168" i="3"/>
  <c r="AC152" i="3"/>
  <c r="AC83" i="3"/>
  <c r="AC172" i="3"/>
  <c r="AC80" i="3"/>
  <c r="AC159" i="3"/>
  <c r="AC95" i="3"/>
  <c r="AC134" i="3"/>
  <c r="AC173" i="3"/>
  <c r="N51" i="2"/>
  <c r="Q78" i="4"/>
  <c r="W86" i="4"/>
  <c r="X84" i="4"/>
  <c r="W91" i="4"/>
  <c r="R77" i="4" s="1"/>
  <c r="Y88" i="4"/>
  <c r="Y90" i="4" s="1"/>
  <c r="R153" i="2" l="1"/>
  <c r="Q166" i="2"/>
  <c r="P159" i="2"/>
  <c r="O163" i="2"/>
  <c r="Q162" i="2"/>
  <c r="P160" i="2"/>
  <c r="P161" i="2"/>
  <c r="O51" i="2"/>
  <c r="R78" i="4"/>
  <c r="AD161" i="3"/>
  <c r="AD125" i="3"/>
  <c r="AD180" i="3"/>
  <c r="AD79" i="3"/>
  <c r="AD185" i="3"/>
  <c r="AD107" i="3"/>
  <c r="AD132" i="3"/>
  <c r="AD129" i="3"/>
  <c r="AD149" i="3"/>
  <c r="AD175" i="3"/>
  <c r="AD86" i="3"/>
  <c r="AD123" i="3"/>
  <c r="AD148" i="3"/>
  <c r="AD122" i="3"/>
  <c r="AD93" i="3"/>
  <c r="AD106" i="3"/>
  <c r="AD98" i="3"/>
  <c r="AD170" i="3"/>
  <c r="AD154" i="3"/>
  <c r="AD163" i="3"/>
  <c r="AD96" i="3"/>
  <c r="AD167" i="3"/>
  <c r="AD141" i="3"/>
  <c r="AD136" i="3"/>
  <c r="AD178" i="3"/>
  <c r="AD91" i="3"/>
  <c r="AD168" i="3"/>
  <c r="AD182" i="3"/>
  <c r="AD89" i="3"/>
  <c r="AD173" i="3"/>
  <c r="AD134" i="3"/>
  <c r="AD99" i="3"/>
  <c r="AD111" i="3"/>
  <c r="AD155" i="3"/>
  <c r="AD162" i="3"/>
  <c r="AD124" i="3"/>
  <c r="AD184" i="3"/>
  <c r="AD177" i="3"/>
  <c r="AD94" i="3"/>
  <c r="AD145" i="3"/>
  <c r="AD110" i="3"/>
  <c r="AD128" i="3"/>
  <c r="AD90" i="3"/>
  <c r="AD102" i="3"/>
  <c r="AD127" i="3"/>
  <c r="AD101" i="3"/>
  <c r="AD133" i="3"/>
  <c r="AD146" i="3"/>
  <c r="AD169" i="3"/>
  <c r="AD171" i="3"/>
  <c r="AD126" i="3"/>
  <c r="AD116" i="3"/>
  <c r="AD81" i="3"/>
  <c r="AD165" i="3"/>
  <c r="AD158" i="3"/>
  <c r="AD92" i="3"/>
  <c r="AD82" i="3"/>
  <c r="AD157" i="3"/>
  <c r="AD142" i="3"/>
  <c r="AD144" i="3"/>
  <c r="AD121" i="3"/>
  <c r="AD183" i="3"/>
  <c r="AD179" i="3"/>
  <c r="AD140" i="3"/>
  <c r="AD84" i="3"/>
  <c r="AD135" i="3"/>
  <c r="AD152" i="3"/>
  <c r="AD137" i="3"/>
  <c r="AD120" i="3"/>
  <c r="AD87" i="3"/>
  <c r="AD166" i="3"/>
  <c r="AD150" i="3"/>
  <c r="AD138" i="3"/>
  <c r="AD130" i="3"/>
  <c r="AD159" i="3"/>
  <c r="AD176" i="3"/>
  <c r="AD174" i="3"/>
  <c r="AD100" i="3"/>
  <c r="AD95" i="3"/>
  <c r="AD83" i="3"/>
  <c r="AD88" i="3"/>
  <c r="AD105" i="3"/>
  <c r="AD117" i="3"/>
  <c r="AD103" i="3"/>
  <c r="AD153" i="3"/>
  <c r="AD119" i="3"/>
  <c r="AD147" i="3"/>
  <c r="AD113" i="3"/>
  <c r="AD109" i="3"/>
  <c r="AD97" i="3"/>
  <c r="AD139" i="3"/>
  <c r="AD104" i="3"/>
  <c r="AD118" i="3"/>
  <c r="AD80" i="3"/>
  <c r="AD181" i="3"/>
  <c r="AD156" i="3"/>
  <c r="AD112" i="3"/>
  <c r="AD108" i="3"/>
  <c r="AD131" i="3"/>
  <c r="AD151" i="3"/>
  <c r="AD143" i="3"/>
  <c r="AD172" i="3"/>
  <c r="AD85" i="3"/>
  <c r="AD160" i="3"/>
  <c r="AD164" i="3"/>
  <c r="X86" i="4"/>
  <c r="Y84" i="4"/>
  <c r="X91" i="4"/>
  <c r="S77" i="4" s="1"/>
  <c r="Z88" i="4"/>
  <c r="Z90" i="4" s="1"/>
  <c r="S153" i="2" l="1"/>
  <c r="R166" i="2"/>
  <c r="Q159" i="2"/>
  <c r="P163" i="2"/>
  <c r="Q161" i="2"/>
  <c r="Q160" i="2"/>
  <c r="R162" i="2"/>
  <c r="AE178" i="3"/>
  <c r="AE157" i="3"/>
  <c r="AE83" i="3"/>
  <c r="AE141" i="3"/>
  <c r="AE185" i="3"/>
  <c r="AE106" i="3"/>
  <c r="AE160" i="3"/>
  <c r="AE146" i="3"/>
  <c r="AE172" i="3"/>
  <c r="AE130" i="3"/>
  <c r="AE98" i="3"/>
  <c r="AE84" i="3"/>
  <c r="AE79" i="3"/>
  <c r="AE120" i="3"/>
  <c r="AE97" i="3"/>
  <c r="AE133" i="3"/>
  <c r="AE116" i="3"/>
  <c r="AE163" i="3"/>
  <c r="AE101" i="3"/>
  <c r="AE123" i="3"/>
  <c r="AE126" i="3"/>
  <c r="AE154" i="3"/>
  <c r="AE121" i="3"/>
  <c r="AE182" i="3"/>
  <c r="AE167" i="3"/>
  <c r="AE173" i="3"/>
  <c r="AE122" i="3"/>
  <c r="AE156" i="3"/>
  <c r="AE91" i="3"/>
  <c r="AE95" i="3"/>
  <c r="AE103" i="3"/>
  <c r="AE159" i="3"/>
  <c r="AE176" i="3"/>
  <c r="AE85" i="3"/>
  <c r="AE168" i="3"/>
  <c r="AE128" i="3"/>
  <c r="AE138" i="3"/>
  <c r="AE162" i="3"/>
  <c r="AE184" i="3"/>
  <c r="AE96" i="3"/>
  <c r="AE165" i="3"/>
  <c r="AE102" i="3"/>
  <c r="AE82" i="3"/>
  <c r="AE177" i="3"/>
  <c r="AE131" i="3"/>
  <c r="AE127" i="3"/>
  <c r="AE100" i="3"/>
  <c r="AE107" i="3"/>
  <c r="AE171" i="3"/>
  <c r="AE81" i="3"/>
  <c r="AE142" i="3"/>
  <c r="AE110" i="3"/>
  <c r="AE151" i="3"/>
  <c r="AE113" i="3"/>
  <c r="AE88" i="3"/>
  <c r="AE145" i="3"/>
  <c r="AE155" i="3"/>
  <c r="AE164" i="3"/>
  <c r="AE119" i="3"/>
  <c r="AE161" i="3"/>
  <c r="AE124" i="3"/>
  <c r="AE175" i="3"/>
  <c r="AE152" i="3"/>
  <c r="AE170" i="3"/>
  <c r="AE183" i="3"/>
  <c r="AE134" i="3"/>
  <c r="AE111" i="3"/>
  <c r="AE104" i="3"/>
  <c r="AE148" i="3"/>
  <c r="AE136" i="3"/>
  <c r="AE137" i="3"/>
  <c r="AE139" i="3"/>
  <c r="AE108" i="3"/>
  <c r="AE179" i="3"/>
  <c r="AE105" i="3"/>
  <c r="AE158" i="3"/>
  <c r="AE147" i="3"/>
  <c r="AE140" i="3"/>
  <c r="AE117" i="3"/>
  <c r="AE118" i="3"/>
  <c r="AE125" i="3"/>
  <c r="AE135" i="3"/>
  <c r="AE80" i="3"/>
  <c r="AE93" i="3"/>
  <c r="AE90" i="3"/>
  <c r="AE129" i="3"/>
  <c r="AE89" i="3"/>
  <c r="AE143" i="3"/>
  <c r="AE109" i="3"/>
  <c r="AE94" i="3"/>
  <c r="AE86" i="3"/>
  <c r="AE169" i="3"/>
  <c r="AE150" i="3"/>
  <c r="AE149" i="3"/>
  <c r="AE87" i="3"/>
  <c r="AE132" i="3"/>
  <c r="AE174" i="3"/>
  <c r="AE181" i="3"/>
  <c r="AE112" i="3"/>
  <c r="AE166" i="3"/>
  <c r="AE99" i="3"/>
  <c r="AE144" i="3"/>
  <c r="AE180" i="3"/>
  <c r="AE92" i="3"/>
  <c r="AE153" i="3"/>
  <c r="P51" i="2"/>
  <c r="S78" i="4"/>
  <c r="Y86" i="4"/>
  <c r="Z84" i="4"/>
  <c r="Y91" i="4"/>
  <c r="T77" i="4" s="1"/>
  <c r="AA88" i="4"/>
  <c r="AA90" i="4" s="1"/>
  <c r="T153" i="2" l="1"/>
  <c r="S166" i="2"/>
  <c r="Q163" i="2"/>
  <c r="R159" i="2"/>
  <c r="S162" i="2"/>
  <c r="R160" i="2"/>
  <c r="R161" i="2"/>
  <c r="Q51" i="2"/>
  <c r="T78" i="4"/>
  <c r="Z86" i="4"/>
  <c r="Z91" i="4" s="1"/>
  <c r="U77" i="4" s="1"/>
  <c r="AA84" i="4"/>
  <c r="AB88" i="4"/>
  <c r="AB90" i="4" s="1"/>
  <c r="U153" i="2" l="1"/>
  <c r="T166" i="2"/>
  <c r="S159" i="2"/>
  <c r="R163" i="2"/>
  <c r="S161" i="2"/>
  <c r="S160" i="2"/>
  <c r="T162" i="2"/>
  <c r="R51" i="2"/>
  <c r="U78" i="4"/>
  <c r="AA86" i="4"/>
  <c r="AB84" i="4"/>
  <c r="AA91" i="4"/>
  <c r="V77" i="4" s="1"/>
  <c r="AC88" i="4"/>
  <c r="AC90" i="4" s="1"/>
  <c r="V153" i="2" l="1"/>
  <c r="U166" i="2"/>
  <c r="T159" i="2"/>
  <c r="S163" i="2"/>
  <c r="U162" i="2"/>
  <c r="T160" i="2"/>
  <c r="T161" i="2"/>
  <c r="S51" i="2"/>
  <c r="V78" i="4"/>
  <c r="AC84" i="4"/>
  <c r="AB86" i="4"/>
  <c r="AB91" i="4"/>
  <c r="W77" i="4" s="1"/>
  <c r="AD88" i="4"/>
  <c r="AD90" i="4" s="1"/>
  <c r="W153" i="2" l="1"/>
  <c r="V166" i="2"/>
  <c r="U159" i="2"/>
  <c r="T163" i="2"/>
  <c r="U161" i="2"/>
  <c r="U160" i="2"/>
  <c r="W162" i="2"/>
  <c r="V162" i="2"/>
  <c r="T51" i="2"/>
  <c r="W78" i="4"/>
  <c r="AD84" i="4"/>
  <c r="AC86" i="4"/>
  <c r="AC91" i="4" s="1"/>
  <c r="X77" i="4" s="1"/>
  <c r="AE88" i="4"/>
  <c r="AE90" i="4" s="1"/>
  <c r="X153" i="2" l="1"/>
  <c r="W166" i="2"/>
  <c r="U163" i="2"/>
  <c r="W159" i="2"/>
  <c r="V159" i="2"/>
  <c r="AD162" i="2"/>
  <c r="W160" i="2"/>
  <c r="V160" i="2"/>
  <c r="W161" i="2"/>
  <c r="V161" i="2"/>
  <c r="U51" i="2"/>
  <c r="X78" i="4"/>
  <c r="AE84" i="4"/>
  <c r="AD86" i="4"/>
  <c r="AD91" i="4" s="1"/>
  <c r="Y77" i="4" s="1"/>
  <c r="AF88" i="4"/>
  <c r="AF90" i="4" s="1"/>
  <c r="Y153" i="2" l="1"/>
  <c r="X166" i="2"/>
  <c r="X159" i="2"/>
  <c r="X163" i="2" s="1"/>
  <c r="AD161" i="2"/>
  <c r="W163" i="2"/>
  <c r="AD160" i="2"/>
  <c r="V163" i="2"/>
  <c r="V51" i="2"/>
  <c r="Y78" i="4"/>
  <c r="AF84" i="4"/>
  <c r="AE86" i="4"/>
  <c r="AE91" i="4" s="1"/>
  <c r="Z77" i="4" s="1"/>
  <c r="AG88" i="4"/>
  <c r="AG90" i="4" s="1"/>
  <c r="Z153" i="2" l="1"/>
  <c r="Y166" i="2"/>
  <c r="Y159" i="2"/>
  <c r="W51" i="2"/>
  <c r="Z78" i="4"/>
  <c r="AG84" i="4"/>
  <c r="AF86" i="4"/>
  <c r="AF91" i="4" s="1"/>
  <c r="AA77" i="4" s="1"/>
  <c r="AH88" i="4"/>
  <c r="AH90" i="4" s="1"/>
  <c r="Y163" i="2" l="1"/>
  <c r="AA153" i="2"/>
  <c r="Z166" i="2"/>
  <c r="Z159" i="2"/>
  <c r="Z163" i="2" s="1"/>
  <c r="X51" i="2"/>
  <c r="AA78" i="4"/>
  <c r="AH84" i="4"/>
  <c r="AG86" i="4"/>
  <c r="AG91" i="4" s="1"/>
  <c r="AB77" i="4" s="1"/>
  <c r="AI88" i="4"/>
  <c r="AI90" i="4" s="1"/>
  <c r="AA166" i="2" l="1"/>
  <c r="AB153" i="2"/>
  <c r="AA159" i="2"/>
  <c r="AA163" i="2" s="1"/>
  <c r="Y51" i="2"/>
  <c r="AB78" i="4"/>
  <c r="AI84" i="4"/>
  <c r="AH86" i="4"/>
  <c r="AH91" i="4" s="1"/>
  <c r="AC77" i="4" s="1"/>
  <c r="AJ88" i="4"/>
  <c r="AJ90" i="4" s="1"/>
  <c r="AB159" i="2" l="1"/>
  <c r="AB166" i="2"/>
  <c r="Z51" i="2"/>
  <c r="AC78" i="4"/>
  <c r="AJ84" i="4"/>
  <c r="AJ86" i="4" s="1"/>
  <c r="AJ91" i="4" s="1"/>
  <c r="AE77" i="4" s="1"/>
  <c r="AI86" i="4"/>
  <c r="AI91" i="4"/>
  <c r="AD77" i="4" s="1"/>
  <c r="AB163" i="2" l="1"/>
  <c r="AD163" i="2" s="1"/>
  <c r="AD159" i="2"/>
  <c r="AB51" i="2"/>
  <c r="AE78" i="4"/>
  <c r="AA51" i="2"/>
  <c r="AD78" i="4"/>
  <c r="AD51" i="2" l="1"/>
  <c r="D5" i="2" l="1"/>
  <c r="D9" i="2" l="1"/>
  <c r="D10" i="2" s="1"/>
  <c r="D6" i="1"/>
  <c r="H6" i="1" s="1"/>
  <c r="J6" i="1" s="1"/>
  <c r="F115" i="3" l="1"/>
  <c r="F114" i="3"/>
  <c r="F78" i="3" l="1"/>
  <c r="AT114" i="3"/>
  <c r="K114" i="3"/>
  <c r="L114" i="3"/>
  <c r="AU114" i="3"/>
  <c r="AV114" i="3"/>
  <c r="R114" i="3"/>
  <c r="I114" i="3"/>
  <c r="AU115" i="3"/>
  <c r="AT115" i="3"/>
  <c r="AV115" i="3"/>
  <c r="I115" i="3"/>
  <c r="J115" i="3" s="1"/>
  <c r="K115" i="3"/>
  <c r="L115" i="3"/>
  <c r="R115" i="3"/>
  <c r="AV78" i="3" l="1"/>
  <c r="C15" i="3" s="1"/>
  <c r="AU78" i="3"/>
  <c r="C14" i="3" s="1"/>
  <c r="J114" i="3"/>
  <c r="I78" i="3"/>
  <c r="U115" i="3"/>
  <c r="Z115" i="3"/>
  <c r="T115" i="3"/>
  <c r="Y115" i="3"/>
  <c r="AB115" i="3"/>
  <c r="X115" i="3"/>
  <c r="AA115" i="3"/>
  <c r="AE115" i="3"/>
  <c r="AD115" i="3"/>
  <c r="V115" i="3"/>
  <c r="W115" i="3"/>
  <c r="AC115" i="3"/>
  <c r="AC114" i="3"/>
  <c r="W114" i="3"/>
  <c r="AA114" i="3"/>
  <c r="U114" i="3"/>
  <c r="V114" i="3"/>
  <c r="AB114" i="3"/>
  <c r="T114" i="3"/>
  <c r="Y114" i="3"/>
  <c r="AD114" i="3"/>
  <c r="Z114" i="3"/>
  <c r="X114" i="3"/>
  <c r="AE114" i="3"/>
  <c r="R78" i="3"/>
  <c r="M115" i="3"/>
  <c r="L78" i="3"/>
  <c r="K78" i="3"/>
  <c r="AT78" i="3"/>
  <c r="C13" i="3" s="1"/>
  <c r="D13" i="1" l="1"/>
  <c r="D14" i="3"/>
  <c r="D13" i="3"/>
  <c r="D16" i="1"/>
  <c r="E16" i="1" s="1"/>
  <c r="D15" i="3"/>
  <c r="D14" i="1"/>
  <c r="E14" i="1" s="1"/>
  <c r="AA78" i="3"/>
  <c r="T78" i="3"/>
  <c r="Y78" i="3"/>
  <c r="AE78" i="3"/>
  <c r="U78" i="3"/>
  <c r="AD78" i="3"/>
  <c r="V78" i="3"/>
  <c r="Z78" i="3"/>
  <c r="W78" i="3"/>
  <c r="AC78" i="3"/>
  <c r="O115" i="3"/>
  <c r="N115" i="3"/>
  <c r="AB78" i="3"/>
  <c r="X78" i="3"/>
  <c r="J78" i="3"/>
  <c r="M114" i="3"/>
  <c r="D20" i="1" l="1"/>
  <c r="E20" i="1" s="1"/>
  <c r="E13" i="1"/>
  <c r="N114" i="3"/>
  <c r="M78" i="3"/>
  <c r="O114" i="3"/>
  <c r="O78" i="3" s="1"/>
  <c r="N78" i="3" l="1"/>
  <c r="D9" i="3"/>
  <c r="D10" i="3" s="1"/>
  <c r="D7" i="1"/>
  <c r="C7" i="1" l="1"/>
  <c r="G7" i="1" s="1"/>
  <c r="I7" i="1" s="1"/>
  <c r="C9" i="3"/>
  <c r="C10" i="3" s="1"/>
  <c r="D9" i="1"/>
  <c r="H9" i="1" s="1"/>
  <c r="J9" i="1" s="1"/>
  <c r="H7" i="1"/>
  <c r="J7" i="1" s="1"/>
  <c r="C9" i="1" l="1"/>
  <c r="G9" i="1" s="1"/>
  <c r="I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tc={10AE58D8-EBC9-4B83-ABD2-275827FA3955}</author>
    <author>tc={67BEA5FF-5FA9-45C6-8CC7-1187BFD38F3D}</author>
    <author>tc={5D4E9599-A652-4AE4-B600-ACF0E2D159E8}</author>
    <author>tc={1CD318BB-95C1-4040-B2CD-010E9E761F0A}</author>
    <author>tc={B45C8510-0610-4F0D-AE8F-9887E3513CD1}</author>
    <author>tc={D40D44EF-CD1F-410B-89A0-95E957F80CF9}</author>
  </authors>
  <commentList>
    <comment ref="F62" authorId="0" shapeId="0" xr:uid="{10AE58D8-EBC9-4B83-ABD2-275827FA3955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 HVAC replacement with building repairs; contractor costs for quick turn projects</t>
      </text>
    </comment>
    <comment ref="F66" authorId="1" shapeId="0" xr:uid="{67BEA5FF-5FA9-45C6-8CC7-1187BFD38F3D}">
      <text>
        <t>[Threaded comment]
Your version of Excel allows you to read this threaded comment; however, any edits to it will get removed if the file is opened in a newer version of Excel. Learn more: https://go.microsoft.com/fwlink/?linkid=870924
Comment:
    $90-$150k in Alexandria for whole-home efficiency and HVAC upgrades plus safe, repair, and code upgrades</t>
      </text>
    </comment>
    <comment ref="F67" authorId="2" shapeId="0" xr:uid="{5D4E9599-A652-4AE4-B600-ACF0E2D159E8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 similar cost as Alexandria</t>
      </text>
    </comment>
    <comment ref="F68" authorId="3" shapeId="0" xr:uid="{1CD318BB-95C1-4040-B2CD-010E9E761F0A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 similar package of upgrades as Frederick's program</t>
      </text>
    </comment>
    <comment ref="F69" authorId="4" shapeId="0" xr:uid="{B45C8510-0610-4F0D-AE8F-9887E3513CD1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 similar package of upgrades as Frederick's program</t>
      </text>
    </comment>
    <comment ref="F70" authorId="5" shapeId="0" xr:uid="{D40D44EF-CD1F-410B-89A0-95E957F80CF9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 similar package of upgrades as Alexandria's program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tc={C4C11978-9BBF-45B5-89A4-FC05C5E1BBFC}</author>
  </authors>
  <commentList>
    <comment ref="H28" authorId="0" shapeId="0" xr:uid="{C4C11978-9BBF-45B5-89A4-FC05C5E1BBF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Noted the county is unable to process rebated in the near-term</t>
      </text>
    </comment>
  </commentList>
</comments>
</file>

<file path=xl/sharedStrings.xml><?xml version="1.0" encoding="utf-8"?>
<sst xmlns="http://schemas.openxmlformats.org/spreadsheetml/2006/main" count="1472" uniqueCount="431">
  <si>
    <t>Summary Emission Metrics</t>
  </si>
  <si>
    <t>COG CPRG Implementation Grant Application: RACE to Clean Energy for All</t>
  </si>
  <si>
    <t>Measure</t>
  </si>
  <si>
    <r>
      <t>Cumulative GHG Reductions (MTCO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>e)</t>
    </r>
  </si>
  <si>
    <t>Total Funding to Implement</t>
  </si>
  <si>
    <t>Requested CPRG Funding</t>
  </si>
  <si>
    <r>
      <t>Magnitude of GHG Reductions from CPRG Funding (NOFO 2a, 2b) (MTCO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>e)</t>
    </r>
  </si>
  <si>
    <t>Cost Effectiveness of GHG Reductions (NOFO 2c)</t>
  </si>
  <si>
    <t>2025-2030</t>
  </si>
  <si>
    <t>2025-2050</t>
  </si>
  <si>
    <t>1. LMI Residential Homes EE, Electrification, and Solar Program Expansion</t>
  </si>
  <si>
    <t>2. Municipal LDV Fleet Electrification and EVSE</t>
  </si>
  <si>
    <t>3. Workforce Development</t>
  </si>
  <si>
    <t>Total: RACE to Clean Energy for All</t>
  </si>
  <si>
    <t>Annual CAPs and HAPs Emission Reductions (MT)</t>
  </si>
  <si>
    <t>Measure 1</t>
  </si>
  <si>
    <t>Measure 2</t>
  </si>
  <si>
    <t>Total</t>
  </si>
  <si>
    <r>
      <t>SO</t>
    </r>
    <r>
      <rPr>
        <vertAlign val="subscript"/>
        <sz val="10"/>
        <color rgb="FF000000"/>
        <rFont val="Calibri"/>
        <family val="2"/>
      </rPr>
      <t>2</t>
    </r>
  </si>
  <si>
    <t>NOx</t>
  </si>
  <si>
    <r>
      <t>PM</t>
    </r>
    <r>
      <rPr>
        <vertAlign val="subscript"/>
        <sz val="10"/>
        <color rgb="FF000000"/>
        <rFont val="Calibri"/>
        <family val="2"/>
      </rPr>
      <t>2.5</t>
    </r>
  </si>
  <si>
    <r>
      <t>PM</t>
    </r>
    <r>
      <rPr>
        <vertAlign val="subscript"/>
        <sz val="10"/>
        <color rgb="FF000000"/>
        <rFont val="Calibri"/>
        <family val="2"/>
      </rPr>
      <t>10</t>
    </r>
  </si>
  <si>
    <t>CO</t>
  </si>
  <si>
    <t>VOCs</t>
  </si>
  <si>
    <r>
      <t>NH</t>
    </r>
    <r>
      <rPr>
        <vertAlign val="subscript"/>
        <sz val="10"/>
        <color rgb="FF000000"/>
        <rFont val="Calibri"/>
        <family val="2"/>
      </rPr>
      <t>3</t>
    </r>
  </si>
  <si>
    <t>Lead Compounds</t>
  </si>
  <si>
    <t>Outputs</t>
  </si>
  <si>
    <t>Cumulative GHG Reductions (MTCO2e)</t>
  </si>
  <si>
    <t>Total Estimated GHG Reductions</t>
  </si>
  <si>
    <t>COG</t>
  </si>
  <si>
    <t>Magnitude of GHG Reductions from CPRG Funding (2a, 2b)</t>
  </si>
  <si>
    <t>Cost Effectiveness of GHG Reductions (2c)</t>
  </si>
  <si>
    <t>CAPs and HAPs Emission Reductions (MT)</t>
  </si>
  <si>
    <t>Annual</t>
  </si>
  <si>
    <r>
      <t>SO</t>
    </r>
    <r>
      <rPr>
        <vertAlign val="subscript"/>
        <sz val="11"/>
        <color theme="1"/>
        <rFont val="Aptos Narrow"/>
        <family val="2"/>
        <scheme val="minor"/>
      </rPr>
      <t>2</t>
    </r>
  </si>
  <si>
    <r>
      <t>PM</t>
    </r>
    <r>
      <rPr>
        <vertAlign val="subscript"/>
        <sz val="11"/>
        <color theme="1"/>
        <rFont val="Aptos Narrow"/>
        <family val="2"/>
        <scheme val="minor"/>
      </rPr>
      <t>2.5</t>
    </r>
  </si>
  <si>
    <r>
      <t>PM</t>
    </r>
    <r>
      <rPr>
        <vertAlign val="subscript"/>
        <sz val="11"/>
        <color theme="1"/>
        <rFont val="Aptos Narrow"/>
        <family val="2"/>
        <scheme val="minor"/>
      </rPr>
      <t>10</t>
    </r>
  </si>
  <si>
    <r>
      <t>NH</t>
    </r>
    <r>
      <rPr>
        <vertAlign val="subscript"/>
        <sz val="11"/>
        <color theme="1"/>
        <rFont val="Aptos Narrow"/>
        <family val="2"/>
        <scheme val="minor"/>
      </rPr>
      <t>3</t>
    </r>
  </si>
  <si>
    <t>Cost Assumptions and Adoption GHG Modeling: Solar</t>
  </si>
  <si>
    <t>Assumptions</t>
  </si>
  <si>
    <t>Variable</t>
  </si>
  <si>
    <t>Value</t>
  </si>
  <si>
    <t>Unit</t>
  </si>
  <si>
    <t>Average residential rooftop solar cost</t>
  </si>
  <si>
    <t>$/watt</t>
  </si>
  <si>
    <t>Average system size</t>
  </si>
  <si>
    <t>kW</t>
  </si>
  <si>
    <t>Total solar system cost</t>
  </si>
  <si>
    <t>$ per home</t>
  </si>
  <si>
    <t>Rooftop repair assumption</t>
  </si>
  <si>
    <t>Program Administration Fees</t>
  </si>
  <si>
    <t>%</t>
  </si>
  <si>
    <t>Total Cost</t>
  </si>
  <si>
    <t>System Lifetime</t>
  </si>
  <si>
    <t>Years</t>
  </si>
  <si>
    <t>Source: Cost and system size sourced from Solarize program data</t>
  </si>
  <si>
    <t>Program Data and Participation Assumptions</t>
  </si>
  <si>
    <t>County/City</t>
  </si>
  <si>
    <t>Program Name</t>
  </si>
  <si>
    <t>Additional Admin Costs for Solar Programs</t>
  </si>
  <si>
    <t>Rooftop System Installed by 2030</t>
  </si>
  <si>
    <t>Program Incentive Level ($/home)</t>
  </si>
  <si>
    <t>CPRG Funding</t>
  </si>
  <si>
    <t>Source</t>
  </si>
  <si>
    <t>Prince George's</t>
  </si>
  <si>
    <t>Clean Energy Program</t>
  </si>
  <si>
    <t>Program administrator provided data</t>
  </si>
  <si>
    <t>City of Takoma Park</t>
  </si>
  <si>
    <t>Solar Installation Program</t>
  </si>
  <si>
    <t>Montgomery County</t>
  </si>
  <si>
    <t>Capital Area Solar Switch</t>
  </si>
  <si>
    <t>City of Rockville</t>
  </si>
  <si>
    <t>Sun Power Grant Program</t>
  </si>
  <si>
    <t>NVRC - NOVA jurisdictions</t>
  </si>
  <si>
    <t>Solarize NOVA</t>
  </si>
  <si>
    <t>All</t>
  </si>
  <si>
    <t>Solar Output</t>
  </si>
  <si>
    <t>RACE Solar Program Assumptions</t>
  </si>
  <si>
    <t>Number of Systems Installed</t>
  </si>
  <si>
    <t>Installed Capacity Per Year (MW)</t>
  </si>
  <si>
    <t>MWh avoided grid generation (from AVERT)</t>
  </si>
  <si>
    <t>GHG Reductions from Rooftop Solar</t>
  </si>
  <si>
    <t>Annual Avoided Grid Generation (MWh)</t>
  </si>
  <si>
    <r>
      <t>Avoided Grid GHG Emissions (MTCO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>e)</t>
    </r>
  </si>
  <si>
    <t>MidAtlantic Rooftop Solar</t>
  </si>
  <si>
    <t>Original</t>
  </si>
  <si>
    <t>Post Change</t>
  </si>
  <si>
    <t>Change</t>
  </si>
  <si>
    <t>Generation (MWh)</t>
  </si>
  <si>
    <t>Source: EPA AVERT, MidAtlantic Region, 2022; input of 1.39 MW rooftop solar capacity</t>
  </si>
  <si>
    <t>Cost and Participation Assumptions: Residential Home Efficiency and Electrification</t>
  </si>
  <si>
    <t>Specified Admin Costs</t>
  </si>
  <si>
    <t>Number of Homes Upgraded by 2030</t>
  </si>
  <si>
    <t>Total Cost/Unit</t>
  </si>
  <si>
    <t>Avg Energy Savings (past performance data)</t>
  </si>
  <si>
    <t>D.C.</t>
  </si>
  <si>
    <t>Weatherization Assistance Expansion</t>
  </si>
  <si>
    <t>34% (30 MMBtu/home)</t>
  </si>
  <si>
    <t>Emergency HVAC Repair - All-Electric Pilot</t>
  </si>
  <si>
    <t>Air Source Heat Pump - replacing gas</t>
  </si>
  <si>
    <t>NREL Residential Efficiency Measures Database</t>
  </si>
  <si>
    <t>Frederick County</t>
  </si>
  <si>
    <t>Power Saver Retrofits</t>
  </si>
  <si>
    <t>25% Assumed</t>
  </si>
  <si>
    <t>Program alignment with others in the region</t>
  </si>
  <si>
    <t>15% minimum savings required; avg attained was 17%</t>
  </si>
  <si>
    <t>Takoma Park Home Weatherization</t>
  </si>
  <si>
    <t>15% Assumed</t>
  </si>
  <si>
    <t>Homeowner Energy Efficiency Program</t>
  </si>
  <si>
    <t>35% expected</t>
  </si>
  <si>
    <t>HEECAP</t>
  </si>
  <si>
    <t>25% expected</t>
  </si>
  <si>
    <t>Electrify MC</t>
  </si>
  <si>
    <t>Charles County</t>
  </si>
  <si>
    <t>Arlington County</t>
  </si>
  <si>
    <t>Green Home Choice Program</t>
  </si>
  <si>
    <t>20% expected</t>
  </si>
  <si>
    <t>City of Alexandria</t>
  </si>
  <si>
    <t>Home Rehabilitation Loan Program</t>
  </si>
  <si>
    <t>Fairfax County</t>
  </si>
  <si>
    <t>HomeWise</t>
  </si>
  <si>
    <t>15% expected</t>
  </si>
  <si>
    <t>Avg Total Energy Consumption</t>
  </si>
  <si>
    <t>MMBTU/Household</t>
  </si>
  <si>
    <t>RECS, avg home - MidAtlantic</t>
  </si>
  <si>
    <t>Avg Electricity Consumption</t>
  </si>
  <si>
    <t>Avg Natural Gas Consumption</t>
  </si>
  <si>
    <t>Avg Propane Consumption</t>
  </si>
  <si>
    <t>Avg Fuel Oil Consumption</t>
  </si>
  <si>
    <t>Avg Energy Consumption - Space Heating - NG</t>
  </si>
  <si>
    <t>RECS, avg home - MD, VA</t>
  </si>
  <si>
    <t>ASHP COP</t>
  </si>
  <si>
    <t>-</t>
  </si>
  <si>
    <t>EnergyStar</t>
  </si>
  <si>
    <t>Natural Gas Furnace AFUE</t>
  </si>
  <si>
    <t>Lifetime (space and water heating equipment)</t>
  </si>
  <si>
    <t>Market research</t>
  </si>
  <si>
    <t>Natural Gas Furnace - Baseline Emissions</t>
  </si>
  <si>
    <t>Average energy consumption/yr - gross</t>
  </si>
  <si>
    <t>MMBtu</t>
  </si>
  <si>
    <t>Average energy consumption/yr - net</t>
  </si>
  <si>
    <t>GHG Emissions</t>
  </si>
  <si>
    <r>
      <t>MTCO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>e</t>
    </r>
  </si>
  <si>
    <t>Air Source Heat Pump - Replacement</t>
  </si>
  <si>
    <t>Equivalent energy output</t>
  </si>
  <si>
    <t>kWh</t>
  </si>
  <si>
    <t>Energy Input</t>
  </si>
  <si>
    <t>Energy Savings Assumptions by Program (Input)</t>
  </si>
  <si>
    <t>Units Upgraded/Yr</t>
  </si>
  <si>
    <t>Energy Savings/Yr</t>
  </si>
  <si>
    <t>Energy Savings_Input/Yr</t>
  </si>
  <si>
    <t>Energy Savings/Yr MMBTU</t>
  </si>
  <si>
    <t>Weatherization Assistance Program Expansion</t>
  </si>
  <si>
    <t>Energy Savings Assumptions by Program (MMBtu/Household)</t>
  </si>
  <si>
    <t>Fuel Type</t>
  </si>
  <si>
    <t>Baseline Annual Consumption (MMBTU/Household)</t>
  </si>
  <si>
    <t>GHG Modeling</t>
  </si>
  <si>
    <t>Annual Baseline Energy Consumption in Participating Homes</t>
  </si>
  <si>
    <t>Fuel Consumption (MMBTU)</t>
  </si>
  <si>
    <t>Number of Homes in Program</t>
  </si>
  <si>
    <t>Electricity</t>
  </si>
  <si>
    <t>Natural Gas</t>
  </si>
  <si>
    <t>Propane</t>
  </si>
  <si>
    <t>Fuel Oil</t>
  </si>
  <si>
    <t>Annual Energy Consumption Post Upgrade</t>
  </si>
  <si>
    <t>Annual Energy Consumption Savings (MMBTU)</t>
  </si>
  <si>
    <t>Annual GHG Emission Reductions (MTCO2e)</t>
  </si>
  <si>
    <t>Annual Energy Consumption Savings - Electricity (kWh)</t>
  </si>
  <si>
    <t>Co-pollutants from Change in Onsite Residential Fossil Fuel Use</t>
  </si>
  <si>
    <t>Annual Reduction from Change in Residential Fossil Fuel Use (MT)</t>
  </si>
  <si>
    <t>Distillate Oil</t>
  </si>
  <si>
    <t>Ammonia</t>
  </si>
  <si>
    <t>Carbon Monoxide</t>
  </si>
  <si>
    <t>Nitrogen Oxides</t>
  </si>
  <si>
    <t>PM10 Primary (Filt + Cond)</t>
  </si>
  <si>
    <t>PM2.5 Primary (Filt + Cond)</t>
  </si>
  <si>
    <t>Sulfur Dioxide</t>
  </si>
  <si>
    <t>Volatile Organic Compounds</t>
  </si>
  <si>
    <t>MidAtlantic Annual Regional Results</t>
  </si>
  <si>
    <t>Heat Input (MMBtu)</t>
  </si>
  <si>
    <t>Total Emissions from Fossil Generation Fleet (lb)</t>
  </si>
  <si>
    <t>SO2</t>
  </si>
  <si>
    <t>NOX</t>
  </si>
  <si>
    <t>Ozone season NOx</t>
  </si>
  <si>
    <t>CO2</t>
  </si>
  <si>
    <t>PM2.5</t>
  </si>
  <si>
    <t>NH3</t>
  </si>
  <si>
    <t>Source: EPA AVERT, MidAtlantic Region,  2022</t>
  </si>
  <si>
    <t>Inputs: Rooftop solar annual MW (Measure 1), annual kWh reduction from energy efficiency (Measure 1), and 443 BEVs (Measure 2)</t>
  </si>
  <si>
    <r>
      <t>Cumulative GHG Reductions (MTCO</t>
    </r>
    <r>
      <rPr>
        <b/>
        <vertAlign val="sub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e)</t>
    </r>
  </si>
  <si>
    <t>Criteria Air Pollutant Reductions (MT)</t>
  </si>
  <si>
    <t>Cost Assumptions</t>
  </si>
  <si>
    <t>Vehicle to Charger Ports Ratio</t>
  </si>
  <si>
    <t>Cost per L2 port</t>
  </si>
  <si>
    <t>$</t>
  </si>
  <si>
    <t>IRA Credit per EVSE</t>
  </si>
  <si>
    <t>Assume full 30% incentive ( 30C), with half of the chargers assumed to be located in eligible census tracts</t>
  </si>
  <si>
    <t>City/County</t>
  </si>
  <si>
    <t>Vehicle Model</t>
  </si>
  <si>
    <t>Vehicle Type</t>
  </si>
  <si>
    <t>Qty</t>
  </si>
  <si>
    <t>Unit Cost</t>
  </si>
  <si>
    <t>Total Cost (Gross)</t>
  </si>
  <si>
    <t>Commercial Clean Vehicle Rebate</t>
  </si>
  <si>
    <t>Net Unit Cost</t>
  </si>
  <si>
    <t>Adjusted Cost</t>
  </si>
  <si>
    <t>Other Funding Secured</t>
  </si>
  <si>
    <t>Net CPRG Budget Cost</t>
  </si>
  <si>
    <t>Net CPRG Cost</t>
  </si>
  <si>
    <t>EV</t>
  </si>
  <si>
    <t>EVSE</t>
  </si>
  <si>
    <t>Blazer EV</t>
  </si>
  <si>
    <t>SUV</t>
  </si>
  <si>
    <t>E-Transit Passenger Van</t>
  </si>
  <si>
    <t>Passenger Van</t>
  </si>
  <si>
    <t>City of Falls Church</t>
  </si>
  <si>
    <t>Equinox EV</t>
  </si>
  <si>
    <t>Prince William</t>
  </si>
  <si>
    <t>E-Transit Cargo Van</t>
  </si>
  <si>
    <t>Cargo Van</t>
  </si>
  <si>
    <t>Frederick County, MD</t>
  </si>
  <si>
    <t>Silverado EV</t>
  </si>
  <si>
    <t>Pickup</t>
  </si>
  <si>
    <t>Nissan Ariya</t>
  </si>
  <si>
    <t>E-Transit Paratransit w/lift</t>
  </si>
  <si>
    <t>Passenger Van - accessible</t>
  </si>
  <si>
    <t>Loudoun County</t>
  </si>
  <si>
    <t>Chevrolet Blazer EV SSV</t>
  </si>
  <si>
    <t>Chevrolet Equinox EV</t>
  </si>
  <si>
    <t>Lightining EMotors ZEV3</t>
  </si>
  <si>
    <t>Canoo LDV</t>
  </si>
  <si>
    <t>Cost - Gross</t>
  </si>
  <si>
    <t>CRPG Funding</t>
  </si>
  <si>
    <t>Avg Cost for Vehicle Type</t>
  </si>
  <si>
    <t>Passenger Car</t>
  </si>
  <si>
    <t>Ford Mustang Mach-E</t>
  </si>
  <si>
    <t>Hyundai Ioniq 5</t>
  </si>
  <si>
    <t>Electric Passenger Van with lift</t>
  </si>
  <si>
    <t>F-150 Lightning</t>
  </si>
  <si>
    <t>Promaster EV</t>
  </si>
  <si>
    <t>Qty EVs</t>
  </si>
  <si>
    <t>Ports Needed</t>
  </si>
  <si>
    <t>IRA Incentive</t>
  </si>
  <si>
    <t>EVSE CPRG Funding</t>
  </si>
  <si>
    <t>Sedan</t>
  </si>
  <si>
    <t>Small SUV</t>
  </si>
  <si>
    <t>Large SUV</t>
  </si>
  <si>
    <t>Admin Pool Vehicles (hatchback)</t>
  </si>
  <si>
    <t>Light Duty Vans</t>
  </si>
  <si>
    <t>Pickup Truck</t>
  </si>
  <si>
    <t>1/2T Pickup 4x4</t>
  </si>
  <si>
    <t>3/4T Cargo Van RWD</t>
  </si>
  <si>
    <t>1T Cargo Van</t>
  </si>
  <si>
    <t>1T Cargo Van SRW RWD</t>
  </si>
  <si>
    <t>Nissan Leaf</t>
  </si>
  <si>
    <t>GHG Modeling: Vehicle Turnover</t>
  </si>
  <si>
    <t>Vehicle Lifetime</t>
  </si>
  <si>
    <t>years</t>
  </si>
  <si>
    <t>EV Implementation year</t>
  </si>
  <si>
    <t>Baseline Emissions from ICEVs</t>
  </si>
  <si>
    <t>MTCO2e/year (Scope 2 Increase in Grid Emissions from EV Charging)</t>
  </si>
  <si>
    <t>Criteria Air Pollutants</t>
  </si>
  <si>
    <t>ICE Vehicle Type</t>
  </si>
  <si>
    <t>VMT per Vehicle</t>
  </si>
  <si>
    <t>Total VMT</t>
  </si>
  <si>
    <t>Fuel Economy (mpg)</t>
  </si>
  <si>
    <t>Fuel Consumption (gal)</t>
  </si>
  <si>
    <t>CO2 Emissions (MTCO2e)</t>
  </si>
  <si>
    <t>CH4 Emissions (MTCO2e)</t>
  </si>
  <si>
    <t>N2O Emissions (MTCO2e)</t>
  </si>
  <si>
    <t>Annual GHG Emissions from ICEVs (MTCO2e)</t>
  </si>
  <si>
    <t>ICEV GHG Emissions Baseline 2025-2030 (MTCO2e)</t>
  </si>
  <si>
    <t>ICEV GHG Emissions Baseline 2025-2050 (MTCO2e)</t>
  </si>
  <si>
    <t>EV Fuel Economy (kWh/mi)</t>
  </si>
  <si>
    <t>Electricity Consumption (kWh) for Total VMT</t>
  </si>
  <si>
    <t>ICEV Annual CO (g)</t>
  </si>
  <si>
    <t>ICEV Annual NOx (g)</t>
  </si>
  <si>
    <t>ICEV Annual PM 2.5 (g)</t>
  </si>
  <si>
    <t>Gasoline</t>
  </si>
  <si>
    <t>Diesel</t>
  </si>
  <si>
    <t>Total Estimated GHG Reductions from ICEV</t>
  </si>
  <si>
    <t>Conversions and Mapping</t>
  </si>
  <si>
    <t>Constants and Conversions</t>
  </si>
  <si>
    <t>Mapping of EV models to vehicle types</t>
  </si>
  <si>
    <t>EV Models</t>
  </si>
  <si>
    <t>Diesel GGE</t>
  </si>
  <si>
    <t>GGE/Gal diesel</t>
  </si>
  <si>
    <t>Electricity GGE</t>
  </si>
  <si>
    <t>GGE/kWh</t>
  </si>
  <si>
    <t>Short tons to Metric Ton</t>
  </si>
  <si>
    <t>metric ton/short ton</t>
  </si>
  <si>
    <t>Gram to Metric Ton</t>
  </si>
  <si>
    <t>metric ton/gram</t>
  </si>
  <si>
    <t>Pounds to Metric Ton</t>
  </si>
  <si>
    <t>metric ton/lb</t>
  </si>
  <si>
    <t>kg to Metric Ton</t>
  </si>
  <si>
    <t>metric ton/kg</t>
  </si>
  <si>
    <t>MMBTU to kWh</t>
  </si>
  <si>
    <t>kWh/MMBTU</t>
  </si>
  <si>
    <r>
      <rPr>
        <sz val="11"/>
        <color theme="10"/>
        <rFont val="Aptos Narrow"/>
        <family val="2"/>
        <scheme val="minor"/>
      </rPr>
      <t>Source:</t>
    </r>
    <r>
      <rPr>
        <u/>
        <sz val="11"/>
        <color theme="10"/>
        <rFont val="Aptos Narrow"/>
        <family val="2"/>
        <scheme val="minor"/>
      </rPr>
      <t xml:space="preserve"> State &amp; Alternative Fuel Provider Fleets: Fuel Conversion Factors to Gasoline Gallon Equivalents (energy.gov)</t>
    </r>
  </si>
  <si>
    <t>Global Warming Potential</t>
  </si>
  <si>
    <t>Gas</t>
  </si>
  <si>
    <t>AR5 GWP</t>
  </si>
  <si>
    <t>CH4</t>
  </si>
  <si>
    <t>N2O</t>
  </si>
  <si>
    <t>Average VMT from Loudoun County by Vehicle Type</t>
  </si>
  <si>
    <t>From Loudoun</t>
  </si>
  <si>
    <t>Average VMT</t>
  </si>
  <si>
    <t>Fuel Types and Fuel Efficiencies for each Vehicle Type</t>
  </si>
  <si>
    <t>ICEV MPG (AFLEET)</t>
  </si>
  <si>
    <t>BEV kWh/mi (AFLEET)</t>
  </si>
  <si>
    <t>Note: EV Models based on requested vehicles from localities</t>
  </si>
  <si>
    <t>Emission Factors</t>
  </si>
  <si>
    <t>Mobile Combustion CO2</t>
  </si>
  <si>
    <t>kg CO2/gal</t>
  </si>
  <si>
    <t>MTCO2e/gal</t>
  </si>
  <si>
    <t>Source: EPA GHG Emission Factors Hub</t>
  </si>
  <si>
    <t>Mobile Combustion CH4 and N2O</t>
  </si>
  <si>
    <t>g CH4/mi</t>
  </si>
  <si>
    <t>g N2O/mi</t>
  </si>
  <si>
    <t>CH4 MTCO2e/mi</t>
  </si>
  <si>
    <t>N2O MTCO2e/mi</t>
  </si>
  <si>
    <t>Source: EPA GHG Emission Factors Hub, 2021 model year</t>
  </si>
  <si>
    <t>Criteria Pollutant Emission Factors</t>
  </si>
  <si>
    <t>For 2026</t>
  </si>
  <si>
    <t>BTS Vehicle Type</t>
  </si>
  <si>
    <t>Pollutant</t>
  </si>
  <si>
    <t>g/mi</t>
  </si>
  <si>
    <t>Key</t>
  </si>
  <si>
    <t>Light-duty vehicles</t>
  </si>
  <si>
    <t>Exhaust CO</t>
  </si>
  <si>
    <t>Exhaust NOx</t>
  </si>
  <si>
    <t>Exhaust PM2.5</t>
  </si>
  <si>
    <t>Light-duty trucks</t>
  </si>
  <si>
    <t>Source: https://www.bts.gov/content/estimated-national-average-vehicle-emissions-rates-vehicle-vehicle-type-using-gasoline-and#:~:text=Emissions%20factors%20are%20averages%20based,properties%20in%20that%20calendar%20year.</t>
  </si>
  <si>
    <t>Electricity Emission Factor</t>
  </si>
  <si>
    <t>MTCO2e/MWh</t>
  </si>
  <si>
    <t>MTCO2e/kWh</t>
  </si>
  <si>
    <t>Source: AEO 2023 Reference Case, eGRID 2022 (see below)</t>
  </si>
  <si>
    <t xml:space="preserve">AEO 2023 Reference Case + eGRID 2022 non-CO2 </t>
  </si>
  <si>
    <t>Region ID (AEO EMM)</t>
  </si>
  <si>
    <t>NERC/ISO Subregion</t>
  </si>
  <si>
    <t>Geographic Name</t>
  </si>
  <si>
    <t>eGRID mapped region(s)</t>
  </si>
  <si>
    <t>Quantity</t>
  </si>
  <si>
    <t>units</t>
  </si>
  <si>
    <t>AEO</t>
  </si>
  <si>
    <t>PJME</t>
  </si>
  <si>
    <t>PJM/East</t>
  </si>
  <si>
    <t>Mid-Atlantic</t>
  </si>
  <si>
    <t>RFCE</t>
  </si>
  <si>
    <t>MTCO2/MWh</t>
  </si>
  <si>
    <t>eGRID</t>
  </si>
  <si>
    <t>MTCH4/MWh</t>
  </si>
  <si>
    <t>MTN2O/MWh</t>
  </si>
  <si>
    <t>CO2e</t>
  </si>
  <si>
    <t>PJMD</t>
  </si>
  <si>
    <t>PJM/Dominion</t>
  </si>
  <si>
    <t>Virginia</t>
  </si>
  <si>
    <t>SRVC</t>
  </si>
  <si>
    <t>eGRID 2022 MT/MWh</t>
  </si>
  <si>
    <t>eGRID 2022 lb/MWh</t>
  </si>
  <si>
    <t>eGRID Summary Tabls 2022, EPA</t>
  </si>
  <si>
    <t>Emission Factors - Stationary Combustion (kg/MMBtu)</t>
  </si>
  <si>
    <t>Emission Factor</t>
  </si>
  <si>
    <t>Fuel Oil No 2</t>
  </si>
  <si>
    <t>NG CO2 Factor</t>
  </si>
  <si>
    <t>NG CH4 Factor</t>
  </si>
  <si>
    <t>NG N2O Factor</t>
  </si>
  <si>
    <t>NG CO2e Factor</t>
  </si>
  <si>
    <t>Source: EPA GHG Emission Factors Hub, 2024</t>
  </si>
  <si>
    <t>POLLUTANT</t>
  </si>
  <si>
    <t>Pollutant Type</t>
  </si>
  <si>
    <t>SCC LEVEL 3</t>
  </si>
  <si>
    <t>Emissions (Tons)</t>
  </si>
  <si>
    <t>Total Consumption (MMBtu)</t>
  </si>
  <si>
    <t>Emission Factor (Ton/MMBtu)</t>
  </si>
  <si>
    <t>CAP</t>
  </si>
  <si>
    <t>CAP/HAP</t>
  </si>
  <si>
    <t>Source: EPA 2020 NEI Emissions Data for VA, MD, and D.C., plus EIA residential fuel consumption data for the same georgraphic region to estimate emission factors for these co-pollutants</t>
  </si>
  <si>
    <t>EIA</t>
  </si>
  <si>
    <t>Annual household site fuel consumption in U.S. homes by state—totals and averages, 2020</t>
  </si>
  <si>
    <t>Space Heating</t>
  </si>
  <si>
    <t>Before/After</t>
  </si>
  <si>
    <t>Component Name</t>
  </si>
  <si>
    <t xml:space="preserve">Max Supply Temp (degrees F) </t>
  </si>
  <si>
    <t xml:space="preserve">Rated AFUE (Btu/Btu) </t>
  </si>
  <si>
    <t>Energy Star 2006</t>
  </si>
  <si>
    <t>Federal Standard 1992</t>
  </si>
  <si>
    <t>Federal Standard 2015</t>
  </si>
  <si>
    <t xml:space="preserve">Lifetime (Years) </t>
  </si>
  <si>
    <t>low_cost ($/unit)</t>
  </si>
  <si>
    <t>avg_cost ($/unit)</t>
  </si>
  <si>
    <t>high_cost ($/unit)</t>
  </si>
  <si>
    <t>Before</t>
  </si>
  <si>
    <t>Gas - 80% AFUE</t>
  </si>
  <si>
    <t>gas</t>
  </si>
  <si>
    <t>exceeds</t>
  </si>
  <si>
    <t>meets</t>
  </si>
  <si>
    <t xml:space="preserve">Rated HSPF (Btu/W-h) </t>
  </si>
  <si>
    <t xml:space="preserve">Rated SEER (Btu/W-h) </t>
  </si>
  <si>
    <t>Federal Standard 2006</t>
  </si>
  <si>
    <t>After</t>
  </si>
  <si>
    <t>SEER 13 - 7.7 HSPF</t>
  </si>
  <si>
    <t>SEER 14 - 8.2 HSPF</t>
  </si>
  <si>
    <t>SEER 15 - 8.5 HSPF</t>
  </si>
  <si>
    <t>SEER 16 - 8.6 HSPF</t>
  </si>
  <si>
    <t>SEER 17 - 8.7 HSPF</t>
  </si>
  <si>
    <t>SEER 18 - 9.3 HSPF</t>
  </si>
  <si>
    <t>SEER 19 - 9.5 HSPF</t>
  </si>
  <si>
    <t>SEER 20 - 10 HSPF</t>
  </si>
  <si>
    <t>SEER 21 - 10 HSPF</t>
  </si>
  <si>
    <t>Water Heating</t>
  </si>
  <si>
    <t xml:space="preserve">First Hour Rating (gal) </t>
  </si>
  <si>
    <t xml:space="preserve">Input-Electric (kW) </t>
  </si>
  <si>
    <t xml:space="preserve">Input-Fuel (kBtu/h) </t>
  </si>
  <si>
    <t>Rated Energy Factor</t>
  </si>
  <si>
    <t xml:space="preserve">Recovery Efficiency (frac) </t>
  </si>
  <si>
    <t xml:space="preserve">Tank Wrap R-Value (h-ft^2-R/Btu) </t>
  </si>
  <si>
    <t>Energy Star 2010</t>
  </si>
  <si>
    <t>Federal Standard 2004</t>
  </si>
  <si>
    <t xml:space="preserve">Water Heater Lifetime (Years) </t>
  </si>
  <si>
    <t>avg_cost ($)</t>
  </si>
  <si>
    <t>Tank - Natural Gas - EF=0.59</t>
  </si>
  <si>
    <t>Heat Pump - Tank - Electric - 50 gal - EF=2.0</t>
  </si>
  <si>
    <t>electric</t>
  </si>
  <si>
    <t>Heat Pump - Tank - Electric - 80 gal - EF=2.35</t>
  </si>
  <si>
    <t>Reference Scenario - in-kind replacement</t>
  </si>
  <si>
    <t>Gas - 98% AFUE</t>
  </si>
  <si>
    <t>Gas - 92.5% AFUE</t>
  </si>
  <si>
    <t>Gas - 90% AFUE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</si>
</sst>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0"/>
    <numFmt numFmtId="166" formatCode="_(* #,##0_);_(* \(#,##0\);_(* &quot;-&quot;??_);_(@_)"/>
    <numFmt numFmtId="167" formatCode="0.0"/>
    <numFmt numFmtId="168" formatCode="_(* #,##0.0_);_(* \(#,##0.0\);_(* &quot;-&quot;??_);_(@_)"/>
    <numFmt numFmtId="169" formatCode="_(* #,##0.000_);_(* \(#,##0.000\);_(* &quot;-&quot;??_);_(@_)"/>
    <numFmt numFmtId="170" formatCode="_(* #,##0.000000_);_(* \(#,##0.000000\);_(* &quot;-&quot;??_);_(@_)"/>
    <numFmt numFmtId="171" formatCode="0.0%"/>
    <numFmt numFmtId="172" formatCode="_(* #,##0.000000_);_(* \(#,##0.000000\);_(* &quot;-&quot;??????_);_(@_)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1"/>
      <name val="Arial Narrow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1" tint="0.3499862666707357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vertAlign val="subscript"/>
      <sz val="10"/>
      <color rgb="FF000000"/>
      <name val="Calibri"/>
      <family val="2"/>
    </font>
    <font>
      <i/>
      <sz val="10"/>
      <color theme="1"/>
      <name val="Arial"/>
      <family val="2"/>
    </font>
    <font>
      <b/>
      <sz val="11"/>
      <name val="Arial"/>
      <family val="2"/>
    </font>
    <font>
      <b/>
      <sz val="11"/>
      <color rgb="FF0070C0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horizontal="center" vertical="top" wrapText="1"/>
    </xf>
    <xf numFmtId="164" fontId="0" fillId="0" borderId="0" xfId="0" applyNumberFormat="1"/>
    <xf numFmtId="0" fontId="0" fillId="0" borderId="1" xfId="0" applyBorder="1"/>
    <xf numFmtId="164" fontId="0" fillId="0" borderId="1" xfId="2" applyNumberFormat="1" applyFont="1" applyBorder="1"/>
    <xf numFmtId="43" fontId="0" fillId="0" borderId="1" xfId="1" applyFon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4" fillId="2" borderId="0" xfId="0" applyFont="1" applyFill="1"/>
    <xf numFmtId="0" fontId="0" fillId="2" borderId="0" xfId="0" applyFill="1"/>
    <xf numFmtId="0" fontId="3" fillId="0" borderId="0" xfId="0" applyFont="1"/>
    <xf numFmtId="0" fontId="3" fillId="3" borderId="1" xfId="0" applyFont="1" applyFill="1" applyBorder="1"/>
    <xf numFmtId="0" fontId="5" fillId="0" borderId="0" xfId="0" applyFont="1"/>
    <xf numFmtId="165" fontId="0" fillId="0" borderId="1" xfId="0" applyNumberFormat="1" applyBorder="1"/>
    <xf numFmtId="0" fontId="6" fillId="0" borderId="1" xfId="0" applyFont="1" applyBorder="1"/>
    <xf numFmtId="0" fontId="8" fillId="0" borderId="0" xfId="0" applyFont="1"/>
    <xf numFmtId="0" fontId="7" fillId="0" borderId="0" xfId="4" applyBorder="1" applyAlignment="1"/>
    <xf numFmtId="166" fontId="0" fillId="0" borderId="1" xfId="1" applyNumberFormat="1" applyFont="1" applyBorder="1" applyAlignment="1"/>
    <xf numFmtId="2" fontId="0" fillId="0" borderId="1" xfId="0" applyNumberFormat="1" applyBorder="1"/>
    <xf numFmtId="167" fontId="0" fillId="0" borderId="1" xfId="0" applyNumberFormat="1" applyBorder="1"/>
    <xf numFmtId="0" fontId="3" fillId="0" borderId="1" xfId="0" applyFont="1" applyBorder="1"/>
    <xf numFmtId="164" fontId="3" fillId="0" borderId="1" xfId="0" applyNumberFormat="1" applyFont="1" applyBorder="1"/>
    <xf numFmtId="164" fontId="0" fillId="0" borderId="0" xfId="2" applyNumberFormat="1" applyFont="1" applyAlignment="1"/>
    <xf numFmtId="0" fontId="8" fillId="0" borderId="1" xfId="0" applyFont="1" applyBorder="1"/>
    <xf numFmtId="0" fontId="0" fillId="0" borderId="1" xfId="0" applyBorder="1" applyAlignment="1">
      <alignment horizontal="left"/>
    </xf>
    <xf numFmtId="164" fontId="3" fillId="0" borderId="1" xfId="2" applyNumberFormat="1" applyFont="1" applyBorder="1"/>
    <xf numFmtId="0" fontId="3" fillId="0" borderId="1" xfId="0" applyFont="1" applyBorder="1" applyAlignment="1">
      <alignment horizontal="left"/>
    </xf>
    <xf numFmtId="166" fontId="0" fillId="0" borderId="1" xfId="1" applyNumberFormat="1" applyFont="1" applyBorder="1"/>
    <xf numFmtId="0" fontId="2" fillId="5" borderId="1" xfId="0" applyFont="1" applyFill="1" applyBorder="1"/>
    <xf numFmtId="0" fontId="3" fillId="2" borderId="0" xfId="0" applyFont="1" applyFill="1"/>
    <xf numFmtId="166" fontId="0" fillId="0" borderId="0" xfId="0" applyNumberFormat="1"/>
    <xf numFmtId="168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 vertical="center" wrapText="1"/>
    </xf>
    <xf numFmtId="170" fontId="0" fillId="0" borderId="1" xfId="1" applyNumberFormat="1" applyFont="1" applyBorder="1" applyAlignment="1"/>
    <xf numFmtId="0" fontId="14" fillId="0" borderId="0" xfId="0" applyFont="1"/>
    <xf numFmtId="0" fontId="14" fillId="0" borderId="1" xfId="0" applyFont="1" applyBorder="1"/>
    <xf numFmtId="6" fontId="0" fillId="0" borderId="1" xfId="0" applyNumberFormat="1" applyBorder="1"/>
    <xf numFmtId="43" fontId="3" fillId="0" borderId="1" xfId="1" applyFont="1" applyBorder="1"/>
    <xf numFmtId="168" fontId="3" fillId="0" borderId="1" xfId="1" applyNumberFormat="1" applyFont="1" applyBorder="1"/>
    <xf numFmtId="166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3" fontId="0" fillId="0" borderId="1" xfId="0" applyNumberFormat="1" applyBorder="1"/>
    <xf numFmtId="164" fontId="0" fillId="0" borderId="1" xfId="2" applyNumberFormat="1" applyFont="1" applyBorder="1" applyAlignment="1">
      <alignment horizontal="center"/>
    </xf>
    <xf numFmtId="166" fontId="0" fillId="0" borderId="1" xfId="0" applyNumberFormat="1" applyBorder="1"/>
    <xf numFmtId="43" fontId="0" fillId="0" borderId="1" xfId="0" applyNumberFormat="1" applyBorder="1"/>
    <xf numFmtId="0" fontId="8" fillId="0" borderId="11" xfId="0" applyFont="1" applyBorder="1"/>
    <xf numFmtId="164" fontId="0" fillId="0" borderId="0" xfId="2" applyNumberFormat="1" applyFont="1" applyBorder="1" applyAlignment="1"/>
    <xf numFmtId="164" fontId="0" fillId="0" borderId="12" xfId="0" applyNumberFormat="1" applyBorder="1"/>
    <xf numFmtId="0" fontId="0" fillId="0" borderId="11" xfId="0" applyBorder="1" applyAlignment="1">
      <alignment horizontal="left"/>
    </xf>
    <xf numFmtId="0" fontId="0" fillId="0" borderId="8" xfId="0" applyBorder="1" applyAlignment="1">
      <alignment horizontal="left"/>
    </xf>
    <xf numFmtId="0" fontId="8" fillId="0" borderId="13" xfId="0" applyFont="1" applyBorder="1"/>
    <xf numFmtId="0" fontId="0" fillId="0" borderId="13" xfId="0" applyBorder="1"/>
    <xf numFmtId="164" fontId="0" fillId="0" borderId="13" xfId="0" applyNumberFormat="1" applyBorder="1"/>
    <xf numFmtId="164" fontId="0" fillId="0" borderId="13" xfId="2" applyNumberFormat="1" applyFont="1" applyBorder="1" applyAlignment="1"/>
    <xf numFmtId="164" fontId="0" fillId="0" borderId="10" xfId="0" applyNumberFormat="1" applyBorder="1"/>
    <xf numFmtId="0" fontId="2" fillId="5" borderId="1" xfId="0" applyFont="1" applyFill="1" applyBorder="1" applyAlignment="1">
      <alignment horizontal="center" vertical="center" wrapText="1"/>
    </xf>
    <xf numFmtId="0" fontId="13" fillId="0" borderId="11" xfId="0" applyFont="1" applyBorder="1"/>
    <xf numFmtId="0" fontId="13" fillId="0" borderId="0" xfId="0" applyFont="1"/>
    <xf numFmtId="166" fontId="13" fillId="0" borderId="0" xfId="1" applyNumberFormat="1" applyFont="1" applyBorder="1"/>
    <xf numFmtId="167" fontId="13" fillId="0" borderId="0" xfId="0" applyNumberFormat="1" applyFont="1"/>
    <xf numFmtId="166" fontId="13" fillId="0" borderId="0" xfId="0" applyNumberFormat="1" applyFont="1"/>
    <xf numFmtId="168" fontId="13" fillId="0" borderId="0" xfId="0" applyNumberFormat="1" applyFont="1"/>
    <xf numFmtId="43" fontId="13" fillId="0" borderId="0" xfId="1" applyFont="1" applyBorder="1"/>
    <xf numFmtId="11" fontId="13" fillId="0" borderId="0" xfId="0" applyNumberFormat="1" applyFont="1"/>
    <xf numFmtId="168" fontId="13" fillId="0" borderId="12" xfId="0" applyNumberFormat="1" applyFont="1" applyBorder="1"/>
    <xf numFmtId="0" fontId="13" fillId="0" borderId="8" xfId="0" applyFont="1" applyBorder="1"/>
    <xf numFmtId="0" fontId="13" fillId="0" borderId="13" xfId="0" applyFont="1" applyBorder="1"/>
    <xf numFmtId="166" fontId="13" fillId="0" borderId="13" xfId="1" applyNumberFormat="1" applyFont="1" applyBorder="1"/>
    <xf numFmtId="167" fontId="13" fillId="0" borderId="13" xfId="0" applyNumberFormat="1" applyFont="1" applyBorder="1"/>
    <xf numFmtId="166" fontId="13" fillId="0" borderId="13" xfId="0" applyNumberFormat="1" applyFont="1" applyBorder="1"/>
    <xf numFmtId="168" fontId="13" fillId="0" borderId="13" xfId="0" applyNumberFormat="1" applyFont="1" applyBorder="1"/>
    <xf numFmtId="43" fontId="13" fillId="0" borderId="13" xfId="1" applyFont="1" applyBorder="1"/>
    <xf numFmtId="11" fontId="13" fillId="0" borderId="13" xfId="0" applyNumberFormat="1" applyFont="1" applyBorder="1"/>
    <xf numFmtId="168" fontId="13" fillId="0" borderId="10" xfId="0" applyNumberFormat="1" applyFont="1" applyBorder="1"/>
    <xf numFmtId="43" fontId="0" fillId="0" borderId="11" xfId="1" applyFont="1" applyBorder="1"/>
    <xf numFmtId="167" fontId="0" fillId="0" borderId="0" xfId="0" applyNumberFormat="1"/>
    <xf numFmtId="167" fontId="0" fillId="0" borderId="12" xfId="0" applyNumberFormat="1" applyBorder="1"/>
    <xf numFmtId="43" fontId="0" fillId="0" borderId="8" xfId="1" applyFont="1" applyBorder="1"/>
    <xf numFmtId="166" fontId="0" fillId="0" borderId="13" xfId="0" applyNumberFormat="1" applyBorder="1"/>
    <xf numFmtId="167" fontId="0" fillId="0" borderId="13" xfId="0" applyNumberFormat="1" applyBorder="1"/>
    <xf numFmtId="167" fontId="0" fillId="0" borderId="10" xfId="0" applyNumberFormat="1" applyBorder="1"/>
    <xf numFmtId="166" fontId="0" fillId="0" borderId="11" xfId="0" applyNumberFormat="1" applyBorder="1"/>
    <xf numFmtId="166" fontId="0" fillId="0" borderId="12" xfId="0" applyNumberFormat="1" applyBorder="1"/>
    <xf numFmtId="166" fontId="0" fillId="0" borderId="8" xfId="0" applyNumberFormat="1" applyBorder="1"/>
    <xf numFmtId="166" fontId="0" fillId="0" borderId="10" xfId="0" applyNumberFormat="1" applyBorder="1"/>
    <xf numFmtId="6" fontId="0" fillId="0" borderId="0" xfId="0" applyNumberFormat="1"/>
    <xf numFmtId="9" fontId="0" fillId="0" borderId="1" xfId="0" applyNumberFormat="1" applyBorder="1"/>
    <xf numFmtId="6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0" fontId="0" fillId="6" borderId="1" xfId="0" applyFill="1" applyBorder="1"/>
    <xf numFmtId="3" fontId="0" fillId="6" borderId="1" xfId="0" applyNumberFormat="1" applyFill="1" applyBorder="1"/>
    <xf numFmtId="43" fontId="0" fillId="0" borderId="0" xfId="1" applyFont="1" applyBorder="1"/>
    <xf numFmtId="0" fontId="0" fillId="0" borderId="14" xfId="0" applyBorder="1"/>
    <xf numFmtId="0" fontId="11" fillId="0" borderId="0" xfId="0" applyFont="1"/>
    <xf numFmtId="43" fontId="11" fillId="0" borderId="0" xfId="1" applyFont="1"/>
    <xf numFmtId="0" fontId="12" fillId="0" borderId="1" xfId="0" applyFont="1" applyBorder="1"/>
    <xf numFmtId="0" fontId="13" fillId="0" borderId="1" xfId="0" applyFont="1" applyBorder="1"/>
    <xf numFmtId="43" fontId="13" fillId="0" borderId="1" xfId="1" applyFont="1" applyBorder="1"/>
    <xf numFmtId="0" fontId="0" fillId="0" borderId="7" xfId="0" applyBorder="1"/>
    <xf numFmtId="0" fontId="13" fillId="0" borderId="14" xfId="0" applyFont="1" applyBorder="1"/>
    <xf numFmtId="43" fontId="0" fillId="0" borderId="14" xfId="1" applyFont="1" applyBorder="1"/>
    <xf numFmtId="43" fontId="0" fillId="0" borderId="9" xfId="1" applyFont="1" applyBorder="1"/>
    <xf numFmtId="0" fontId="0" fillId="0" borderId="11" xfId="0" applyBorder="1"/>
    <xf numFmtId="43" fontId="13" fillId="0" borderId="12" xfId="1" applyFont="1" applyBorder="1"/>
    <xf numFmtId="0" fontId="0" fillId="0" borderId="8" xfId="0" applyBorder="1"/>
    <xf numFmtId="43" fontId="0" fillId="0" borderId="13" xfId="1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3" xfId="0" applyFont="1" applyBorder="1"/>
    <xf numFmtId="0" fontId="0" fillId="0" borderId="5" xfId="0" applyBorder="1"/>
    <xf numFmtId="0" fontId="11" fillId="0" borderId="5" xfId="0" applyFont="1" applyBorder="1"/>
    <xf numFmtId="43" fontId="11" fillId="0" borderId="5" xfId="1" applyFont="1" applyBorder="1"/>
    <xf numFmtId="43" fontId="11" fillId="0" borderId="3" xfId="1" applyFont="1" applyBorder="1"/>
    <xf numFmtId="6" fontId="0" fillId="0" borderId="1" xfId="0" applyNumberFormat="1" applyBorder="1" applyAlignment="1">
      <alignment horizontal="center" wrapText="1"/>
    </xf>
    <xf numFmtId="9" fontId="0" fillId="0" borderId="0" xfId="3" applyFont="1"/>
    <xf numFmtId="9" fontId="0" fillId="0" borderId="1" xfId="0" applyNumberFormat="1" applyBorder="1" applyAlignment="1">
      <alignment horizontal="left"/>
    </xf>
    <xf numFmtId="171" fontId="0" fillId="0" borderId="1" xfId="0" applyNumberFormat="1" applyBorder="1" applyAlignment="1">
      <alignment horizontal="center"/>
    </xf>
    <xf numFmtId="169" fontId="0" fillId="0" borderId="1" xfId="0" applyNumberFormat="1" applyBorder="1"/>
    <xf numFmtId="0" fontId="7" fillId="0" borderId="0" xfId="4"/>
    <xf numFmtId="0" fontId="4" fillId="3" borderId="0" xfId="0" applyFont="1" applyFill="1"/>
    <xf numFmtId="0" fontId="0" fillId="3" borderId="0" xfId="0" applyFill="1"/>
    <xf numFmtId="43" fontId="0" fillId="0" borderId="1" xfId="1" applyFont="1" applyFill="1" applyBorder="1"/>
    <xf numFmtId="0" fontId="10" fillId="0" borderId="1" xfId="0" applyFont="1" applyBorder="1"/>
    <xf numFmtId="166" fontId="3" fillId="0" borderId="1" xfId="0" applyNumberFormat="1" applyFont="1" applyBorder="1"/>
    <xf numFmtId="0" fontId="17" fillId="0" borderId="0" xfId="0" applyFont="1"/>
    <xf numFmtId="6" fontId="3" fillId="0" borderId="0" xfId="0" applyNumberFormat="1" applyFont="1"/>
    <xf numFmtId="164" fontId="13" fillId="0" borderId="1" xfId="2" applyNumberFormat="1" applyFont="1" applyBorder="1"/>
    <xf numFmtId="166" fontId="0" fillId="0" borderId="1" xfId="1" applyNumberFormat="1" applyFont="1" applyFill="1" applyBorder="1"/>
    <xf numFmtId="9" fontId="0" fillId="0" borderId="0" xfId="0" applyNumberFormat="1"/>
    <xf numFmtId="3" fontId="19" fillId="4" borderId="3" xfId="0" applyNumberFormat="1" applyFont="1" applyFill="1" applyBorder="1" applyAlignment="1">
      <alignment horizontal="right" indent="3"/>
    </xf>
    <xf numFmtId="0" fontId="18" fillId="7" borderId="9" xfId="0" applyFont="1" applyFill="1" applyBorder="1" applyAlignment="1">
      <alignment horizontal="center"/>
    </xf>
    <xf numFmtId="0" fontId="18" fillId="7" borderId="6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left"/>
    </xf>
    <xf numFmtId="3" fontId="20" fillId="4" borderId="1" xfId="0" applyNumberFormat="1" applyFont="1" applyFill="1" applyBorder="1" applyAlignment="1">
      <alignment horizontal="right" indent="3"/>
    </xf>
    <xf numFmtId="3" fontId="19" fillId="4" borderId="1" xfId="0" applyNumberFormat="1" applyFont="1" applyFill="1" applyBorder="1" applyAlignment="1">
      <alignment horizontal="right" indent="3"/>
    </xf>
    <xf numFmtId="172" fontId="0" fillId="0" borderId="0" xfId="0" applyNumberFormat="1"/>
    <xf numFmtId="166" fontId="3" fillId="0" borderId="0" xfId="1" applyNumberFormat="1" applyFont="1"/>
    <xf numFmtId="3" fontId="0" fillId="0" borderId="0" xfId="0" applyNumberFormat="1"/>
    <xf numFmtId="0" fontId="19" fillId="4" borderId="1" xfId="0" applyFont="1" applyFill="1" applyBorder="1" applyAlignment="1">
      <alignment horizontal="left" indent="1"/>
    </xf>
    <xf numFmtId="2" fontId="22" fillId="4" borderId="1" xfId="0" applyNumberFormat="1" applyFont="1" applyFill="1" applyBorder="1" applyAlignment="1">
      <alignment horizontal="left" indent="2"/>
    </xf>
    <xf numFmtId="0" fontId="23" fillId="7" borderId="1" xfId="0" applyFont="1" applyFill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7" fillId="0" borderId="1" xfId="4" applyBorder="1"/>
    <xf numFmtId="3" fontId="3" fillId="0" borderId="1" xfId="1" applyNumberFormat="1" applyFont="1" applyBorder="1" applyAlignment="1">
      <alignment horizontal="center"/>
    </xf>
    <xf numFmtId="6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3" fontId="0" fillId="0" borderId="1" xfId="1" applyNumberFormat="1" applyFont="1" applyBorder="1" applyAlignment="1">
      <alignment horizontal="left"/>
    </xf>
    <xf numFmtId="0" fontId="26" fillId="0" borderId="0" xfId="0" applyFont="1"/>
    <xf numFmtId="3" fontId="3" fillId="0" borderId="0" xfId="1" applyNumberFormat="1" applyFont="1" applyBorder="1" applyAlignment="1">
      <alignment horizontal="center"/>
    </xf>
    <xf numFmtId="6" fontId="3" fillId="0" borderId="0" xfId="0" applyNumberFormat="1" applyFont="1" applyAlignment="1">
      <alignment horizontal="center"/>
    </xf>
    <xf numFmtId="6" fontId="0" fillId="0" borderId="0" xfId="0" applyNumberFormat="1" applyAlignment="1">
      <alignment horizontal="center"/>
    </xf>
    <xf numFmtId="6" fontId="3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issell, Fiona" id="{6DE06464-5C76-44F9-B2A5-238945570503}" userId="Wissell, Fion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2" dT="2024-03-27T06:15:41.91" personId="{6DE06464-5C76-44F9-B2A5-238945570503}" id="{10AE58D8-EBC9-4B83-ABD2-275827FA3955}">
    <text>Assumed HVAC replacement with building repairs; contractor costs for quick turn projects</text>
  </threadedComment>
  <threadedComment ref="F66" dT="2024-03-27T06:16:16.34" personId="{6DE06464-5C76-44F9-B2A5-238945570503}" id="{67BEA5FF-5FA9-45C6-8CC7-1187BFD38F3D}">
    <text>$90-$150k in Alexandria for whole-home efficiency and HVAC upgrades plus safe, repair, and code upgrades</text>
  </threadedComment>
  <threadedComment ref="F67" dT="2024-03-27T06:17:33.92" personId="{6DE06464-5C76-44F9-B2A5-238945570503}" id="{5D4E9599-A652-4AE4-B600-ACF0E2D159E8}">
    <text>Assume similar cost as Alexandria</text>
  </threadedComment>
  <threadedComment ref="F68" dT="2024-03-27T06:19:20.91" personId="{6DE06464-5C76-44F9-B2A5-238945570503}" id="{1CD318BB-95C1-4040-B2CD-010E9E761F0A}">
    <text>Assume similar package of upgrades as Frederick's program</text>
  </threadedComment>
  <threadedComment ref="F69" dT="2024-03-27T06:19:31.08" personId="{6DE06464-5C76-44F9-B2A5-238945570503}" id="{B45C8510-0610-4F0D-AE8F-9887E3513CD1}">
    <text>Assume similar package of upgrades as Frederick's program</text>
  </threadedComment>
  <threadedComment ref="F70" dT="2024-03-27T06:20:10.31" personId="{6DE06464-5C76-44F9-B2A5-238945570503}" id="{D40D44EF-CD1F-410B-89A0-95E957F80CF9}">
    <text>Assume similar package of upgrades as Alexandria's program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28" dT="2024-03-29T04:27:55.62" personId="{6DE06464-5C76-44F9-B2A5-238945570503}" id="{C4C11978-9BBF-45B5-89A4-FC05C5E1BBFC}">
    <text>Noted the county is unable to process rebated in the near-term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ia.gov/consumption/residential/data/2020/index.php?view=consumption&amp;src=%E2%80%B9%20Consumption%20%20%20%20%20%20Residential%20Energy%20Consumption%20Survey%20(RECS)-f3" TargetMode="External"/><Relationship Id="rId2" Type="http://schemas.openxmlformats.org/officeDocument/2006/relationships/hyperlink" Target="https://remdb.nrel.gov/group_listing" TargetMode="External"/><Relationship Id="rId1" Type="http://schemas.openxmlformats.org/officeDocument/2006/relationships/hyperlink" Target="https://remdb.nrel.gov/group_listing" TargetMode="Externa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pa.gov/climateleadership/ghg-emission-factors-hub" TargetMode="External"/><Relationship Id="rId1" Type="http://schemas.openxmlformats.org/officeDocument/2006/relationships/hyperlink" Target="https://www.eia.gov/consumption/residential/data/2020/state/pdf/State%20consumption.pdfhttps:/www.eia.gov/consumption/residential/data/2020/state/pdf/State%20consumption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remdb.nrel.gov/group_list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7A166-CABF-4D80-ADD1-1A3B1D4BBE65}">
  <sheetPr>
    <pageSetUpPr autoPageBreaks="0"/>
  </sheetPr>
  <dimension ref="B1:J20"/>
  <sheetViews>
    <sheetView showGridLines="0" zoomScale="115" workbookViewId="0">
      <selection activeCell="I13" sqref="I13"/>
    </sheetView>
  </sheetViews>
  <sheetFormatPr defaultRowHeight="14.5" x14ac:dyDescent="0.35"/>
  <cols>
    <col min="1" max="1" width="3" customWidth="1"/>
    <col min="2" max="2" width="65.26953125" bestFit="1" customWidth="1"/>
    <col min="3" max="7" width="16.1796875" customWidth="1"/>
    <col min="8" max="8" width="19" customWidth="1"/>
    <col min="9" max="10" width="16.1796875" customWidth="1"/>
  </cols>
  <sheetData>
    <row r="1" spans="2:10" ht="18.5" x14ac:dyDescent="0.45">
      <c r="B1" s="145" t="s">
        <v>0</v>
      </c>
    </row>
    <row r="2" spans="2:10" x14ac:dyDescent="0.35">
      <c r="B2" s="144" t="s">
        <v>1</v>
      </c>
    </row>
    <row r="4" spans="2:10" s="1" customFormat="1" ht="46.5" customHeight="1" x14ac:dyDescent="0.35">
      <c r="B4" s="159" t="s">
        <v>2</v>
      </c>
      <c r="C4" s="158" t="s">
        <v>3</v>
      </c>
      <c r="D4" s="158"/>
      <c r="E4" s="161" t="s">
        <v>4</v>
      </c>
      <c r="F4" s="161" t="s">
        <v>5</v>
      </c>
      <c r="G4" s="158" t="s">
        <v>6</v>
      </c>
      <c r="H4" s="158"/>
      <c r="I4" s="158" t="s">
        <v>7</v>
      </c>
      <c r="J4" s="158"/>
    </row>
    <row r="5" spans="2:10" s="1" customFormat="1" ht="29.5" customHeight="1" x14ac:dyDescent="0.35">
      <c r="B5" s="160"/>
      <c r="C5" s="7" t="s">
        <v>8</v>
      </c>
      <c r="D5" s="7" t="s">
        <v>9</v>
      </c>
      <c r="E5" s="162"/>
      <c r="F5" s="162"/>
      <c r="G5" s="7" t="s">
        <v>8</v>
      </c>
      <c r="H5" s="7" t="s">
        <v>9</v>
      </c>
      <c r="I5" s="7" t="s">
        <v>8</v>
      </c>
      <c r="J5" s="7" t="s">
        <v>9</v>
      </c>
    </row>
    <row r="6" spans="2:10" x14ac:dyDescent="0.35">
      <c r="B6" s="3" t="s">
        <v>10</v>
      </c>
      <c r="C6" s="27">
        <f>'Measure 1'!C5</f>
        <v>20142.052803829407</v>
      </c>
      <c r="D6" s="27">
        <f>'Measure 1'!D5</f>
        <v>91575.153613441973</v>
      </c>
      <c r="E6" s="43">
        <f>'Measure 1'!C6</f>
        <v>72860625</v>
      </c>
      <c r="F6" s="4">
        <v>68741424.096540108</v>
      </c>
      <c r="G6" s="27">
        <f t="shared" ref="G6:G7" si="0">(($F6/$E6)*C6)</f>
        <v>19003.314807729719</v>
      </c>
      <c r="H6" s="27">
        <f t="shared" ref="H6:H7" si="1">(($F6/$E6)*D6)</f>
        <v>86397.920292989831</v>
      </c>
      <c r="I6" s="4">
        <f>$F6/G6</f>
        <v>3617.3385955054059</v>
      </c>
      <c r="J6" s="4">
        <f>$F6/H6</f>
        <v>795.63748598839436</v>
      </c>
    </row>
    <row r="7" spans="2:10" x14ac:dyDescent="0.35">
      <c r="B7" s="3" t="s">
        <v>11</v>
      </c>
      <c r="C7" s="27">
        <f>'Measure 2'!C5</f>
        <v>6853.2332264958077</v>
      </c>
      <c r="D7" s="27">
        <f>'Measure 2'!D5</f>
        <v>17298.955796036564</v>
      </c>
      <c r="E7" s="4">
        <f>'Measure 2'!C6</f>
        <v>24040994.456140351</v>
      </c>
      <c r="F7" s="4">
        <v>22274856.341110032</v>
      </c>
      <c r="G7" s="27">
        <f t="shared" si="0"/>
        <v>6349.7700093402873</v>
      </c>
      <c r="H7" s="27">
        <f t="shared" si="1"/>
        <v>16028.112144483648</v>
      </c>
      <c r="I7" s="4">
        <f>$F7/G7</f>
        <v>3507.9784477775584</v>
      </c>
      <c r="J7" s="4">
        <f>$F7/H7</f>
        <v>1389.7367413152465</v>
      </c>
    </row>
    <row r="8" spans="2:10" x14ac:dyDescent="0.35">
      <c r="B8" s="3" t="s">
        <v>12</v>
      </c>
      <c r="C8" s="27">
        <v>0</v>
      </c>
      <c r="D8" s="27">
        <v>0</v>
      </c>
      <c r="E8" s="4">
        <f>F8</f>
        <v>6190539.4022525186</v>
      </c>
      <c r="F8" s="4">
        <v>6190539.4022525186</v>
      </c>
      <c r="G8" s="27">
        <f>(($F8/$E8)*C8)</f>
        <v>0</v>
      </c>
      <c r="H8" s="27">
        <f>(($F8/$E8)*D8)</f>
        <v>0</v>
      </c>
      <c r="I8" s="4" t="str">
        <f>IFERROR($F8/G8,"NA")</f>
        <v>NA</v>
      </c>
      <c r="J8" s="4" t="str">
        <f>IFERROR($F8/H8,"NA")</f>
        <v>NA</v>
      </c>
    </row>
    <row r="9" spans="2:10" x14ac:dyDescent="0.35">
      <c r="B9" s="20" t="s">
        <v>13</v>
      </c>
      <c r="C9" s="40">
        <f>SUM(C6:C8)</f>
        <v>26995.286030325216</v>
      </c>
      <c r="D9" s="40">
        <f>SUM(D6:D8)</f>
        <v>108874.10940947854</v>
      </c>
      <c r="E9" s="25">
        <f>SUM(E6:E8)</f>
        <v>103092158.85839288</v>
      </c>
      <c r="F9" s="25">
        <f>SUM(F6:F8)</f>
        <v>97206819.839902669</v>
      </c>
      <c r="G9" s="40">
        <f>(($F9/$E9)*C9)</f>
        <v>25454.175513784296</v>
      </c>
      <c r="H9" s="40">
        <f>(($F9/$E9)*D9)</f>
        <v>102658.68962094618</v>
      </c>
      <c r="I9" s="25">
        <f>$F9/G9</f>
        <v>3818.8948523302943</v>
      </c>
      <c r="J9" s="25">
        <f>$F9/H9</f>
        <v>946.89324594757795</v>
      </c>
    </row>
    <row r="11" spans="2:10" x14ac:dyDescent="0.35">
      <c r="B11" s="20" t="s">
        <v>14</v>
      </c>
      <c r="C11" s="20" t="s">
        <v>15</v>
      </c>
      <c r="D11" s="20" t="s">
        <v>16</v>
      </c>
      <c r="E11" s="20" t="s">
        <v>17</v>
      </c>
    </row>
    <row r="12" spans="2:10" ht="15" x14ac:dyDescent="0.4">
      <c r="B12" s="3" t="s">
        <v>18</v>
      </c>
      <c r="C12" s="5">
        <f>'Measure 1'!C13</f>
        <v>12.534200232424334</v>
      </c>
      <c r="D12" s="5">
        <v>0</v>
      </c>
      <c r="E12" s="5">
        <f>SUM(C12:D12)</f>
        <v>12.534200232424334</v>
      </c>
    </row>
    <row r="13" spans="2:10" x14ac:dyDescent="0.35">
      <c r="B13" s="3" t="s">
        <v>19</v>
      </c>
      <c r="C13" s="5">
        <f>'Measure 1'!C14</f>
        <v>708.94359701971894</v>
      </c>
      <c r="D13" s="5">
        <f>'Measure 2'!C14</f>
        <v>1.2313775977325758</v>
      </c>
      <c r="E13" s="5">
        <f t="shared" ref="E13:E20" si="2">SUM(C13:D13)</f>
        <v>710.17497461745154</v>
      </c>
    </row>
    <row r="14" spans="2:10" ht="15" x14ac:dyDescent="0.4">
      <c r="B14" s="3" t="s">
        <v>20</v>
      </c>
      <c r="C14" s="5">
        <f>'Measure 1'!C15</f>
        <v>51.910497766440891</v>
      </c>
      <c r="D14" s="5">
        <f>'Measure 2'!C15</f>
        <v>4.9201255397132382E-2</v>
      </c>
      <c r="E14" s="5">
        <f t="shared" si="2"/>
        <v>51.95969902183802</v>
      </c>
    </row>
    <row r="15" spans="2:10" ht="15" x14ac:dyDescent="0.4">
      <c r="B15" s="3" t="s">
        <v>21</v>
      </c>
      <c r="C15" s="5">
        <f>'Measure 1'!C16</f>
        <v>58.030340488918547</v>
      </c>
      <c r="D15" s="5">
        <v>0</v>
      </c>
      <c r="E15" s="5">
        <f t="shared" si="2"/>
        <v>58.030340488918547</v>
      </c>
    </row>
    <row r="16" spans="2:10" x14ac:dyDescent="0.35">
      <c r="B16" s="3" t="s">
        <v>22</v>
      </c>
      <c r="C16" s="5">
        <f>'Measure 1'!C17</f>
        <v>238.3303799622019</v>
      </c>
      <c r="D16" s="5">
        <f>'Measure 2'!C13</f>
        <v>11.250157860601243</v>
      </c>
      <c r="E16" s="5">
        <f t="shared" si="2"/>
        <v>249.58053782280314</v>
      </c>
    </row>
    <row r="17" spans="2:5" x14ac:dyDescent="0.35">
      <c r="B17" s="3" t="s">
        <v>23</v>
      </c>
      <c r="C17" s="5">
        <f>'Measure 1'!C18</f>
        <v>33.393653511259075</v>
      </c>
      <c r="D17" s="5">
        <v>0</v>
      </c>
      <c r="E17" s="5">
        <f t="shared" si="2"/>
        <v>33.393653511259075</v>
      </c>
    </row>
    <row r="18" spans="2:5" ht="15" x14ac:dyDescent="0.4">
      <c r="B18" s="3" t="s">
        <v>24</v>
      </c>
      <c r="C18" s="5">
        <f>'Measure 1'!C19</f>
        <v>83.599266556908674</v>
      </c>
      <c r="D18" s="5">
        <v>0</v>
      </c>
      <c r="E18" s="5">
        <f t="shared" si="2"/>
        <v>83.599266556908674</v>
      </c>
    </row>
    <row r="19" spans="2:5" x14ac:dyDescent="0.35">
      <c r="B19" s="3" t="s">
        <v>25</v>
      </c>
      <c r="C19" s="5">
        <f>'Measure 1'!C20</f>
        <v>5.3618200912822635E-2</v>
      </c>
      <c r="D19" s="5">
        <v>0</v>
      </c>
      <c r="E19" s="5">
        <f t="shared" si="2"/>
        <v>5.3618200912822635E-2</v>
      </c>
    </row>
    <row r="20" spans="2:5" x14ac:dyDescent="0.35">
      <c r="B20" s="3" t="s">
        <v>17</v>
      </c>
      <c r="C20" s="38">
        <f>SUM(C12:C19)</f>
        <v>1186.7955537387852</v>
      </c>
      <c r="D20" s="38">
        <f>SUM(D12:D19)</f>
        <v>12.530736713730951</v>
      </c>
      <c r="E20" s="38">
        <f t="shared" si="2"/>
        <v>1199.3262904525161</v>
      </c>
    </row>
  </sheetData>
  <mergeCells count="6">
    <mergeCell ref="C4:D4"/>
    <mergeCell ref="G4:H4"/>
    <mergeCell ref="I4:J4"/>
    <mergeCell ref="B4:B5"/>
    <mergeCell ref="E4:E5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503D3-0C0A-42F1-BFD2-E3EA913BB105}">
  <sheetPr>
    <pageSetUpPr autoPageBreaks="0"/>
  </sheetPr>
  <dimension ref="A2:AD191"/>
  <sheetViews>
    <sheetView showGridLines="0" zoomScale="80" zoomScaleNormal="80" workbookViewId="0">
      <selection activeCell="C8" sqref="C8"/>
    </sheetView>
  </sheetViews>
  <sheetFormatPr defaultRowHeight="14.5" x14ac:dyDescent="0.35"/>
  <cols>
    <col min="2" max="2" width="54.54296875" customWidth="1"/>
    <col min="3" max="3" width="44.81640625" customWidth="1"/>
    <col min="4" max="4" width="40.1796875" bestFit="1" customWidth="1"/>
    <col min="5" max="5" width="46.1796875" bestFit="1" customWidth="1"/>
    <col min="6" max="6" width="23.7265625" bestFit="1" customWidth="1"/>
    <col min="7" max="7" width="29.54296875" customWidth="1"/>
    <col min="8" max="8" width="38" customWidth="1"/>
    <col min="9" max="9" width="49.1796875" bestFit="1" customWidth="1"/>
    <col min="10" max="10" width="48.81640625" bestFit="1" customWidth="1"/>
    <col min="11" max="11" width="48.1796875" bestFit="1" customWidth="1"/>
    <col min="12" max="12" width="32.54296875" bestFit="1" customWidth="1"/>
    <col min="13" max="13" width="46.1796875" bestFit="1" customWidth="1"/>
    <col min="14" max="14" width="44.453125" bestFit="1" customWidth="1"/>
    <col min="15" max="15" width="10.81640625" bestFit="1" customWidth="1"/>
    <col min="29" max="30" width="10.1796875" bestFit="1" customWidth="1"/>
  </cols>
  <sheetData>
    <row r="2" spans="1:5" s="9" customFormat="1" x14ac:dyDescent="0.35">
      <c r="A2" s="29" t="s">
        <v>26</v>
      </c>
    </row>
    <row r="4" spans="1:5" x14ac:dyDescent="0.35">
      <c r="B4" s="20" t="s">
        <v>27</v>
      </c>
      <c r="C4" s="41" t="s">
        <v>8</v>
      </c>
      <c r="D4" s="41" t="s">
        <v>9</v>
      </c>
    </row>
    <row r="5" spans="1:5" x14ac:dyDescent="0.35">
      <c r="B5" s="3" t="s">
        <v>28</v>
      </c>
      <c r="C5" s="42">
        <f>AC51+AC163</f>
        <v>20142.052803829407</v>
      </c>
      <c r="D5" s="42">
        <f>AD51+AD163</f>
        <v>91575.153613441973</v>
      </c>
    </row>
    <row r="6" spans="1:5" x14ac:dyDescent="0.35">
      <c r="B6" s="3" t="s">
        <v>4</v>
      </c>
      <c r="C6" s="129">
        <f>SUM($F$37:$F$41)+$G$73</f>
        <v>72860625</v>
      </c>
      <c r="D6" s="4"/>
    </row>
    <row r="7" spans="1:5" x14ac:dyDescent="0.35">
      <c r="B7" s="3" t="s">
        <v>29</v>
      </c>
      <c r="C7" s="129">
        <v>3162664.0965400976</v>
      </c>
      <c r="D7" s="4"/>
    </row>
    <row r="8" spans="1:5" x14ac:dyDescent="0.35">
      <c r="B8" s="3" t="s">
        <v>5</v>
      </c>
      <c r="C8" s="4">
        <f>SUM($H$37:$H$41)+$I$73+C7</f>
        <v>68741424.096540093</v>
      </c>
      <c r="D8" s="4"/>
    </row>
    <row r="9" spans="1:5" x14ac:dyDescent="0.35">
      <c r="B9" s="3" t="s">
        <v>30</v>
      </c>
      <c r="C9" s="27">
        <f>($C$8/$C$6)*C5</f>
        <v>19003.314807729712</v>
      </c>
      <c r="D9" s="27">
        <f>($C$8/$C$6)*D5</f>
        <v>86397.920292989817</v>
      </c>
    </row>
    <row r="10" spans="1:5" x14ac:dyDescent="0.35">
      <c r="B10" s="3" t="s">
        <v>31</v>
      </c>
      <c r="C10" s="6">
        <f>$C$8/C9</f>
        <v>3617.3385955054068</v>
      </c>
      <c r="D10" s="6">
        <f>$C$8/D9</f>
        <v>795.63748598839436</v>
      </c>
    </row>
    <row r="12" spans="1:5" x14ac:dyDescent="0.35">
      <c r="B12" s="20" t="s">
        <v>32</v>
      </c>
      <c r="C12" s="20" t="s">
        <v>33</v>
      </c>
      <c r="D12" s="20" t="s">
        <v>8</v>
      </c>
      <c r="E12" s="127"/>
    </row>
    <row r="13" spans="1:5" ht="16.5" x14ac:dyDescent="0.45">
      <c r="B13" s="3" t="s">
        <v>34</v>
      </c>
      <c r="C13" s="5">
        <f>-'Conversions and Lookups'!$C$9*'Measure 1'!E183+$E$176</f>
        <v>12.534200232424334</v>
      </c>
      <c r="D13" s="5">
        <f>C13*6</f>
        <v>75.205201394546009</v>
      </c>
      <c r="E13" s="32"/>
    </row>
    <row r="14" spans="1:5" x14ac:dyDescent="0.35">
      <c r="B14" s="3" t="s">
        <v>19</v>
      </c>
      <c r="C14" s="5">
        <f>-'Conversions and Lookups'!$C$9*'Measure 1'!E184+$E$173</f>
        <v>708.94359701971894</v>
      </c>
      <c r="D14" s="5">
        <f t="shared" ref="D14:D20" si="0">C14*6</f>
        <v>4253.6615821183132</v>
      </c>
    </row>
    <row r="15" spans="1:5" ht="16.5" x14ac:dyDescent="0.45">
      <c r="B15" s="3" t="s">
        <v>35</v>
      </c>
      <c r="C15" s="5">
        <f>-'Conversions and Lookups'!$C$9*'Measure 1'!E187+$E$175</f>
        <v>51.910497766440891</v>
      </c>
      <c r="D15" s="5">
        <f t="shared" si="0"/>
        <v>311.46298659864533</v>
      </c>
    </row>
    <row r="16" spans="1:5" ht="16.5" x14ac:dyDescent="0.45">
      <c r="B16" s="3" t="s">
        <v>36</v>
      </c>
      <c r="C16" s="5">
        <f>E174</f>
        <v>58.030340488918547</v>
      </c>
      <c r="D16" s="5">
        <f t="shared" si="0"/>
        <v>348.1820429335113</v>
      </c>
    </row>
    <row r="17" spans="1:12" x14ac:dyDescent="0.35">
      <c r="B17" s="3" t="s">
        <v>22</v>
      </c>
      <c r="C17" s="5">
        <f>E171</f>
        <v>238.3303799622019</v>
      </c>
      <c r="D17" s="5">
        <f t="shared" si="0"/>
        <v>1429.9822797732113</v>
      </c>
    </row>
    <row r="18" spans="1:12" x14ac:dyDescent="0.35">
      <c r="B18" s="3" t="s">
        <v>23</v>
      </c>
      <c r="C18" s="5">
        <f>-'Conversions and Lookups'!$C$9*'Measure 1'!E188+$E$177</f>
        <v>33.393653511259075</v>
      </c>
      <c r="D18" s="5">
        <f t="shared" si="0"/>
        <v>200.36192106755445</v>
      </c>
    </row>
    <row r="19" spans="1:12" ht="16.5" x14ac:dyDescent="0.45">
      <c r="B19" s="3" t="s">
        <v>37</v>
      </c>
      <c r="C19" s="5">
        <f>-'Conversions and Lookups'!$C$9*'Measure 1'!E189+$E$170</f>
        <v>83.599266556908674</v>
      </c>
      <c r="D19" s="5">
        <f t="shared" si="0"/>
        <v>501.59559934145204</v>
      </c>
    </row>
    <row r="20" spans="1:12" x14ac:dyDescent="0.35">
      <c r="B20" s="3" t="s">
        <v>25</v>
      </c>
      <c r="C20" s="5">
        <f>E172</f>
        <v>5.3618200912822635E-2</v>
      </c>
      <c r="D20" s="5">
        <f t="shared" si="0"/>
        <v>0.32170920547693582</v>
      </c>
    </row>
    <row r="21" spans="1:12" x14ac:dyDescent="0.35">
      <c r="C21" s="32"/>
    </row>
    <row r="22" spans="1:12" s="9" customFormat="1" x14ac:dyDescent="0.35">
      <c r="A22" s="29" t="s">
        <v>38</v>
      </c>
    </row>
    <row r="24" spans="1:12" x14ac:dyDescent="0.35">
      <c r="B24" s="10" t="s">
        <v>39</v>
      </c>
    </row>
    <row r="25" spans="1:12" x14ac:dyDescent="0.35">
      <c r="B25" s="3" t="s">
        <v>40</v>
      </c>
      <c r="C25" s="3" t="s">
        <v>41</v>
      </c>
      <c r="D25" s="3" t="s">
        <v>42</v>
      </c>
    </row>
    <row r="26" spans="1:12" x14ac:dyDescent="0.35">
      <c r="B26" s="3" t="s">
        <v>43</v>
      </c>
      <c r="C26" s="27">
        <v>3</v>
      </c>
      <c r="D26" s="3" t="s">
        <v>44</v>
      </c>
    </row>
    <row r="27" spans="1:12" x14ac:dyDescent="0.35">
      <c r="B27" s="3" t="s">
        <v>45</v>
      </c>
      <c r="C27" s="27">
        <v>5</v>
      </c>
      <c r="D27" s="3" t="s">
        <v>46</v>
      </c>
    </row>
    <row r="28" spans="1:12" x14ac:dyDescent="0.35">
      <c r="B28" s="3" t="s">
        <v>47</v>
      </c>
      <c r="C28" s="27">
        <f>C26*C27*1000</f>
        <v>15000</v>
      </c>
      <c r="D28" s="3" t="s">
        <v>48</v>
      </c>
    </row>
    <row r="29" spans="1:12" x14ac:dyDescent="0.35">
      <c r="B29" s="3" t="s">
        <v>49</v>
      </c>
      <c r="C29" s="27">
        <v>3500</v>
      </c>
      <c r="D29" s="3" t="s">
        <v>48</v>
      </c>
    </row>
    <row r="30" spans="1:12" x14ac:dyDescent="0.35">
      <c r="B30" s="3" t="s">
        <v>50</v>
      </c>
      <c r="C30" s="27">
        <v>25</v>
      </c>
      <c r="D30" s="3" t="s">
        <v>51</v>
      </c>
    </row>
    <row r="31" spans="1:12" x14ac:dyDescent="0.35">
      <c r="B31" s="3" t="s">
        <v>52</v>
      </c>
      <c r="C31" s="27">
        <f>(C28+C29)*(1+C30%)</f>
        <v>23125</v>
      </c>
      <c r="D31" s="3" t="s">
        <v>48</v>
      </c>
    </row>
    <row r="32" spans="1:12" x14ac:dyDescent="0.35">
      <c r="B32" s="3" t="s">
        <v>53</v>
      </c>
      <c r="C32" s="27">
        <v>25</v>
      </c>
      <c r="D32" s="3" t="s">
        <v>54</v>
      </c>
      <c r="L32" s="117"/>
    </row>
    <row r="33" spans="2:9" x14ac:dyDescent="0.35">
      <c r="B33" s="153" t="s">
        <v>55</v>
      </c>
    </row>
    <row r="35" spans="2:9" x14ac:dyDescent="0.35">
      <c r="B35" s="10" t="s">
        <v>56</v>
      </c>
    </row>
    <row r="36" spans="2:9" x14ac:dyDescent="0.35">
      <c r="B36" s="149" t="s">
        <v>57</v>
      </c>
      <c r="C36" s="149" t="s">
        <v>58</v>
      </c>
      <c r="D36" s="149" t="s">
        <v>59</v>
      </c>
      <c r="E36" s="149" t="s">
        <v>60</v>
      </c>
      <c r="F36" s="149" t="s">
        <v>52</v>
      </c>
      <c r="G36" s="149" t="s">
        <v>61</v>
      </c>
      <c r="H36" s="149" t="s">
        <v>62</v>
      </c>
      <c r="I36" s="149" t="s">
        <v>63</v>
      </c>
    </row>
    <row r="37" spans="2:9" x14ac:dyDescent="0.35">
      <c r="B37" s="24" t="s">
        <v>64</v>
      </c>
      <c r="C37" s="24" t="s">
        <v>65</v>
      </c>
      <c r="D37" s="88">
        <v>375000</v>
      </c>
      <c r="E37" s="90">
        <v>160</v>
      </c>
      <c r="F37" s="88">
        <f>E37*$C$31</f>
        <v>3700000</v>
      </c>
      <c r="G37" s="88">
        <v>15000</v>
      </c>
      <c r="H37" s="88">
        <f>G37*E37+D37</f>
        <v>2775000</v>
      </c>
      <c r="I37" s="151" t="s">
        <v>66</v>
      </c>
    </row>
    <row r="38" spans="2:9" x14ac:dyDescent="0.35">
      <c r="B38" s="24" t="s">
        <v>67</v>
      </c>
      <c r="C38" s="24" t="s">
        <v>68</v>
      </c>
      <c r="D38" s="88">
        <v>0</v>
      </c>
      <c r="E38" s="90">
        <v>5</v>
      </c>
      <c r="F38" s="88">
        <f t="shared" ref="F38:F41" si="1">E38*$C$31</f>
        <v>115625</v>
      </c>
      <c r="G38" s="88">
        <v>10000</v>
      </c>
      <c r="H38" s="88">
        <f t="shared" ref="H38:H40" si="2">G38*E38+D38</f>
        <v>50000</v>
      </c>
      <c r="I38" s="151" t="s">
        <v>66</v>
      </c>
    </row>
    <row r="39" spans="2:9" x14ac:dyDescent="0.35">
      <c r="B39" s="150" t="s">
        <v>69</v>
      </c>
      <c r="C39" s="24" t="s">
        <v>70</v>
      </c>
      <c r="D39" s="88">
        <v>0</v>
      </c>
      <c r="E39" s="90">
        <v>20</v>
      </c>
      <c r="F39" s="88">
        <f t="shared" si="1"/>
        <v>462500</v>
      </c>
      <c r="G39" s="88">
        <v>25000</v>
      </c>
      <c r="H39" s="88">
        <f t="shared" si="2"/>
        <v>500000</v>
      </c>
      <c r="I39" s="151" t="s">
        <v>66</v>
      </c>
    </row>
    <row r="40" spans="2:9" x14ac:dyDescent="0.35">
      <c r="B40" s="150" t="s">
        <v>71</v>
      </c>
      <c r="C40" s="24" t="s">
        <v>72</v>
      </c>
      <c r="D40" s="88">
        <v>0</v>
      </c>
      <c r="E40" s="90">
        <v>200</v>
      </c>
      <c r="F40" s="88">
        <f t="shared" si="1"/>
        <v>4625000</v>
      </c>
      <c r="G40" s="88">
        <v>15000</v>
      </c>
      <c r="H40" s="88">
        <f t="shared" si="2"/>
        <v>3000000</v>
      </c>
      <c r="I40" s="151" t="s">
        <v>66</v>
      </c>
    </row>
    <row r="41" spans="2:9" x14ac:dyDescent="0.35">
      <c r="B41" s="24" t="s">
        <v>73</v>
      </c>
      <c r="C41" s="24" t="s">
        <v>74</v>
      </c>
      <c r="D41" s="89">
        <v>0.25</v>
      </c>
      <c r="E41" s="91">
        <v>1000</v>
      </c>
      <c r="F41" s="88">
        <f t="shared" si="1"/>
        <v>23125000</v>
      </c>
      <c r="G41" s="88">
        <v>18500</v>
      </c>
      <c r="H41" s="88">
        <f>(G41*E41)*(1+D41)</f>
        <v>23125000</v>
      </c>
      <c r="I41" s="152" t="s">
        <v>66</v>
      </c>
    </row>
    <row r="42" spans="2:9" x14ac:dyDescent="0.35">
      <c r="B42" s="24" t="s">
        <v>17</v>
      </c>
      <c r="C42" s="24" t="s">
        <v>75</v>
      </c>
      <c r="D42" s="147"/>
      <c r="E42" s="147">
        <f>SUM(E37:E41)</f>
        <v>1385</v>
      </c>
      <c r="F42" s="148">
        <f>SUM(F37:F41)</f>
        <v>32028125</v>
      </c>
      <c r="G42" s="88"/>
      <c r="H42" s="148">
        <f>SUM(H37:H41)</f>
        <v>29450000</v>
      </c>
      <c r="I42" s="147"/>
    </row>
    <row r="43" spans="2:9" x14ac:dyDescent="0.35">
      <c r="B43" s="154"/>
      <c r="C43" s="154"/>
      <c r="D43" s="154"/>
      <c r="E43" s="154"/>
      <c r="F43" s="155"/>
      <c r="G43" s="156"/>
      <c r="H43" s="155"/>
      <c r="I43" s="154"/>
    </row>
    <row r="44" spans="2:9" x14ac:dyDescent="0.35">
      <c r="B44" s="20" t="s">
        <v>76</v>
      </c>
      <c r="C44" s="20" t="s">
        <v>77</v>
      </c>
    </row>
    <row r="45" spans="2:9" x14ac:dyDescent="0.35">
      <c r="B45" s="3" t="s">
        <v>78</v>
      </c>
      <c r="C45" s="27">
        <f>$E$42</f>
        <v>1385</v>
      </c>
      <c r="E45" s="30"/>
    </row>
    <row r="46" spans="2:9" x14ac:dyDescent="0.35">
      <c r="B46" s="3" t="s">
        <v>79</v>
      </c>
      <c r="C46" s="5">
        <f>($C$27/1000*C45)/5</f>
        <v>1.385</v>
      </c>
      <c r="E46" s="32"/>
    </row>
    <row r="47" spans="2:9" x14ac:dyDescent="0.35">
      <c r="B47" s="3" t="s">
        <v>80</v>
      </c>
      <c r="C47" s="130">
        <f>-E54</f>
        <v>1690</v>
      </c>
    </row>
    <row r="49" spans="1:30" x14ac:dyDescent="0.35">
      <c r="B49" s="20" t="s">
        <v>81</v>
      </c>
      <c r="C49" s="3">
        <v>2025</v>
      </c>
      <c r="D49" s="3">
        <v>2026</v>
      </c>
      <c r="E49" s="3">
        <v>2027</v>
      </c>
      <c r="F49" s="3">
        <v>2028</v>
      </c>
      <c r="G49" s="3">
        <v>2029</v>
      </c>
      <c r="H49" s="3">
        <v>2030</v>
      </c>
      <c r="I49" s="3">
        <v>2031</v>
      </c>
      <c r="J49" s="3">
        <v>2032</v>
      </c>
      <c r="K49" s="3">
        <v>2033</v>
      </c>
      <c r="L49" s="3">
        <v>2034</v>
      </c>
      <c r="M49" s="3">
        <v>2035</v>
      </c>
      <c r="N49" s="3">
        <v>2036</v>
      </c>
      <c r="O49" s="3">
        <v>2037</v>
      </c>
      <c r="P49" s="3">
        <v>2038</v>
      </c>
      <c r="Q49" s="3">
        <v>2039</v>
      </c>
      <c r="R49" s="3">
        <v>2040</v>
      </c>
      <c r="S49" s="3">
        <v>2041</v>
      </c>
      <c r="T49" s="3">
        <v>2042</v>
      </c>
      <c r="U49" s="3">
        <v>2043</v>
      </c>
      <c r="V49" s="3">
        <v>2044</v>
      </c>
      <c r="W49" s="3">
        <v>2045</v>
      </c>
      <c r="X49" s="3">
        <v>2046</v>
      </c>
      <c r="Y49" s="3">
        <v>2047</v>
      </c>
      <c r="Z49" s="3">
        <v>2048</v>
      </c>
      <c r="AA49" s="3">
        <v>2049</v>
      </c>
      <c r="AB49" s="3">
        <v>2050</v>
      </c>
      <c r="AC49" s="92" t="s">
        <v>8</v>
      </c>
      <c r="AD49" s="92" t="s">
        <v>9</v>
      </c>
    </row>
    <row r="50" spans="1:30" x14ac:dyDescent="0.35">
      <c r="B50" s="3" t="s">
        <v>82</v>
      </c>
      <c r="C50" s="44">
        <f>$C$47</f>
        <v>1690</v>
      </c>
      <c r="D50" s="44">
        <f>C50+$C$47</f>
        <v>3380</v>
      </c>
      <c r="E50" s="44">
        <f>D50+$C$47</f>
        <v>5070</v>
      </c>
      <c r="F50" s="44">
        <f>E50+$C$47</f>
        <v>6760</v>
      </c>
      <c r="G50" s="44">
        <f>F50+$C$47</f>
        <v>8450</v>
      </c>
      <c r="H50" s="44">
        <f>G50</f>
        <v>8450</v>
      </c>
      <c r="I50" s="44">
        <f t="shared" ref="I50:AB50" si="3">H50</f>
        <v>8450</v>
      </c>
      <c r="J50" s="44">
        <f t="shared" si="3"/>
        <v>8450</v>
      </c>
      <c r="K50" s="44">
        <f t="shared" si="3"/>
        <v>8450</v>
      </c>
      <c r="L50" s="44">
        <f t="shared" si="3"/>
        <v>8450</v>
      </c>
      <c r="M50" s="44">
        <f t="shared" si="3"/>
        <v>8450</v>
      </c>
      <c r="N50" s="44">
        <f t="shared" si="3"/>
        <v>8450</v>
      </c>
      <c r="O50" s="44">
        <f t="shared" si="3"/>
        <v>8450</v>
      </c>
      <c r="P50" s="44">
        <f t="shared" si="3"/>
        <v>8450</v>
      </c>
      <c r="Q50" s="44">
        <f t="shared" si="3"/>
        <v>8450</v>
      </c>
      <c r="R50" s="44">
        <f t="shared" si="3"/>
        <v>8450</v>
      </c>
      <c r="S50" s="44">
        <f t="shared" si="3"/>
        <v>8450</v>
      </c>
      <c r="T50" s="44">
        <f t="shared" si="3"/>
        <v>8450</v>
      </c>
      <c r="U50" s="44">
        <f t="shared" si="3"/>
        <v>8450</v>
      </c>
      <c r="V50" s="44">
        <f t="shared" si="3"/>
        <v>8450</v>
      </c>
      <c r="W50" s="44">
        <f t="shared" si="3"/>
        <v>8450</v>
      </c>
      <c r="X50" s="44">
        <f t="shared" si="3"/>
        <v>8450</v>
      </c>
      <c r="Y50" s="44">
        <f t="shared" si="3"/>
        <v>8450</v>
      </c>
      <c r="Z50" s="44">
        <f t="shared" si="3"/>
        <v>8450</v>
      </c>
      <c r="AA50" s="44">
        <f t="shared" si="3"/>
        <v>8450</v>
      </c>
      <c r="AB50" s="44">
        <f t="shared" si="3"/>
        <v>8450</v>
      </c>
      <c r="AC50" s="44"/>
      <c r="AD50" s="44"/>
    </row>
    <row r="51" spans="1:30" ht="16.5" x14ac:dyDescent="0.45">
      <c r="B51" s="3" t="s">
        <v>83</v>
      </c>
      <c r="C51" s="42">
        <f>C50*HLOOKUP(C$49,'Conversions and Lookups'!$B$76:$AE$77, 2, 0)</f>
        <v>453.22521576249028</v>
      </c>
      <c r="D51" s="42">
        <f>D50*HLOOKUP(D$49,'Conversions and Lookups'!$B$76:$AE$77, 2, 0)</f>
        <v>886.79351949957504</v>
      </c>
      <c r="E51" s="42">
        <f>E50*HLOOKUP(E$49,'Conversions and Lookups'!$B$76:$AE$77, 2, 0)</f>
        <v>1217.9999400817646</v>
      </c>
      <c r="F51" s="42">
        <f>F50*HLOOKUP(F$49,'Conversions and Lookups'!$B$76:$AE$77, 2, 0)</f>
        <v>1570.2293481260515</v>
      </c>
      <c r="G51" s="42">
        <f>G50*HLOOKUP(G$49,'Conversions and Lookups'!$B$76:$AE$77, 2, 0)</f>
        <v>1666.7224762657177</v>
      </c>
      <c r="H51" s="42">
        <f>H50*HLOOKUP(H$49,'Conversions and Lookups'!$B$76:$AE$77, 2, 0)</f>
        <v>1560.8163939700985</v>
      </c>
      <c r="I51" s="42">
        <f>I50*HLOOKUP(I$49,'Conversions and Lookups'!$B$76:$AE$77, 2, 0)</f>
        <v>1463.0738409964481</v>
      </c>
      <c r="J51" s="42">
        <f>J50*HLOOKUP(J$49,'Conversions and Lookups'!$B$76:$AE$77, 2, 0)</f>
        <v>1461.019459665443</v>
      </c>
      <c r="K51" s="42">
        <f>K50*HLOOKUP(K$49,'Conversions and Lookups'!$B$76:$AE$77, 2, 0)</f>
        <v>1440.098698961295</v>
      </c>
      <c r="L51" s="42">
        <f>L50*HLOOKUP(L$49,'Conversions and Lookups'!$B$76:$AE$77, 2, 0)</f>
        <v>1247.2204769884356</v>
      </c>
      <c r="M51" s="42">
        <f>M50*HLOOKUP(M$49,'Conversions and Lookups'!$B$76:$AE$77, 2, 0)</f>
        <v>1163.8323521861382</v>
      </c>
      <c r="N51" s="42">
        <f>N50*HLOOKUP(N$49,'Conversions and Lookups'!$B$76:$AE$77, 2, 0)</f>
        <v>1150.4860411517016</v>
      </c>
      <c r="O51" s="42">
        <f>O50*HLOOKUP(O$49,'Conversions and Lookups'!$B$76:$AE$77, 2, 0)</f>
        <v>1148.6504351025021</v>
      </c>
      <c r="P51" s="42">
        <f>P50*HLOOKUP(P$49,'Conversions and Lookups'!$B$76:$AE$77, 2, 0)</f>
        <v>1167.8910895611848</v>
      </c>
      <c r="Q51" s="42">
        <f>Q50*HLOOKUP(Q$49,'Conversions and Lookups'!$B$76:$AE$77, 2, 0)</f>
        <v>1143.3796967734372</v>
      </c>
      <c r="R51" s="42">
        <f>R50*HLOOKUP(R$49,'Conversions and Lookups'!$B$76:$AE$77, 2, 0)</f>
        <v>1130.1126640870441</v>
      </c>
      <c r="S51" s="42">
        <f>S50*HLOOKUP(S$49,'Conversions and Lookups'!$B$76:$AE$77, 2, 0)</f>
        <v>1148.1735658546404</v>
      </c>
      <c r="T51" s="42">
        <f>T50*HLOOKUP(T$49,'Conversions and Lookups'!$B$76:$AE$77, 2, 0)</f>
        <v>1141.1694509146544</v>
      </c>
      <c r="U51" s="42">
        <f>U50*HLOOKUP(U$49,'Conversions and Lookups'!$B$76:$AE$77, 2, 0)</f>
        <v>1130.0327533985851</v>
      </c>
      <c r="V51" s="42">
        <f>V50*HLOOKUP(V$49,'Conversions and Lookups'!$B$76:$AE$77, 2, 0)</f>
        <v>1120.1800642124565</v>
      </c>
      <c r="W51" s="42">
        <f>W50*HLOOKUP(W$49,'Conversions and Lookups'!$B$76:$AE$77, 2, 0)</f>
        <v>1124.8595589969968</v>
      </c>
      <c r="X51" s="42">
        <f>X50*HLOOKUP(X$49,'Conversions and Lookups'!$B$76:$AE$77, 2, 0)</f>
        <v>1104.6215951325773</v>
      </c>
      <c r="Y51" s="42">
        <f>Y50*HLOOKUP(Y$49,'Conversions and Lookups'!$B$76:$AE$77, 2, 0)</f>
        <v>1058.6744749272543</v>
      </c>
      <c r="Z51" s="42">
        <f>Z50*HLOOKUP(Z$49,'Conversions and Lookups'!$B$76:$AE$77, 2, 0)</f>
        <v>1007.2540570393037</v>
      </c>
      <c r="AA51" s="42">
        <f>AA50*HLOOKUP(AA$49,'Conversions and Lookups'!$B$76:$AE$77, 2, 0)</f>
        <v>1010.2310064976382</v>
      </c>
      <c r="AB51" s="42">
        <f>AB50*HLOOKUP(AB$49,'Conversions and Lookups'!$B$76:$AE$77, 2, 0)</f>
        <v>962.90949867776101</v>
      </c>
      <c r="AC51" s="93">
        <f>SUM(C51:H51)</f>
        <v>7355.7868937056974</v>
      </c>
      <c r="AD51" s="93">
        <f>SUM(C51:AB51)</f>
        <v>30679.657674831193</v>
      </c>
    </row>
    <row r="52" spans="1:30" x14ac:dyDescent="0.35"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</row>
    <row r="53" spans="1:30" x14ac:dyDescent="0.35">
      <c r="B53" s="134" t="s">
        <v>84</v>
      </c>
      <c r="C53" s="134" t="s">
        <v>85</v>
      </c>
      <c r="D53" s="134" t="s">
        <v>86</v>
      </c>
      <c r="E53" s="133" t="s">
        <v>87</v>
      </c>
    </row>
    <row r="54" spans="1:30" x14ac:dyDescent="0.35">
      <c r="B54" s="135" t="s">
        <v>88</v>
      </c>
      <c r="C54" s="136">
        <v>476113790</v>
      </c>
      <c r="D54" s="137">
        <v>476112100</v>
      </c>
      <c r="E54" s="132">
        <f>D54-C54</f>
        <v>-1690</v>
      </c>
    </row>
    <row r="55" spans="1:30" x14ac:dyDescent="0.35">
      <c r="B55" s="153" t="s">
        <v>89</v>
      </c>
    </row>
    <row r="57" spans="1:30" s="9" customFormat="1" x14ac:dyDescent="0.35">
      <c r="A57" s="29" t="s">
        <v>90</v>
      </c>
    </row>
    <row r="59" spans="1:30" x14ac:dyDescent="0.35">
      <c r="B59" s="10" t="s">
        <v>56</v>
      </c>
    </row>
    <row r="60" spans="1:30" x14ac:dyDescent="0.35">
      <c r="B60" s="3" t="s">
        <v>57</v>
      </c>
      <c r="C60" s="3" t="s">
        <v>58</v>
      </c>
      <c r="D60" s="3" t="s">
        <v>91</v>
      </c>
      <c r="E60" s="3" t="s">
        <v>92</v>
      </c>
      <c r="F60" s="3" t="s">
        <v>93</v>
      </c>
      <c r="G60" s="3" t="s">
        <v>52</v>
      </c>
      <c r="H60" s="3" t="s">
        <v>61</v>
      </c>
      <c r="I60" s="3" t="s">
        <v>62</v>
      </c>
      <c r="J60" s="3" t="s">
        <v>94</v>
      </c>
      <c r="K60" s="3" t="s">
        <v>63</v>
      </c>
    </row>
    <row r="61" spans="1:30" x14ac:dyDescent="0.35">
      <c r="B61" s="3" t="s">
        <v>95</v>
      </c>
      <c r="C61" s="3" t="s">
        <v>96</v>
      </c>
      <c r="D61" s="88">
        <v>478570</v>
      </c>
      <c r="E61" s="90">
        <v>400</v>
      </c>
      <c r="F61" s="88">
        <v>7500</v>
      </c>
      <c r="G61" s="88">
        <f>F61*E61</f>
        <v>3000000</v>
      </c>
      <c r="H61" s="88">
        <v>8803.5750000000007</v>
      </c>
      <c r="I61" s="37">
        <f>H61*E61+D61</f>
        <v>4000000.0000000005</v>
      </c>
      <c r="J61" s="118" t="s">
        <v>97</v>
      </c>
      <c r="K61" s="151" t="s">
        <v>66</v>
      </c>
    </row>
    <row r="62" spans="1:30" x14ac:dyDescent="0.35">
      <c r="B62" s="3" t="s">
        <v>95</v>
      </c>
      <c r="C62" s="3" t="s">
        <v>98</v>
      </c>
      <c r="D62" s="88">
        <v>0</v>
      </c>
      <c r="E62" s="90">
        <v>30</v>
      </c>
      <c r="F62" s="88">
        <f>F71</f>
        <v>25000</v>
      </c>
      <c r="G62" s="88">
        <f t="shared" ref="G62:G72" si="4">F62*E62</f>
        <v>750000</v>
      </c>
      <c r="H62" s="88">
        <v>16666.666666666668</v>
      </c>
      <c r="I62" s="37">
        <f>H62*E62+D62</f>
        <v>500000.00000000006</v>
      </c>
      <c r="J62" s="3" t="s">
        <v>99</v>
      </c>
      <c r="K62" s="146" t="s">
        <v>100</v>
      </c>
    </row>
    <row r="63" spans="1:30" x14ac:dyDescent="0.35">
      <c r="B63" s="24" t="s">
        <v>101</v>
      </c>
      <c r="C63" s="3" t="s">
        <v>102</v>
      </c>
      <c r="D63" s="88">
        <v>185000</v>
      </c>
      <c r="E63" s="90">
        <v>28</v>
      </c>
      <c r="F63" s="116">
        <v>11250</v>
      </c>
      <c r="G63" s="88">
        <f t="shared" si="4"/>
        <v>315000</v>
      </c>
      <c r="H63" s="88">
        <v>11250</v>
      </c>
      <c r="I63" s="37">
        <f>H63*E63+D63</f>
        <v>500000</v>
      </c>
      <c r="J63" s="3" t="s">
        <v>103</v>
      </c>
      <c r="K63" s="3" t="s">
        <v>104</v>
      </c>
    </row>
    <row r="64" spans="1:30" x14ac:dyDescent="0.35">
      <c r="B64" s="23" t="s">
        <v>64</v>
      </c>
      <c r="C64" s="3" t="s">
        <v>65</v>
      </c>
      <c r="D64" s="89">
        <v>0.15</v>
      </c>
      <c r="E64" s="90">
        <v>1000</v>
      </c>
      <c r="F64" s="116">
        <v>10500</v>
      </c>
      <c r="G64" s="88">
        <f t="shared" si="4"/>
        <v>10500000</v>
      </c>
      <c r="H64" s="88">
        <v>7500</v>
      </c>
      <c r="I64" s="37">
        <f>H64*E64*(1+D64)</f>
        <v>8625000</v>
      </c>
      <c r="J64" s="3" t="s">
        <v>105</v>
      </c>
      <c r="K64" s="151" t="s">
        <v>66</v>
      </c>
      <c r="L64" s="30"/>
    </row>
    <row r="65" spans="2:11" x14ac:dyDescent="0.35">
      <c r="B65" s="24" t="s">
        <v>67</v>
      </c>
      <c r="C65" s="3" t="s">
        <v>106</v>
      </c>
      <c r="D65" s="88">
        <v>40000</v>
      </c>
      <c r="E65" s="90">
        <v>10</v>
      </c>
      <c r="F65" s="88">
        <f>F61</f>
        <v>7500</v>
      </c>
      <c r="G65" s="88">
        <f t="shared" si="4"/>
        <v>75000</v>
      </c>
      <c r="H65" s="88">
        <v>5000</v>
      </c>
      <c r="I65" s="37">
        <f>H65*E65+D65</f>
        <v>90000</v>
      </c>
      <c r="J65" s="3" t="s">
        <v>107</v>
      </c>
      <c r="K65" s="3" t="s">
        <v>104</v>
      </c>
    </row>
    <row r="66" spans="2:11" x14ac:dyDescent="0.35">
      <c r="B66" s="23" t="s">
        <v>69</v>
      </c>
      <c r="C66" s="3" t="s">
        <v>108</v>
      </c>
      <c r="D66" s="88">
        <v>0</v>
      </c>
      <c r="E66" s="91">
        <v>90</v>
      </c>
      <c r="F66" s="116">
        <v>90000</v>
      </c>
      <c r="G66" s="88">
        <f t="shared" si="4"/>
        <v>8100000</v>
      </c>
      <c r="H66" s="88">
        <v>55555.555555555555</v>
      </c>
      <c r="I66" s="37">
        <v>5000000</v>
      </c>
      <c r="J66" s="3" t="s">
        <v>109</v>
      </c>
      <c r="K66" s="151" t="s">
        <v>66</v>
      </c>
    </row>
    <row r="67" spans="2:11" x14ac:dyDescent="0.35">
      <c r="B67" s="23" t="s">
        <v>69</v>
      </c>
      <c r="C67" s="3" t="s">
        <v>110</v>
      </c>
      <c r="D67" s="88">
        <v>0</v>
      </c>
      <c r="E67" s="91">
        <v>250</v>
      </c>
      <c r="F67" s="116">
        <f>F71</f>
        <v>25000</v>
      </c>
      <c r="G67" s="88">
        <f t="shared" si="4"/>
        <v>6250000</v>
      </c>
      <c r="H67" s="88">
        <v>16000</v>
      </c>
      <c r="I67" s="37">
        <f>H67*E67+D67</f>
        <v>4000000</v>
      </c>
      <c r="J67" s="3" t="s">
        <v>111</v>
      </c>
      <c r="K67" s="151" t="s">
        <v>66</v>
      </c>
    </row>
    <row r="68" spans="2:11" x14ac:dyDescent="0.35">
      <c r="B68" s="23" t="s">
        <v>69</v>
      </c>
      <c r="C68" s="3" t="s">
        <v>112</v>
      </c>
      <c r="D68" s="88">
        <v>100000</v>
      </c>
      <c r="E68" s="91">
        <v>80</v>
      </c>
      <c r="F68" s="116">
        <f>F63</f>
        <v>11250</v>
      </c>
      <c r="G68" s="88">
        <f t="shared" si="4"/>
        <v>900000</v>
      </c>
      <c r="H68" s="88">
        <v>5000</v>
      </c>
      <c r="I68" s="37">
        <f>H68*E68+D68</f>
        <v>500000</v>
      </c>
      <c r="J68" s="3" t="s">
        <v>111</v>
      </c>
      <c r="K68" s="151" t="s">
        <v>66</v>
      </c>
    </row>
    <row r="69" spans="2:11" x14ac:dyDescent="0.35">
      <c r="B69" s="23" t="s">
        <v>113</v>
      </c>
      <c r="C69" s="3" t="s">
        <v>96</v>
      </c>
      <c r="D69" s="88">
        <v>0</v>
      </c>
      <c r="E69" s="91">
        <v>60</v>
      </c>
      <c r="F69" s="116">
        <f>F63</f>
        <v>11250</v>
      </c>
      <c r="G69" s="88">
        <f t="shared" si="4"/>
        <v>675000</v>
      </c>
      <c r="H69" s="88">
        <v>8333.3333333333339</v>
      </c>
      <c r="I69" s="37">
        <f>H69*E69+D69</f>
        <v>500000.00000000006</v>
      </c>
      <c r="J69" s="3" t="s">
        <v>107</v>
      </c>
      <c r="K69" s="3" t="s">
        <v>104</v>
      </c>
    </row>
    <row r="70" spans="2:11" x14ac:dyDescent="0.35">
      <c r="B70" s="23" t="s">
        <v>114</v>
      </c>
      <c r="C70" s="3" t="s">
        <v>115</v>
      </c>
      <c r="D70" s="88">
        <f>(375000+160)*6</f>
        <v>2250960</v>
      </c>
      <c r="E70" s="91">
        <v>220</v>
      </c>
      <c r="F70" s="116">
        <f>F71</f>
        <v>25000</v>
      </c>
      <c r="G70" s="88">
        <f t="shared" si="4"/>
        <v>5500000</v>
      </c>
      <c r="H70" s="88">
        <v>22000</v>
      </c>
      <c r="I70" s="37">
        <f>H70*E70+D70</f>
        <v>7090960</v>
      </c>
      <c r="J70" s="3" t="s">
        <v>116</v>
      </c>
      <c r="K70" s="151" t="s">
        <v>66</v>
      </c>
    </row>
    <row r="71" spans="2:11" x14ac:dyDescent="0.35">
      <c r="B71" s="23" t="s">
        <v>117</v>
      </c>
      <c r="C71" s="3" t="s">
        <v>118</v>
      </c>
      <c r="D71" s="88">
        <v>0</v>
      </c>
      <c r="E71" s="91">
        <v>25</v>
      </c>
      <c r="F71" s="116">
        <v>25000</v>
      </c>
      <c r="G71" s="88">
        <f t="shared" si="4"/>
        <v>625000</v>
      </c>
      <c r="H71" s="88">
        <v>25000</v>
      </c>
      <c r="I71" s="37">
        <f>H71*E71+D71</f>
        <v>625000</v>
      </c>
      <c r="J71" s="3" t="s">
        <v>107</v>
      </c>
      <c r="K71" s="3" t="s">
        <v>104</v>
      </c>
    </row>
    <row r="72" spans="2:11" x14ac:dyDescent="0.35">
      <c r="B72" s="23" t="s">
        <v>119</v>
      </c>
      <c r="C72" s="3" t="s">
        <v>120</v>
      </c>
      <c r="D72" s="119">
        <v>0.13200000000000001</v>
      </c>
      <c r="E72" s="91">
        <v>500</v>
      </c>
      <c r="F72" s="116">
        <v>8285</v>
      </c>
      <c r="G72" s="88">
        <f t="shared" si="4"/>
        <v>4142500</v>
      </c>
      <c r="H72" s="88">
        <v>8300</v>
      </c>
      <c r="I72" s="37">
        <f>H72*E72*(1+D72)</f>
        <v>4697800.0000000009</v>
      </c>
      <c r="J72" s="3" t="s">
        <v>121</v>
      </c>
      <c r="K72" s="151" t="s">
        <v>66</v>
      </c>
    </row>
    <row r="73" spans="2:11" x14ac:dyDescent="0.35">
      <c r="B73" s="23" t="s">
        <v>17</v>
      </c>
      <c r="C73" s="3" t="s">
        <v>75</v>
      </c>
      <c r="D73" s="119"/>
      <c r="E73" s="147">
        <f>SUM(E61:E72)</f>
        <v>2693</v>
      </c>
      <c r="F73" s="116"/>
      <c r="G73" s="148">
        <f>SUM(G61:G72)</f>
        <v>40832500</v>
      </c>
      <c r="H73" s="88"/>
      <c r="I73" s="157">
        <f>SUM(I61:I72)</f>
        <v>36128760</v>
      </c>
      <c r="J73" s="3"/>
      <c r="K73" s="151"/>
    </row>
    <row r="74" spans="2:11" x14ac:dyDescent="0.35">
      <c r="B74" s="15"/>
      <c r="E74" s="139"/>
      <c r="G74" s="128"/>
      <c r="H74" s="86"/>
      <c r="I74" s="128"/>
      <c r="J74" s="35"/>
    </row>
    <row r="75" spans="2:11" x14ac:dyDescent="0.35">
      <c r="B75" s="10" t="s">
        <v>39</v>
      </c>
      <c r="I75" s="117"/>
    </row>
    <row r="76" spans="2:11" x14ac:dyDescent="0.35">
      <c r="B76" s="3" t="s">
        <v>40</v>
      </c>
      <c r="C76" s="3" t="s">
        <v>41</v>
      </c>
      <c r="D76" s="3" t="s">
        <v>42</v>
      </c>
      <c r="E76" s="3" t="s">
        <v>63</v>
      </c>
    </row>
    <row r="77" spans="2:11" x14ac:dyDescent="0.35">
      <c r="B77" s="23" t="s">
        <v>122</v>
      </c>
      <c r="C77" s="27">
        <v>89</v>
      </c>
      <c r="D77" s="3" t="s">
        <v>123</v>
      </c>
      <c r="E77" s="146" t="s">
        <v>124</v>
      </c>
    </row>
    <row r="78" spans="2:11" x14ac:dyDescent="0.35">
      <c r="B78" s="23" t="s">
        <v>125</v>
      </c>
      <c r="C78" s="27">
        <v>28.241895261845389</v>
      </c>
      <c r="D78" s="3" t="s">
        <v>123</v>
      </c>
      <c r="E78" s="3" t="s">
        <v>124</v>
      </c>
    </row>
    <row r="79" spans="2:11" x14ac:dyDescent="0.35">
      <c r="B79" s="23" t="s">
        <v>126</v>
      </c>
      <c r="C79" s="27">
        <v>47.381546134663346</v>
      </c>
      <c r="D79" s="3" t="s">
        <v>123</v>
      </c>
      <c r="E79" s="3" t="s">
        <v>124</v>
      </c>
    </row>
    <row r="80" spans="2:11" x14ac:dyDescent="0.35">
      <c r="B80" s="23" t="s">
        <v>127</v>
      </c>
      <c r="C80" s="27">
        <v>3.2418952618453867</v>
      </c>
      <c r="D80" s="3" t="s">
        <v>123</v>
      </c>
      <c r="E80" s="3" t="s">
        <v>124</v>
      </c>
    </row>
    <row r="81" spans="2:5" x14ac:dyDescent="0.35">
      <c r="B81" s="3" t="s">
        <v>128</v>
      </c>
      <c r="C81" s="27">
        <v>10.16209476309227</v>
      </c>
      <c r="D81" s="3" t="s">
        <v>123</v>
      </c>
      <c r="E81" s="3" t="s">
        <v>124</v>
      </c>
    </row>
    <row r="82" spans="2:5" x14ac:dyDescent="0.35">
      <c r="B82" s="3" t="s">
        <v>129</v>
      </c>
      <c r="C82" s="27">
        <v>43.91</v>
      </c>
      <c r="D82" s="3" t="s">
        <v>123</v>
      </c>
      <c r="E82" s="3" t="s">
        <v>130</v>
      </c>
    </row>
    <row r="83" spans="2:5" x14ac:dyDescent="0.35">
      <c r="B83" s="3" t="s">
        <v>131</v>
      </c>
      <c r="C83" s="3">
        <v>3.5</v>
      </c>
      <c r="D83" s="3" t="s">
        <v>132</v>
      </c>
      <c r="E83" s="3" t="s">
        <v>133</v>
      </c>
    </row>
    <row r="84" spans="2:5" x14ac:dyDescent="0.35">
      <c r="B84" s="3" t="s">
        <v>134</v>
      </c>
      <c r="C84" s="3">
        <f>'NREL Efficiency Measures Data'!E4*100</f>
        <v>80</v>
      </c>
      <c r="D84" s="3" t="s">
        <v>51</v>
      </c>
      <c r="E84" s="146" t="s">
        <v>100</v>
      </c>
    </row>
    <row r="85" spans="2:5" x14ac:dyDescent="0.35">
      <c r="B85" s="3" t="s">
        <v>135</v>
      </c>
      <c r="C85" s="3">
        <v>20</v>
      </c>
      <c r="D85" s="3" t="s">
        <v>54</v>
      </c>
      <c r="E85" s="3" t="s">
        <v>136</v>
      </c>
    </row>
    <row r="87" spans="2:5" x14ac:dyDescent="0.35">
      <c r="B87" s="20" t="s">
        <v>137</v>
      </c>
      <c r="C87" s="20" t="s">
        <v>33</v>
      </c>
      <c r="D87" s="20" t="s">
        <v>42</v>
      </c>
    </row>
    <row r="88" spans="2:5" x14ac:dyDescent="0.35">
      <c r="B88" s="3" t="s">
        <v>138</v>
      </c>
      <c r="C88" s="45">
        <f>C82</f>
        <v>43.91</v>
      </c>
      <c r="D88" s="3" t="s">
        <v>139</v>
      </c>
    </row>
    <row r="89" spans="2:5" x14ac:dyDescent="0.35">
      <c r="B89" s="3" t="s">
        <v>140</v>
      </c>
      <c r="C89" s="45">
        <f>C88*C84%</f>
        <v>35.128</v>
      </c>
      <c r="D89" s="3" t="s">
        <v>139</v>
      </c>
    </row>
    <row r="90" spans="2:5" ht="16.5" x14ac:dyDescent="0.45">
      <c r="B90" s="3" t="s">
        <v>141</v>
      </c>
      <c r="C90" s="5">
        <f>$C$88*'Conversions and Lookups'!$C$107*'Conversions and Lookups'!$C$10</f>
        <v>2.332257695</v>
      </c>
      <c r="D90" s="3" t="s">
        <v>142</v>
      </c>
    </row>
    <row r="91" spans="2:5" x14ac:dyDescent="0.35">
      <c r="C91" s="94"/>
    </row>
    <row r="92" spans="2:5" x14ac:dyDescent="0.35">
      <c r="B92" s="20" t="s">
        <v>143</v>
      </c>
      <c r="C92" s="20" t="s">
        <v>33</v>
      </c>
      <c r="D92" s="20" t="s">
        <v>42</v>
      </c>
    </row>
    <row r="93" spans="2:5" x14ac:dyDescent="0.35">
      <c r="B93" s="3" t="s">
        <v>144</v>
      </c>
      <c r="C93" s="45">
        <f>C89*'Conversions and Lookups'!$C$11</f>
        <v>10296.016800000001</v>
      </c>
      <c r="D93" s="3" t="s">
        <v>145</v>
      </c>
    </row>
    <row r="94" spans="2:5" x14ac:dyDescent="0.35">
      <c r="B94" s="3" t="s">
        <v>146</v>
      </c>
      <c r="C94" s="45">
        <f>C93/$C$83</f>
        <v>2941.7190857142859</v>
      </c>
      <c r="D94" s="3" t="s">
        <v>145</v>
      </c>
    </row>
    <row r="95" spans="2:5" x14ac:dyDescent="0.35">
      <c r="C95" s="32"/>
      <c r="D95" s="117"/>
    </row>
    <row r="96" spans="2:5" x14ac:dyDescent="0.35">
      <c r="B96" s="10" t="s">
        <v>147</v>
      </c>
    </row>
    <row r="97" spans="2:15" x14ac:dyDescent="0.35">
      <c r="B97" s="3" t="s">
        <v>57</v>
      </c>
      <c r="C97" s="3" t="s">
        <v>58</v>
      </c>
      <c r="D97" s="3" t="s">
        <v>148</v>
      </c>
      <c r="E97" s="3" t="s">
        <v>149</v>
      </c>
      <c r="F97" s="3" t="s">
        <v>150</v>
      </c>
      <c r="G97" s="3" t="s">
        <v>151</v>
      </c>
    </row>
    <row r="98" spans="2:15" x14ac:dyDescent="0.35">
      <c r="B98" s="3" t="s">
        <v>95</v>
      </c>
      <c r="C98" s="3" t="s">
        <v>152</v>
      </c>
      <c r="D98" s="27">
        <f>E61/5</f>
        <v>80</v>
      </c>
      <c r="E98" s="87" t="str">
        <f t="shared" ref="E98:E109" si="5">J61</f>
        <v>34% (30 MMBtu/home)</v>
      </c>
      <c r="F98" s="87">
        <v>0.34</v>
      </c>
      <c r="G98" s="5">
        <f>(F98)*$C$77</f>
        <v>30.26</v>
      </c>
    </row>
    <row r="99" spans="2:15" x14ac:dyDescent="0.35">
      <c r="B99" s="3" t="s">
        <v>95</v>
      </c>
      <c r="C99" s="3" t="s">
        <v>98</v>
      </c>
      <c r="D99" s="27">
        <f>E62/5</f>
        <v>6</v>
      </c>
      <c r="E99" s="87" t="str">
        <f t="shared" si="5"/>
        <v>Air Source Heat Pump - replacing gas</v>
      </c>
      <c r="F99" s="3"/>
      <c r="G99" s="124">
        <f>C94/'Conversions and Lookups'!$C$11</f>
        <v>10.036571428571429</v>
      </c>
    </row>
    <row r="100" spans="2:15" x14ac:dyDescent="0.35">
      <c r="B100" s="24" t="s">
        <v>101</v>
      </c>
      <c r="C100" s="3" t="s">
        <v>102</v>
      </c>
      <c r="D100" s="27">
        <f>E63/5</f>
        <v>5.6</v>
      </c>
      <c r="E100" s="87" t="str">
        <f t="shared" si="5"/>
        <v>25% Assumed</v>
      </c>
      <c r="F100" s="87">
        <v>0.25</v>
      </c>
      <c r="G100" s="5">
        <f>(F100)*$C$77</f>
        <v>22.25</v>
      </c>
    </row>
    <row r="101" spans="2:15" x14ac:dyDescent="0.35">
      <c r="B101" s="23" t="s">
        <v>64</v>
      </c>
      <c r="C101" s="3" t="s">
        <v>65</v>
      </c>
      <c r="D101" s="27">
        <f t="shared" ref="D101:D109" si="6">E64/5</f>
        <v>200</v>
      </c>
      <c r="E101" s="87" t="str">
        <f t="shared" si="5"/>
        <v>15% minimum savings required; avg attained was 17%</v>
      </c>
      <c r="F101" s="87">
        <v>0.15</v>
      </c>
      <c r="G101" s="5">
        <f t="shared" ref="G101:G109" si="7">(F101)*$C$77</f>
        <v>13.35</v>
      </c>
    </row>
    <row r="102" spans="2:15" x14ac:dyDescent="0.35">
      <c r="B102" s="24" t="s">
        <v>67</v>
      </c>
      <c r="C102" s="3" t="s">
        <v>106</v>
      </c>
      <c r="D102" s="27">
        <f t="shared" si="6"/>
        <v>2</v>
      </c>
      <c r="E102" s="87" t="str">
        <f t="shared" si="5"/>
        <v>15% Assumed</v>
      </c>
      <c r="F102" s="87">
        <v>0.15</v>
      </c>
      <c r="G102" s="5">
        <f t="shared" si="7"/>
        <v>13.35</v>
      </c>
    </row>
    <row r="103" spans="2:15" x14ac:dyDescent="0.35">
      <c r="B103" s="23" t="s">
        <v>69</v>
      </c>
      <c r="C103" s="3" t="s">
        <v>108</v>
      </c>
      <c r="D103" s="27">
        <f t="shared" si="6"/>
        <v>18</v>
      </c>
      <c r="E103" s="87" t="str">
        <f t="shared" si="5"/>
        <v>35% expected</v>
      </c>
      <c r="F103" s="87">
        <v>0.35</v>
      </c>
      <c r="G103" s="5">
        <f t="shared" si="7"/>
        <v>31.15</v>
      </c>
    </row>
    <row r="104" spans="2:15" x14ac:dyDescent="0.35">
      <c r="B104" s="23" t="s">
        <v>69</v>
      </c>
      <c r="C104" s="3" t="s">
        <v>110</v>
      </c>
      <c r="D104" s="27">
        <f t="shared" si="6"/>
        <v>50</v>
      </c>
      <c r="E104" s="87" t="str">
        <f t="shared" si="5"/>
        <v>25% expected</v>
      </c>
      <c r="F104" s="87">
        <v>0.25</v>
      </c>
      <c r="G104" s="5">
        <f t="shared" si="7"/>
        <v>22.25</v>
      </c>
    </row>
    <row r="105" spans="2:15" x14ac:dyDescent="0.35">
      <c r="B105" s="23" t="s">
        <v>69</v>
      </c>
      <c r="C105" s="3" t="s">
        <v>112</v>
      </c>
      <c r="D105" s="27">
        <f t="shared" si="6"/>
        <v>16</v>
      </c>
      <c r="E105" s="87" t="str">
        <f t="shared" si="5"/>
        <v>25% expected</v>
      </c>
      <c r="F105" s="87">
        <v>0.25</v>
      </c>
      <c r="G105" s="5">
        <f t="shared" si="7"/>
        <v>22.25</v>
      </c>
    </row>
    <row r="106" spans="2:15" x14ac:dyDescent="0.35">
      <c r="B106" s="23" t="s">
        <v>113</v>
      </c>
      <c r="C106" s="3" t="s">
        <v>96</v>
      </c>
      <c r="D106" s="27">
        <f t="shared" si="6"/>
        <v>12</v>
      </c>
      <c r="E106" s="87" t="str">
        <f t="shared" si="5"/>
        <v>15% Assumed</v>
      </c>
      <c r="F106" s="87">
        <v>0.15</v>
      </c>
      <c r="G106" s="5">
        <f t="shared" si="7"/>
        <v>13.35</v>
      </c>
    </row>
    <row r="107" spans="2:15" x14ac:dyDescent="0.35">
      <c r="B107" s="23" t="s">
        <v>114</v>
      </c>
      <c r="C107" s="3" t="s">
        <v>115</v>
      </c>
      <c r="D107" s="27">
        <f t="shared" si="6"/>
        <v>44</v>
      </c>
      <c r="E107" s="87" t="str">
        <f t="shared" si="5"/>
        <v>20% expected</v>
      </c>
      <c r="F107" s="87">
        <v>0.2</v>
      </c>
      <c r="G107" s="5">
        <f t="shared" si="7"/>
        <v>17.8</v>
      </c>
    </row>
    <row r="108" spans="2:15" x14ac:dyDescent="0.35">
      <c r="B108" s="23" t="s">
        <v>117</v>
      </c>
      <c r="C108" s="3" t="s">
        <v>118</v>
      </c>
      <c r="D108" s="27">
        <f t="shared" si="6"/>
        <v>5</v>
      </c>
      <c r="E108" s="87" t="str">
        <f t="shared" si="5"/>
        <v>15% Assumed</v>
      </c>
      <c r="F108" s="87">
        <v>0.15</v>
      </c>
      <c r="G108" s="5">
        <f t="shared" si="7"/>
        <v>13.35</v>
      </c>
    </row>
    <row r="109" spans="2:15" x14ac:dyDescent="0.35">
      <c r="B109" s="23" t="s">
        <v>119</v>
      </c>
      <c r="C109" s="3" t="s">
        <v>120</v>
      </c>
      <c r="D109" s="27">
        <f t="shared" si="6"/>
        <v>100</v>
      </c>
      <c r="E109" s="87" t="str">
        <f t="shared" si="5"/>
        <v>15% expected</v>
      </c>
      <c r="F109" s="87">
        <v>0.15</v>
      </c>
      <c r="G109" s="5">
        <f t="shared" si="7"/>
        <v>13.35</v>
      </c>
    </row>
    <row r="110" spans="2:15" x14ac:dyDescent="0.35">
      <c r="C110" s="32"/>
      <c r="D110" s="117"/>
    </row>
    <row r="111" spans="2:15" x14ac:dyDescent="0.35">
      <c r="B111" s="10" t="s">
        <v>153</v>
      </c>
      <c r="C111" s="32"/>
      <c r="D111" s="117"/>
    </row>
    <row r="112" spans="2:15" x14ac:dyDescent="0.35">
      <c r="B112" s="3" t="s">
        <v>154</v>
      </c>
      <c r="C112" s="3" t="s">
        <v>155</v>
      </c>
      <c r="D112" s="3" t="s">
        <v>152</v>
      </c>
      <c r="E112" s="3" t="s">
        <v>98</v>
      </c>
      <c r="F112" s="3" t="s">
        <v>102</v>
      </c>
      <c r="G112" s="3" t="s">
        <v>65</v>
      </c>
      <c r="H112" s="3" t="s">
        <v>106</v>
      </c>
      <c r="I112" s="3" t="s">
        <v>108</v>
      </c>
      <c r="J112" s="3" t="s">
        <v>110</v>
      </c>
      <c r="K112" s="3" t="s">
        <v>112</v>
      </c>
      <c r="L112" s="3" t="s">
        <v>96</v>
      </c>
      <c r="M112" s="3" t="s">
        <v>115</v>
      </c>
      <c r="N112" s="3" t="s">
        <v>118</v>
      </c>
      <c r="O112" s="3" t="s">
        <v>120</v>
      </c>
    </row>
    <row r="113" spans="1:16" x14ac:dyDescent="0.35">
      <c r="B113" s="3" t="s">
        <v>125</v>
      </c>
      <c r="C113" s="5">
        <f>VLOOKUP($B113,$B$77:$C$81, 2, 0)</f>
        <v>28.241895261845389</v>
      </c>
      <c r="D113" s="45">
        <f>(1-F$98)*$C113</f>
        <v>18.639650872817956</v>
      </c>
      <c r="E113" s="45">
        <f>C113+$G$99</f>
        <v>38.27846669041682</v>
      </c>
      <c r="F113" s="45">
        <f t="shared" ref="F113:O116" si="8">(1-VLOOKUP(F$112,$C$97:$F$109, 4, 0))*$C113</f>
        <v>21.181421446384043</v>
      </c>
      <c r="G113" s="45">
        <f t="shared" si="8"/>
        <v>24.005610972568579</v>
      </c>
      <c r="H113" s="45">
        <f t="shared" si="8"/>
        <v>24.005610972568579</v>
      </c>
      <c r="I113" s="45">
        <f t="shared" si="8"/>
        <v>18.357231920199503</v>
      </c>
      <c r="J113" s="45">
        <f t="shared" si="8"/>
        <v>21.181421446384043</v>
      </c>
      <c r="K113" s="45">
        <f t="shared" si="8"/>
        <v>21.181421446384043</v>
      </c>
      <c r="L113" s="45">
        <f t="shared" si="8"/>
        <v>24.005610972568579</v>
      </c>
      <c r="M113" s="45">
        <f t="shared" si="8"/>
        <v>22.593516209476313</v>
      </c>
      <c r="N113" s="45">
        <f t="shared" si="8"/>
        <v>24.005610972568579</v>
      </c>
      <c r="O113" s="45">
        <f t="shared" si="8"/>
        <v>24.005610972568579</v>
      </c>
    </row>
    <row r="114" spans="1:16" x14ac:dyDescent="0.35">
      <c r="B114" s="3" t="s">
        <v>126</v>
      </c>
      <c r="C114" s="5">
        <f t="shared" ref="C114:C117" si="9">VLOOKUP($B114,$B$77:$C$81, 2, 0)</f>
        <v>47.381546134663346</v>
      </c>
      <c r="D114" s="45">
        <f>(1-F$98)*$C114</f>
        <v>31.271820448877804</v>
      </c>
      <c r="E114" s="45">
        <f>C114-$C$88</f>
        <v>3.4715461346633489</v>
      </c>
      <c r="F114" s="45">
        <f t="shared" si="8"/>
        <v>35.536159600997507</v>
      </c>
      <c r="G114" s="45">
        <f t="shared" si="8"/>
        <v>40.274314214463843</v>
      </c>
      <c r="H114" s="45">
        <f t="shared" si="8"/>
        <v>40.274314214463843</v>
      </c>
      <c r="I114" s="45">
        <f t="shared" si="8"/>
        <v>30.798004987531176</v>
      </c>
      <c r="J114" s="45">
        <f t="shared" si="8"/>
        <v>35.536159600997507</v>
      </c>
      <c r="K114" s="45">
        <f t="shared" si="8"/>
        <v>35.536159600997507</v>
      </c>
      <c r="L114" s="45">
        <f t="shared" si="8"/>
        <v>40.274314214463843</v>
      </c>
      <c r="M114" s="45">
        <f t="shared" si="8"/>
        <v>37.905236907730675</v>
      </c>
      <c r="N114" s="45">
        <f t="shared" si="8"/>
        <v>40.274314214463843</v>
      </c>
      <c r="O114" s="45">
        <f t="shared" si="8"/>
        <v>40.274314214463843</v>
      </c>
    </row>
    <row r="115" spans="1:16" x14ac:dyDescent="0.35">
      <c r="B115" s="3" t="s">
        <v>127</v>
      </c>
      <c r="C115" s="5">
        <f t="shared" si="9"/>
        <v>3.2418952618453867</v>
      </c>
      <c r="D115" s="45">
        <f>(1-F$98)*$C115</f>
        <v>2.1396508728179549</v>
      </c>
      <c r="E115" s="45">
        <f>C115</f>
        <v>3.2418952618453867</v>
      </c>
      <c r="F115" s="45">
        <f t="shared" si="8"/>
        <v>2.4314214463840402</v>
      </c>
      <c r="G115" s="45">
        <f t="shared" si="8"/>
        <v>2.7556109725685785</v>
      </c>
      <c r="H115" s="45">
        <f t="shared" si="8"/>
        <v>2.7556109725685785</v>
      </c>
      <c r="I115" s="45">
        <f t="shared" si="8"/>
        <v>2.1072319201995016</v>
      </c>
      <c r="J115" s="45">
        <f t="shared" si="8"/>
        <v>2.4314214463840402</v>
      </c>
      <c r="K115" s="45">
        <f t="shared" si="8"/>
        <v>2.4314214463840402</v>
      </c>
      <c r="L115" s="45">
        <f t="shared" si="8"/>
        <v>2.7556109725685785</v>
      </c>
      <c r="M115" s="45">
        <f t="shared" si="8"/>
        <v>2.5935162094763093</v>
      </c>
      <c r="N115" s="45">
        <f t="shared" si="8"/>
        <v>2.7556109725685785</v>
      </c>
      <c r="O115" s="45">
        <f t="shared" si="8"/>
        <v>2.7556109725685785</v>
      </c>
    </row>
    <row r="116" spans="1:16" x14ac:dyDescent="0.35">
      <c r="B116" s="3" t="s">
        <v>128</v>
      </c>
      <c r="C116" s="5">
        <f t="shared" si="9"/>
        <v>10.16209476309227</v>
      </c>
      <c r="D116" s="45">
        <f>(1-F$98)*$C116</f>
        <v>6.7069825436408976</v>
      </c>
      <c r="E116" s="45">
        <f>C116</f>
        <v>10.16209476309227</v>
      </c>
      <c r="F116" s="45">
        <f t="shared" si="8"/>
        <v>7.6215710723192025</v>
      </c>
      <c r="G116" s="45">
        <f t="shared" si="8"/>
        <v>8.6377805486284291</v>
      </c>
      <c r="H116" s="45">
        <f t="shared" si="8"/>
        <v>8.6377805486284291</v>
      </c>
      <c r="I116" s="45">
        <f t="shared" si="8"/>
        <v>6.6053615960099759</v>
      </c>
      <c r="J116" s="45">
        <f t="shared" si="8"/>
        <v>7.6215710723192025</v>
      </c>
      <c r="K116" s="45">
        <f t="shared" si="8"/>
        <v>7.6215710723192025</v>
      </c>
      <c r="L116" s="45">
        <f t="shared" si="8"/>
        <v>8.6377805486284291</v>
      </c>
      <c r="M116" s="45">
        <f t="shared" si="8"/>
        <v>8.1296758104738167</v>
      </c>
      <c r="N116" s="45">
        <f t="shared" si="8"/>
        <v>8.6377805486284291</v>
      </c>
      <c r="O116" s="45">
        <f t="shared" si="8"/>
        <v>8.6377805486284291</v>
      </c>
    </row>
    <row r="117" spans="1:16" x14ac:dyDescent="0.35">
      <c r="B117" s="3" t="s">
        <v>122</v>
      </c>
      <c r="C117" s="5">
        <f t="shared" si="9"/>
        <v>89</v>
      </c>
      <c r="D117" s="45">
        <f>SUM(D113:D116)</f>
        <v>58.758104738154607</v>
      </c>
      <c r="E117" s="45">
        <f t="shared" ref="E117:G117" si="10">SUM(E113:E116)</f>
        <v>55.154002850017825</v>
      </c>
      <c r="F117" s="45">
        <f t="shared" si="10"/>
        <v>66.770573566084792</v>
      </c>
      <c r="G117" s="45">
        <f t="shared" si="10"/>
        <v>75.673316708229422</v>
      </c>
      <c r="H117" s="45">
        <f t="shared" ref="H117" si="11">SUM(H113:H116)</f>
        <v>75.673316708229422</v>
      </c>
      <c r="I117" s="45">
        <f t="shared" ref="I117" si="12">SUM(I113:I116)</f>
        <v>57.867830423940163</v>
      </c>
      <c r="J117" s="45">
        <f t="shared" ref="J117" si="13">SUM(J113:J116)</f>
        <v>66.770573566084792</v>
      </c>
      <c r="K117" s="45">
        <f t="shared" ref="K117" si="14">SUM(K113:K116)</f>
        <v>66.770573566084792</v>
      </c>
      <c r="L117" s="45">
        <f t="shared" ref="L117" si="15">SUM(L113:L116)</f>
        <v>75.673316708229422</v>
      </c>
      <c r="M117" s="45">
        <f t="shared" ref="M117" si="16">SUM(M113:M116)</f>
        <v>71.221945137157107</v>
      </c>
      <c r="N117" s="45">
        <f t="shared" ref="N117" si="17">SUM(N113:N116)</f>
        <v>75.673316708229422</v>
      </c>
      <c r="O117" s="45">
        <f t="shared" ref="O117" si="18">SUM(O113:O116)</f>
        <v>75.673316708229422</v>
      </c>
    </row>
    <row r="118" spans="1:16" x14ac:dyDescent="0.35">
      <c r="D118" s="117">
        <f>D117/$C$117-1</f>
        <v>-0.33979657597579094</v>
      </c>
      <c r="E118" s="117">
        <f>E117/$C$117-1</f>
        <v>-0.38029210280878845</v>
      </c>
      <c r="F118" s="117">
        <f t="shared" ref="F118:O118" si="19">F117/$C$117-1</f>
        <v>-0.2497688363361259</v>
      </c>
      <c r="G118" s="117">
        <f t="shared" si="19"/>
        <v>-0.14973801451427615</v>
      </c>
      <c r="H118" s="117">
        <f t="shared" si="19"/>
        <v>-0.14973801451427615</v>
      </c>
      <c r="I118" s="117">
        <f t="shared" si="19"/>
        <v>-0.34979965815797565</v>
      </c>
      <c r="J118" s="117">
        <f t="shared" si="19"/>
        <v>-0.2497688363361259</v>
      </c>
      <c r="K118" s="117">
        <f t="shared" si="19"/>
        <v>-0.2497688363361259</v>
      </c>
      <c r="L118" s="117">
        <f t="shared" si="19"/>
        <v>-0.14973801451427615</v>
      </c>
      <c r="M118" s="117">
        <f t="shared" si="19"/>
        <v>-0.19975342542520103</v>
      </c>
      <c r="N118" s="117">
        <f t="shared" si="19"/>
        <v>-0.14973801451427615</v>
      </c>
      <c r="O118" s="117">
        <f t="shared" si="19"/>
        <v>-0.14973801451427615</v>
      </c>
      <c r="P118" s="117"/>
    </row>
    <row r="119" spans="1:16" x14ac:dyDescent="0.35"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</row>
    <row r="120" spans="1:16" s="9" customFormat="1" x14ac:dyDescent="0.35">
      <c r="A120" s="29" t="s">
        <v>156</v>
      </c>
    </row>
    <row r="122" spans="1:16" x14ac:dyDescent="0.35">
      <c r="B122" s="10" t="s">
        <v>157</v>
      </c>
      <c r="E122" s="163" t="s">
        <v>158</v>
      </c>
      <c r="F122" s="164"/>
      <c r="G122" s="164"/>
      <c r="H122" s="165"/>
    </row>
    <row r="123" spans="1:16" x14ac:dyDescent="0.35">
      <c r="B123" s="3" t="s">
        <v>57</v>
      </c>
      <c r="C123" s="3" t="s">
        <v>58</v>
      </c>
      <c r="D123" s="3" t="s">
        <v>159</v>
      </c>
      <c r="E123" s="3" t="s">
        <v>160</v>
      </c>
      <c r="F123" s="3" t="s">
        <v>161</v>
      </c>
      <c r="G123" s="3" t="s">
        <v>162</v>
      </c>
      <c r="H123" s="3" t="s">
        <v>163</v>
      </c>
    </row>
    <row r="124" spans="1:16" x14ac:dyDescent="0.35">
      <c r="B124" s="3" t="s">
        <v>95</v>
      </c>
      <c r="C124" s="3" t="s">
        <v>96</v>
      </c>
      <c r="D124" s="27">
        <f>VLOOKUP($C124,$C$60:$E$72, 3, 0)/5</f>
        <v>80</v>
      </c>
      <c r="E124" s="27">
        <f t="shared" ref="E124:E135" si="20">$D124*C$113</f>
        <v>2259.3516209476311</v>
      </c>
      <c r="F124" s="27">
        <f t="shared" ref="F124:F135" si="21">$D124*C$114</f>
        <v>3790.5236907730678</v>
      </c>
      <c r="G124" s="27">
        <f t="shared" ref="G124:G135" si="22">$D124*C$115</f>
        <v>259.35162094763092</v>
      </c>
      <c r="H124" s="27">
        <f t="shared" ref="H124:H135" si="23">$D124*C$116</f>
        <v>812.9675810473816</v>
      </c>
    </row>
    <row r="125" spans="1:16" x14ac:dyDescent="0.35">
      <c r="B125" s="3" t="s">
        <v>95</v>
      </c>
      <c r="C125" s="3" t="s">
        <v>98</v>
      </c>
      <c r="D125" s="27">
        <f t="shared" ref="D125:D135" si="24">VLOOKUP($C125,$C$60:$E$72, 3, 0)/5</f>
        <v>6</v>
      </c>
      <c r="E125" s="27">
        <f t="shared" si="20"/>
        <v>169.45137157107234</v>
      </c>
      <c r="F125" s="27">
        <f t="shared" si="21"/>
        <v>284.28927680798006</v>
      </c>
      <c r="G125" s="27">
        <f t="shared" si="22"/>
        <v>19.451371571072322</v>
      </c>
      <c r="H125" s="27">
        <f t="shared" si="23"/>
        <v>60.97256857855362</v>
      </c>
    </row>
    <row r="126" spans="1:16" x14ac:dyDescent="0.35">
      <c r="B126" s="24" t="s">
        <v>101</v>
      </c>
      <c r="C126" s="3" t="s">
        <v>102</v>
      </c>
      <c r="D126" s="27">
        <f t="shared" si="24"/>
        <v>5.6</v>
      </c>
      <c r="E126" s="27">
        <f t="shared" si="20"/>
        <v>158.15461346633418</v>
      </c>
      <c r="F126" s="27">
        <f t="shared" si="21"/>
        <v>265.33665835411472</v>
      </c>
      <c r="G126" s="27">
        <f t="shared" si="22"/>
        <v>18.154613466334165</v>
      </c>
      <c r="H126" s="27">
        <f t="shared" si="23"/>
        <v>56.907730673316706</v>
      </c>
    </row>
    <row r="127" spans="1:16" x14ac:dyDescent="0.35">
      <c r="B127" s="23" t="s">
        <v>64</v>
      </c>
      <c r="C127" s="3" t="s">
        <v>65</v>
      </c>
      <c r="D127" s="27">
        <f t="shared" si="24"/>
        <v>200</v>
      </c>
      <c r="E127" s="27">
        <f t="shared" si="20"/>
        <v>5648.3790523690777</v>
      </c>
      <c r="F127" s="27">
        <f t="shared" si="21"/>
        <v>9476.3092269326698</v>
      </c>
      <c r="G127" s="27">
        <f t="shared" si="22"/>
        <v>648.37905236907739</v>
      </c>
      <c r="H127" s="27">
        <f t="shared" si="23"/>
        <v>2032.4189526184541</v>
      </c>
    </row>
    <row r="128" spans="1:16" x14ac:dyDescent="0.35">
      <c r="B128" s="24" t="s">
        <v>67</v>
      </c>
      <c r="C128" s="3" t="s">
        <v>106</v>
      </c>
      <c r="D128" s="27">
        <f t="shared" si="24"/>
        <v>2</v>
      </c>
      <c r="E128" s="27">
        <f t="shared" si="20"/>
        <v>56.483790523690779</v>
      </c>
      <c r="F128" s="27">
        <f t="shared" si="21"/>
        <v>94.763092269326691</v>
      </c>
      <c r="G128" s="27">
        <f t="shared" si="22"/>
        <v>6.4837905236907734</v>
      </c>
      <c r="H128" s="27">
        <f t="shared" si="23"/>
        <v>20.32418952618454</v>
      </c>
    </row>
    <row r="129" spans="2:8" x14ac:dyDescent="0.35">
      <c r="B129" s="23" t="s">
        <v>69</v>
      </c>
      <c r="C129" s="3" t="s">
        <v>108</v>
      </c>
      <c r="D129" s="27">
        <f t="shared" si="24"/>
        <v>18</v>
      </c>
      <c r="E129" s="27">
        <f t="shared" si="20"/>
        <v>508.35411471321703</v>
      </c>
      <c r="F129" s="27">
        <f t="shared" si="21"/>
        <v>852.86783042394018</v>
      </c>
      <c r="G129" s="27">
        <f t="shared" si="22"/>
        <v>58.354114713216958</v>
      </c>
      <c r="H129" s="27">
        <f t="shared" si="23"/>
        <v>182.91770573566086</v>
      </c>
    </row>
    <row r="130" spans="2:8" x14ac:dyDescent="0.35">
      <c r="B130" s="23" t="s">
        <v>69</v>
      </c>
      <c r="C130" s="3" t="s">
        <v>110</v>
      </c>
      <c r="D130" s="27">
        <f t="shared" si="24"/>
        <v>50</v>
      </c>
      <c r="E130" s="27">
        <f t="shared" si="20"/>
        <v>1412.0947630922694</v>
      </c>
      <c r="F130" s="27">
        <f t="shared" si="21"/>
        <v>2369.0773067331675</v>
      </c>
      <c r="G130" s="27">
        <f t="shared" si="22"/>
        <v>162.09476309226935</v>
      </c>
      <c r="H130" s="27">
        <f t="shared" si="23"/>
        <v>508.10473815461353</v>
      </c>
    </row>
    <row r="131" spans="2:8" x14ac:dyDescent="0.35">
      <c r="B131" s="23" t="s">
        <v>69</v>
      </c>
      <c r="C131" s="3" t="s">
        <v>112</v>
      </c>
      <c r="D131" s="27">
        <f t="shared" si="24"/>
        <v>16</v>
      </c>
      <c r="E131" s="27">
        <f t="shared" si="20"/>
        <v>451.87032418952623</v>
      </c>
      <c r="F131" s="27">
        <f t="shared" si="21"/>
        <v>758.10473815461353</v>
      </c>
      <c r="G131" s="27">
        <f t="shared" si="22"/>
        <v>51.870324189526187</v>
      </c>
      <c r="H131" s="27">
        <f t="shared" si="23"/>
        <v>162.59351620947632</v>
      </c>
    </row>
    <row r="132" spans="2:8" x14ac:dyDescent="0.35">
      <c r="B132" s="23" t="s">
        <v>113</v>
      </c>
      <c r="C132" s="3" t="s">
        <v>96</v>
      </c>
      <c r="D132" s="27">
        <f t="shared" si="24"/>
        <v>80</v>
      </c>
      <c r="E132" s="27">
        <f t="shared" si="20"/>
        <v>2259.3516209476311</v>
      </c>
      <c r="F132" s="27">
        <f t="shared" si="21"/>
        <v>3790.5236907730678</v>
      </c>
      <c r="G132" s="27">
        <f t="shared" si="22"/>
        <v>259.35162094763092</v>
      </c>
      <c r="H132" s="27">
        <f t="shared" si="23"/>
        <v>812.9675810473816</v>
      </c>
    </row>
    <row r="133" spans="2:8" x14ac:dyDescent="0.35">
      <c r="B133" s="23" t="s">
        <v>114</v>
      </c>
      <c r="C133" s="3" t="s">
        <v>115</v>
      </c>
      <c r="D133" s="27">
        <f t="shared" si="24"/>
        <v>44</v>
      </c>
      <c r="E133" s="27">
        <f t="shared" si="20"/>
        <v>1242.6433915211971</v>
      </c>
      <c r="F133" s="27">
        <f t="shared" si="21"/>
        <v>2084.7880299251874</v>
      </c>
      <c r="G133" s="27">
        <f t="shared" si="22"/>
        <v>142.643391521197</v>
      </c>
      <c r="H133" s="27">
        <f t="shared" si="23"/>
        <v>447.13216957605988</v>
      </c>
    </row>
    <row r="134" spans="2:8" x14ac:dyDescent="0.35">
      <c r="B134" s="23" t="s">
        <v>117</v>
      </c>
      <c r="C134" s="3" t="s">
        <v>118</v>
      </c>
      <c r="D134" s="27">
        <f t="shared" si="24"/>
        <v>5</v>
      </c>
      <c r="E134" s="27">
        <f t="shared" si="20"/>
        <v>141.20947630922694</v>
      </c>
      <c r="F134" s="27">
        <f t="shared" si="21"/>
        <v>236.90773067331673</v>
      </c>
      <c r="G134" s="27">
        <f t="shared" si="22"/>
        <v>16.209476309226932</v>
      </c>
      <c r="H134" s="27">
        <f t="shared" si="23"/>
        <v>50.81047381546135</v>
      </c>
    </row>
    <row r="135" spans="2:8" x14ac:dyDescent="0.35">
      <c r="B135" s="23" t="s">
        <v>119</v>
      </c>
      <c r="C135" s="3" t="s">
        <v>120</v>
      </c>
      <c r="D135" s="27">
        <f t="shared" si="24"/>
        <v>100</v>
      </c>
      <c r="E135" s="27">
        <f t="shared" si="20"/>
        <v>2824.1895261845389</v>
      </c>
      <c r="F135" s="27">
        <f t="shared" si="21"/>
        <v>4738.1546134663349</v>
      </c>
      <c r="G135" s="27">
        <f t="shared" si="22"/>
        <v>324.18952618453869</v>
      </c>
      <c r="H135" s="27">
        <f t="shared" si="23"/>
        <v>1016.2094763092271</v>
      </c>
    </row>
    <row r="137" spans="2:8" x14ac:dyDescent="0.35">
      <c r="B137" s="10" t="s">
        <v>164</v>
      </c>
      <c r="D137" s="32"/>
      <c r="E137" s="163" t="s">
        <v>158</v>
      </c>
      <c r="F137" s="164"/>
      <c r="G137" s="164"/>
      <c r="H137" s="165"/>
    </row>
    <row r="138" spans="2:8" x14ac:dyDescent="0.35">
      <c r="B138" s="3" t="s">
        <v>57</v>
      </c>
      <c r="C138" s="3" t="s">
        <v>58</v>
      </c>
      <c r="D138" s="3" t="s">
        <v>159</v>
      </c>
      <c r="E138" s="3" t="s">
        <v>160</v>
      </c>
      <c r="F138" s="3" t="s">
        <v>161</v>
      </c>
      <c r="G138" s="3" t="s">
        <v>162</v>
      </c>
      <c r="H138" s="3" t="s">
        <v>163</v>
      </c>
    </row>
    <row r="139" spans="2:8" x14ac:dyDescent="0.35">
      <c r="B139" s="3" t="s">
        <v>95</v>
      </c>
      <c r="C139" s="3" t="s">
        <v>96</v>
      </c>
      <c r="D139" s="27">
        <f>VLOOKUP($C139,$C$60:$E$72, 3, 0)/5</f>
        <v>80</v>
      </c>
      <c r="E139" s="27">
        <f>E124*(1-$F$98)</f>
        <v>1491.1720698254364</v>
      </c>
      <c r="F139" s="27">
        <f>F124*(1-$F$98)</f>
        <v>2501.7456359102243</v>
      </c>
      <c r="G139" s="27">
        <f>G124*(1-$F$98)</f>
        <v>171.17206982543638</v>
      </c>
      <c r="H139" s="27">
        <f>H124*(1-$F$98)</f>
        <v>536.55860349127181</v>
      </c>
    </row>
    <row r="140" spans="2:8" x14ac:dyDescent="0.35">
      <c r="B140" s="3" t="s">
        <v>95</v>
      </c>
      <c r="C140" s="3" t="s">
        <v>98</v>
      </c>
      <c r="D140" s="27">
        <f t="shared" ref="D140:D150" si="25">VLOOKUP($C140,$C$60:$E$72, 3, 0)/5</f>
        <v>6</v>
      </c>
      <c r="E140" s="27">
        <f>E125+(D140*$C$94/'Conversions and Lookups'!$C$11)</f>
        <v>229.67080014250092</v>
      </c>
      <c r="F140" s="27">
        <f>F125-($D$140*$C$88)</f>
        <v>20.829276807980079</v>
      </c>
      <c r="G140" s="27">
        <v>0</v>
      </c>
      <c r="H140" s="27">
        <v>0</v>
      </c>
    </row>
    <row r="141" spans="2:8" x14ac:dyDescent="0.35">
      <c r="B141" s="24" t="s">
        <v>101</v>
      </c>
      <c r="C141" s="3" t="s">
        <v>102</v>
      </c>
      <c r="D141" s="27">
        <f t="shared" si="25"/>
        <v>5.6</v>
      </c>
      <c r="E141" s="27">
        <f t="shared" ref="E141:E150" si="26">$E126*(1-$F100)</f>
        <v>118.61596009975064</v>
      </c>
      <c r="F141" s="27">
        <f t="shared" ref="F141:F150" si="27">$F126*(1-$F100)</f>
        <v>199.00249376558605</v>
      </c>
      <c r="G141" s="27">
        <f t="shared" ref="G141:G150" si="28">$G126*(1-$F100)</f>
        <v>13.615960099750623</v>
      </c>
      <c r="H141" s="27">
        <f t="shared" ref="H141:H150" si="29">$H126*(1-$F100)</f>
        <v>42.68079800498753</v>
      </c>
    </row>
    <row r="142" spans="2:8" x14ac:dyDescent="0.35">
      <c r="B142" s="23" t="s">
        <v>64</v>
      </c>
      <c r="C142" s="3" t="s">
        <v>65</v>
      </c>
      <c r="D142" s="27">
        <f t="shared" si="25"/>
        <v>200</v>
      </c>
      <c r="E142" s="27">
        <f t="shared" si="26"/>
        <v>4801.1221945137158</v>
      </c>
      <c r="F142" s="27">
        <f t="shared" si="27"/>
        <v>8054.8628428927695</v>
      </c>
      <c r="G142" s="27">
        <f t="shared" si="28"/>
        <v>551.12219451371573</v>
      </c>
      <c r="H142" s="27">
        <f t="shared" si="29"/>
        <v>1727.5561097256859</v>
      </c>
    </row>
    <row r="143" spans="2:8" x14ac:dyDescent="0.35">
      <c r="B143" s="24" t="s">
        <v>67</v>
      </c>
      <c r="C143" s="3" t="s">
        <v>106</v>
      </c>
      <c r="D143" s="27">
        <f t="shared" si="25"/>
        <v>2</v>
      </c>
      <c r="E143" s="27">
        <f t="shared" si="26"/>
        <v>48.011221945137159</v>
      </c>
      <c r="F143" s="27">
        <f t="shared" si="27"/>
        <v>80.548628428927685</v>
      </c>
      <c r="G143" s="27">
        <f t="shared" si="28"/>
        <v>5.5112219451371569</v>
      </c>
      <c r="H143" s="27">
        <f t="shared" si="29"/>
        <v>17.275561097256858</v>
      </c>
    </row>
    <row r="144" spans="2:8" x14ac:dyDescent="0.35">
      <c r="B144" s="23" t="s">
        <v>69</v>
      </c>
      <c r="C144" s="3" t="s">
        <v>108</v>
      </c>
      <c r="D144" s="27">
        <f t="shared" si="25"/>
        <v>18</v>
      </c>
      <c r="E144" s="27">
        <f t="shared" si="26"/>
        <v>330.43017456359109</v>
      </c>
      <c r="F144" s="27">
        <f t="shared" si="27"/>
        <v>554.36408977556118</v>
      </c>
      <c r="G144" s="27">
        <f t="shared" si="28"/>
        <v>37.930174563591024</v>
      </c>
      <c r="H144" s="27">
        <f t="shared" si="29"/>
        <v>118.89650872817957</v>
      </c>
    </row>
    <row r="145" spans="2:30" x14ac:dyDescent="0.35">
      <c r="B145" s="23" t="s">
        <v>69</v>
      </c>
      <c r="C145" s="3" t="s">
        <v>110</v>
      </c>
      <c r="D145" s="27">
        <f t="shared" si="25"/>
        <v>50</v>
      </c>
      <c r="E145" s="27">
        <f t="shared" si="26"/>
        <v>1059.0710723192021</v>
      </c>
      <c r="F145" s="27">
        <f t="shared" si="27"/>
        <v>1776.8079800498756</v>
      </c>
      <c r="G145" s="27">
        <f t="shared" si="28"/>
        <v>121.57107231920202</v>
      </c>
      <c r="H145" s="27">
        <f t="shared" si="29"/>
        <v>381.07855361596012</v>
      </c>
    </row>
    <row r="146" spans="2:30" x14ac:dyDescent="0.35">
      <c r="B146" s="23" t="s">
        <v>69</v>
      </c>
      <c r="C146" s="3" t="s">
        <v>112</v>
      </c>
      <c r="D146" s="27">
        <f t="shared" si="25"/>
        <v>16</v>
      </c>
      <c r="E146" s="27">
        <f t="shared" si="26"/>
        <v>338.90274314214469</v>
      </c>
      <c r="F146" s="27">
        <f t="shared" si="27"/>
        <v>568.57855361596012</v>
      </c>
      <c r="G146" s="27">
        <f t="shared" si="28"/>
        <v>38.902743142144644</v>
      </c>
      <c r="H146" s="27">
        <f t="shared" si="29"/>
        <v>121.94513715710724</v>
      </c>
    </row>
    <row r="147" spans="2:30" x14ac:dyDescent="0.35">
      <c r="B147" s="23" t="s">
        <v>113</v>
      </c>
      <c r="C147" s="3" t="s">
        <v>96</v>
      </c>
      <c r="D147" s="27">
        <f t="shared" si="25"/>
        <v>80</v>
      </c>
      <c r="E147" s="27">
        <f t="shared" si="26"/>
        <v>1920.4488778054863</v>
      </c>
      <c r="F147" s="27">
        <f t="shared" si="27"/>
        <v>3221.9451371571076</v>
      </c>
      <c r="G147" s="27">
        <f t="shared" si="28"/>
        <v>220.44887780548626</v>
      </c>
      <c r="H147" s="27">
        <f t="shared" si="29"/>
        <v>691.0224438902743</v>
      </c>
    </row>
    <row r="148" spans="2:30" x14ac:dyDescent="0.35">
      <c r="B148" s="23" t="s">
        <v>114</v>
      </c>
      <c r="C148" s="3" t="s">
        <v>115</v>
      </c>
      <c r="D148" s="27">
        <f t="shared" si="25"/>
        <v>44</v>
      </c>
      <c r="E148" s="27">
        <f t="shared" si="26"/>
        <v>994.11471321695774</v>
      </c>
      <c r="F148" s="27">
        <f t="shared" si="27"/>
        <v>1667.83042394015</v>
      </c>
      <c r="G148" s="27">
        <f t="shared" si="28"/>
        <v>114.11471321695761</v>
      </c>
      <c r="H148" s="27">
        <f t="shared" si="29"/>
        <v>357.70573566084795</v>
      </c>
    </row>
    <row r="149" spans="2:30" x14ac:dyDescent="0.35">
      <c r="B149" s="23" t="s">
        <v>117</v>
      </c>
      <c r="C149" s="3" t="s">
        <v>118</v>
      </c>
      <c r="D149" s="27">
        <f t="shared" si="25"/>
        <v>5</v>
      </c>
      <c r="E149" s="27">
        <f t="shared" si="26"/>
        <v>120.02805486284289</v>
      </c>
      <c r="F149" s="27">
        <f t="shared" si="27"/>
        <v>201.37157107231923</v>
      </c>
      <c r="G149" s="27">
        <f t="shared" si="28"/>
        <v>13.778054862842891</v>
      </c>
      <c r="H149" s="27">
        <f t="shared" si="29"/>
        <v>43.188902743142144</v>
      </c>
    </row>
    <row r="150" spans="2:30" x14ac:dyDescent="0.35">
      <c r="B150" s="23" t="s">
        <v>119</v>
      </c>
      <c r="C150" s="3" t="s">
        <v>120</v>
      </c>
      <c r="D150" s="27">
        <f t="shared" si="25"/>
        <v>100</v>
      </c>
      <c r="E150" s="27">
        <f t="shared" si="26"/>
        <v>2400.5610972568579</v>
      </c>
      <c r="F150" s="27">
        <f t="shared" si="27"/>
        <v>4027.4314214463848</v>
      </c>
      <c r="G150" s="27">
        <f t="shared" si="28"/>
        <v>275.56109725685786</v>
      </c>
      <c r="H150" s="27">
        <f t="shared" si="29"/>
        <v>863.77805486284296</v>
      </c>
    </row>
    <row r="151" spans="2:30" x14ac:dyDescent="0.35">
      <c r="G151" s="32"/>
    </row>
    <row r="152" spans="2:30" x14ac:dyDescent="0.35">
      <c r="B152" s="125" t="s">
        <v>165</v>
      </c>
      <c r="C152" s="3">
        <v>2025</v>
      </c>
      <c r="D152" s="3">
        <v>2026</v>
      </c>
      <c r="E152" s="3">
        <v>2027</v>
      </c>
      <c r="F152" s="3">
        <v>2028</v>
      </c>
      <c r="G152" s="3">
        <v>2029</v>
      </c>
      <c r="H152" s="3">
        <v>2030</v>
      </c>
      <c r="I152" s="3">
        <v>2031</v>
      </c>
      <c r="J152" s="3">
        <v>2032</v>
      </c>
      <c r="K152" s="3">
        <v>2033</v>
      </c>
      <c r="L152" s="3">
        <v>2034</v>
      </c>
      <c r="M152" s="3">
        <v>2035</v>
      </c>
      <c r="N152" s="3">
        <v>2036</v>
      </c>
      <c r="O152" s="3">
        <v>2037</v>
      </c>
      <c r="P152" s="3">
        <v>2038</v>
      </c>
      <c r="Q152" s="3">
        <v>2039</v>
      </c>
      <c r="R152" s="3">
        <v>2040</v>
      </c>
      <c r="S152" s="3">
        <v>2041</v>
      </c>
      <c r="T152" s="3">
        <v>2042</v>
      </c>
      <c r="U152" s="3">
        <v>2043</v>
      </c>
      <c r="V152" s="3">
        <v>2044</v>
      </c>
      <c r="W152" s="3">
        <v>2045</v>
      </c>
      <c r="X152" s="3">
        <v>2046</v>
      </c>
      <c r="Y152" s="3">
        <v>2047</v>
      </c>
      <c r="Z152" s="3">
        <v>2048</v>
      </c>
      <c r="AA152" s="3">
        <v>2049</v>
      </c>
      <c r="AB152" s="3">
        <v>2050</v>
      </c>
    </row>
    <row r="153" spans="2:30" x14ac:dyDescent="0.35">
      <c r="B153" s="23" t="s">
        <v>160</v>
      </c>
      <c r="C153" s="44">
        <f>SUM($E$124:$E$135)-SUM($E$139:$E$150)</f>
        <v>3279.384686141786</v>
      </c>
      <c r="D153" s="44">
        <f>C153*2</f>
        <v>6558.769372283572</v>
      </c>
      <c r="E153" s="44">
        <f>C153*3</f>
        <v>9838.154058425358</v>
      </c>
      <c r="F153" s="44">
        <f>C153*4</f>
        <v>13117.538744567144</v>
      </c>
      <c r="G153" s="44">
        <f>C153*5</f>
        <v>16396.923430708928</v>
      </c>
      <c r="H153" s="44">
        <f>G153</f>
        <v>16396.923430708928</v>
      </c>
      <c r="I153" s="44">
        <f t="shared" ref="I153:V156" si="30">H153</f>
        <v>16396.923430708928</v>
      </c>
      <c r="J153" s="44">
        <f t="shared" si="30"/>
        <v>16396.923430708928</v>
      </c>
      <c r="K153" s="44">
        <f t="shared" si="30"/>
        <v>16396.923430708928</v>
      </c>
      <c r="L153" s="44">
        <f t="shared" si="30"/>
        <v>16396.923430708928</v>
      </c>
      <c r="M153" s="44">
        <f t="shared" si="30"/>
        <v>16396.923430708928</v>
      </c>
      <c r="N153" s="44">
        <f t="shared" si="30"/>
        <v>16396.923430708928</v>
      </c>
      <c r="O153" s="44">
        <f t="shared" si="30"/>
        <v>16396.923430708928</v>
      </c>
      <c r="P153" s="44">
        <f t="shared" si="30"/>
        <v>16396.923430708928</v>
      </c>
      <c r="Q153" s="44">
        <f t="shared" si="30"/>
        <v>16396.923430708928</v>
      </c>
      <c r="R153" s="44">
        <f t="shared" si="30"/>
        <v>16396.923430708928</v>
      </c>
      <c r="S153" s="44">
        <f t="shared" si="30"/>
        <v>16396.923430708928</v>
      </c>
      <c r="T153" s="44">
        <f t="shared" si="30"/>
        <v>16396.923430708928</v>
      </c>
      <c r="U153" s="44">
        <f t="shared" si="30"/>
        <v>16396.923430708928</v>
      </c>
      <c r="V153" s="44">
        <f t="shared" si="30"/>
        <v>16396.923430708928</v>
      </c>
      <c r="W153" s="44">
        <f t="shared" ref="W153" si="31">V153</f>
        <v>16396.923430708928</v>
      </c>
      <c r="X153" s="44">
        <f>W153-$C153</f>
        <v>13117.538744567142</v>
      </c>
      <c r="Y153" s="44">
        <f t="shared" ref="Y153:AB153" si="32">X153-$C153</f>
        <v>9838.1540584253562</v>
      </c>
      <c r="Z153" s="44">
        <f t="shared" si="32"/>
        <v>6558.7693722835702</v>
      </c>
      <c r="AA153" s="44">
        <f t="shared" si="32"/>
        <v>3279.3846861417842</v>
      </c>
      <c r="AB153" s="44">
        <f t="shared" si="32"/>
        <v>0</v>
      </c>
    </row>
    <row r="154" spans="2:30" x14ac:dyDescent="0.35">
      <c r="B154" s="23" t="s">
        <v>161</v>
      </c>
      <c r="C154" s="44">
        <f>SUM($F$124:$F$135)-SUM($F$139:$F$150)</f>
        <v>5866.3278304239393</v>
      </c>
      <c r="D154" s="44">
        <f t="shared" ref="D154:D156" si="33">C154*2</f>
        <v>11732.655660847879</v>
      </c>
      <c r="E154" s="44">
        <f t="shared" ref="E154:E156" si="34">C154*3</f>
        <v>17598.983491271818</v>
      </c>
      <c r="F154" s="44">
        <f t="shared" ref="F154:F156" si="35">C154*4</f>
        <v>23465.311321695757</v>
      </c>
      <c r="G154" s="44">
        <f t="shared" ref="G154:G156" si="36">C154*5</f>
        <v>29331.639152119697</v>
      </c>
      <c r="H154" s="44">
        <f t="shared" ref="H154:V156" si="37">G154</f>
        <v>29331.639152119697</v>
      </c>
      <c r="I154" s="44">
        <f t="shared" si="37"/>
        <v>29331.639152119697</v>
      </c>
      <c r="J154" s="44">
        <f t="shared" si="37"/>
        <v>29331.639152119697</v>
      </c>
      <c r="K154" s="44">
        <f t="shared" si="37"/>
        <v>29331.639152119697</v>
      </c>
      <c r="L154" s="44">
        <f t="shared" si="37"/>
        <v>29331.639152119697</v>
      </c>
      <c r="M154" s="44">
        <f t="shared" si="37"/>
        <v>29331.639152119697</v>
      </c>
      <c r="N154" s="44">
        <f t="shared" si="37"/>
        <v>29331.639152119697</v>
      </c>
      <c r="O154" s="44">
        <f t="shared" si="37"/>
        <v>29331.639152119697</v>
      </c>
      <c r="P154" s="44">
        <f t="shared" si="37"/>
        <v>29331.639152119697</v>
      </c>
      <c r="Q154" s="44">
        <f t="shared" si="37"/>
        <v>29331.639152119697</v>
      </c>
      <c r="R154" s="44">
        <f t="shared" si="37"/>
        <v>29331.639152119697</v>
      </c>
      <c r="S154" s="44">
        <f t="shared" si="37"/>
        <v>29331.639152119697</v>
      </c>
      <c r="T154" s="44">
        <f t="shared" si="37"/>
        <v>29331.639152119697</v>
      </c>
      <c r="U154" s="44">
        <f t="shared" si="37"/>
        <v>29331.639152119697</v>
      </c>
      <c r="V154" s="44">
        <f t="shared" si="37"/>
        <v>29331.639152119697</v>
      </c>
      <c r="W154" s="44">
        <f t="shared" ref="W154" si="38">V154</f>
        <v>29331.639152119697</v>
      </c>
      <c r="X154" s="44">
        <f t="shared" ref="X154:AB156" si="39">W154-$C154</f>
        <v>23465.311321695757</v>
      </c>
      <c r="Y154" s="44">
        <f t="shared" si="39"/>
        <v>17598.983491271818</v>
      </c>
      <c r="Z154" s="44">
        <f t="shared" si="39"/>
        <v>11732.655660847879</v>
      </c>
      <c r="AA154" s="44">
        <f t="shared" si="39"/>
        <v>5866.3278304239393</v>
      </c>
      <c r="AB154" s="44">
        <f t="shared" si="39"/>
        <v>0</v>
      </c>
    </row>
    <row r="155" spans="2:30" x14ac:dyDescent="0.35">
      <c r="B155" s="23" t="s">
        <v>162</v>
      </c>
      <c r="C155" s="44">
        <f>SUM($G$124:$G$135)-SUM($G$139:$G$150)</f>
        <v>402.80548628428915</v>
      </c>
      <c r="D155" s="44">
        <f t="shared" si="33"/>
        <v>805.61097256857829</v>
      </c>
      <c r="E155" s="44">
        <f t="shared" si="34"/>
        <v>1208.4164588528674</v>
      </c>
      <c r="F155" s="44">
        <f t="shared" si="35"/>
        <v>1611.2219451371566</v>
      </c>
      <c r="G155" s="44">
        <f t="shared" si="36"/>
        <v>2014.0274314214457</v>
      </c>
      <c r="H155" s="44">
        <f t="shared" si="37"/>
        <v>2014.0274314214457</v>
      </c>
      <c r="I155" s="44">
        <f t="shared" si="30"/>
        <v>2014.0274314214457</v>
      </c>
      <c r="J155" s="44">
        <f t="shared" si="30"/>
        <v>2014.0274314214457</v>
      </c>
      <c r="K155" s="44">
        <f t="shared" si="30"/>
        <v>2014.0274314214457</v>
      </c>
      <c r="L155" s="44">
        <f t="shared" si="30"/>
        <v>2014.0274314214457</v>
      </c>
      <c r="M155" s="44">
        <f t="shared" si="30"/>
        <v>2014.0274314214457</v>
      </c>
      <c r="N155" s="44">
        <f t="shared" si="30"/>
        <v>2014.0274314214457</v>
      </c>
      <c r="O155" s="44">
        <f t="shared" si="30"/>
        <v>2014.0274314214457</v>
      </c>
      <c r="P155" s="44">
        <f t="shared" si="30"/>
        <v>2014.0274314214457</v>
      </c>
      <c r="Q155" s="44">
        <f t="shared" si="30"/>
        <v>2014.0274314214457</v>
      </c>
      <c r="R155" s="44">
        <f t="shared" si="30"/>
        <v>2014.0274314214457</v>
      </c>
      <c r="S155" s="44">
        <f t="shared" si="30"/>
        <v>2014.0274314214457</v>
      </c>
      <c r="T155" s="44">
        <f t="shared" si="30"/>
        <v>2014.0274314214457</v>
      </c>
      <c r="U155" s="44">
        <f t="shared" si="30"/>
        <v>2014.0274314214457</v>
      </c>
      <c r="V155" s="44">
        <f t="shared" si="30"/>
        <v>2014.0274314214457</v>
      </c>
      <c r="W155" s="44">
        <f t="shared" ref="W155" si="40">V155</f>
        <v>2014.0274314214457</v>
      </c>
      <c r="X155" s="44">
        <f t="shared" si="39"/>
        <v>1611.2219451371566</v>
      </c>
      <c r="Y155" s="44">
        <f t="shared" si="39"/>
        <v>1208.4164588528674</v>
      </c>
      <c r="Z155" s="44">
        <f t="shared" si="39"/>
        <v>805.61097256857829</v>
      </c>
      <c r="AA155" s="44">
        <f t="shared" si="39"/>
        <v>402.80548628428915</v>
      </c>
      <c r="AB155" s="44">
        <f t="shared" si="39"/>
        <v>0</v>
      </c>
    </row>
    <row r="156" spans="2:30" x14ac:dyDescent="0.35">
      <c r="B156" s="23" t="s">
        <v>163</v>
      </c>
      <c r="C156" s="44">
        <f>SUM($H$124:$H$135)-SUM($H$139:$H$150)</f>
        <v>1262.6402743142162</v>
      </c>
      <c r="D156" s="44">
        <f t="shared" si="33"/>
        <v>2525.2805486284324</v>
      </c>
      <c r="E156" s="44">
        <f t="shared" si="34"/>
        <v>3787.9208229426486</v>
      </c>
      <c r="F156" s="44">
        <f t="shared" si="35"/>
        <v>5050.5610972568647</v>
      </c>
      <c r="G156" s="44">
        <f t="shared" si="36"/>
        <v>6313.2013715710809</v>
      </c>
      <c r="H156" s="44">
        <f t="shared" si="37"/>
        <v>6313.2013715710809</v>
      </c>
      <c r="I156" s="44">
        <f t="shared" si="30"/>
        <v>6313.2013715710809</v>
      </c>
      <c r="J156" s="44">
        <f t="shared" si="30"/>
        <v>6313.2013715710809</v>
      </c>
      <c r="K156" s="44">
        <f t="shared" si="30"/>
        <v>6313.2013715710809</v>
      </c>
      <c r="L156" s="44">
        <f t="shared" si="30"/>
        <v>6313.2013715710809</v>
      </c>
      <c r="M156" s="44">
        <f t="shared" si="30"/>
        <v>6313.2013715710809</v>
      </c>
      <c r="N156" s="44">
        <f t="shared" si="30"/>
        <v>6313.2013715710809</v>
      </c>
      <c r="O156" s="44">
        <f t="shared" si="30"/>
        <v>6313.2013715710809</v>
      </c>
      <c r="P156" s="44">
        <f t="shared" si="30"/>
        <v>6313.2013715710809</v>
      </c>
      <c r="Q156" s="44">
        <f t="shared" si="30"/>
        <v>6313.2013715710809</v>
      </c>
      <c r="R156" s="44">
        <f t="shared" si="30"/>
        <v>6313.2013715710809</v>
      </c>
      <c r="S156" s="44">
        <f t="shared" si="30"/>
        <v>6313.2013715710809</v>
      </c>
      <c r="T156" s="44">
        <f t="shared" si="30"/>
        <v>6313.2013715710809</v>
      </c>
      <c r="U156" s="44">
        <f t="shared" si="30"/>
        <v>6313.2013715710809</v>
      </c>
      <c r="V156" s="44">
        <f t="shared" si="30"/>
        <v>6313.2013715710809</v>
      </c>
      <c r="W156" s="44">
        <f t="shared" ref="W156" si="41">V156</f>
        <v>6313.2013715710809</v>
      </c>
      <c r="X156" s="44">
        <f t="shared" si="39"/>
        <v>5050.5610972568647</v>
      </c>
      <c r="Y156" s="44">
        <f t="shared" si="39"/>
        <v>3787.9208229426486</v>
      </c>
      <c r="Z156" s="44">
        <f t="shared" si="39"/>
        <v>2525.2805486284324</v>
      </c>
      <c r="AA156" s="44">
        <f t="shared" si="39"/>
        <v>1262.6402743142162</v>
      </c>
      <c r="AB156" s="44">
        <f t="shared" si="39"/>
        <v>0</v>
      </c>
    </row>
    <row r="157" spans="2:30" x14ac:dyDescent="0.35">
      <c r="B157" s="15"/>
      <c r="C157" s="30"/>
      <c r="D157" s="30"/>
      <c r="E157" s="30"/>
      <c r="F157" s="30"/>
      <c r="G157" s="30"/>
      <c r="H157" s="30">
        <f>H154-G154</f>
        <v>0</v>
      </c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</row>
    <row r="158" spans="2:30" x14ac:dyDescent="0.35">
      <c r="B158" s="20" t="s">
        <v>166</v>
      </c>
      <c r="C158" s="3">
        <v>2025</v>
      </c>
      <c r="D158" s="3">
        <v>2026</v>
      </c>
      <c r="E158" s="3">
        <v>2027</v>
      </c>
      <c r="F158" s="3">
        <v>2028</v>
      </c>
      <c r="G158" s="3">
        <v>2029</v>
      </c>
      <c r="H158" s="3">
        <v>2030</v>
      </c>
      <c r="I158" s="3">
        <v>2031</v>
      </c>
      <c r="J158" s="3">
        <v>2032</v>
      </c>
      <c r="K158" s="3">
        <v>2033</v>
      </c>
      <c r="L158" s="3">
        <v>2034</v>
      </c>
      <c r="M158" s="3">
        <v>2035</v>
      </c>
      <c r="N158" s="3">
        <v>2036</v>
      </c>
      <c r="O158" s="3">
        <v>2037</v>
      </c>
      <c r="P158" s="3">
        <v>2038</v>
      </c>
      <c r="Q158" s="3">
        <v>2039</v>
      </c>
      <c r="R158" s="3">
        <v>2040</v>
      </c>
      <c r="S158" s="3">
        <v>2041</v>
      </c>
      <c r="T158" s="3">
        <v>2042</v>
      </c>
      <c r="U158" s="3">
        <v>2043</v>
      </c>
      <c r="V158" s="3">
        <v>2044</v>
      </c>
      <c r="W158" s="3">
        <v>2045</v>
      </c>
      <c r="X158" s="3">
        <v>2046</v>
      </c>
      <c r="Y158" s="3">
        <v>2047</v>
      </c>
      <c r="Z158" s="3">
        <v>2048</v>
      </c>
      <c r="AA158" s="3">
        <v>2049</v>
      </c>
      <c r="AB158" s="3">
        <v>2050</v>
      </c>
      <c r="AC158" s="92" t="s">
        <v>8</v>
      </c>
      <c r="AD158" s="92" t="s">
        <v>9</v>
      </c>
    </row>
    <row r="159" spans="2:30" x14ac:dyDescent="0.35">
      <c r="B159" s="23" t="s">
        <v>160</v>
      </c>
      <c r="C159" s="27">
        <f>C153*'Conversions and Lookups'!$C$11*HLOOKUP(C$158,'Conversions and Lookups'!$B$76:$AE$78, 3, 0)</f>
        <v>257.77188209646511</v>
      </c>
      <c r="D159" s="27">
        <f>D153*'Conversions and Lookups'!$C$11*HLOOKUP(D$158,'Conversions and Lookups'!$B$76:$AE$78, 3, 0)</f>
        <v>504.36389371624267</v>
      </c>
      <c r="E159" s="27">
        <f>E153*'Conversions and Lookups'!$C$11*HLOOKUP(E$158,'Conversions and Lookups'!$B$76:$AE$78, 3, 0)</f>
        <v>692.73757511495148</v>
      </c>
      <c r="F159" s="27">
        <f>F153*'Conversions and Lookups'!$C$11*HLOOKUP(F$158,'Conversions and Lookups'!$B$76:$AE$78, 3, 0)</f>
        <v>893.06808251743473</v>
      </c>
      <c r="G159" s="27">
        <f>G153*'Conversions and Lookups'!$C$11*HLOOKUP(G$158,'Conversions and Lookups'!$B$76:$AE$78, 3, 0)</f>
        <v>947.94855779745922</v>
      </c>
      <c r="H159" s="27">
        <f>H153*'Conversions and Lookups'!$C$11*HLOOKUP(H$158,'Conversions and Lookups'!$B$76:$AE$78, 3, 0)</f>
        <v>887.71446399736692</v>
      </c>
      <c r="I159" s="27">
        <f>I153*'Conversions and Lookups'!$C$11*HLOOKUP(I$158,'Conversions and Lookups'!$B$76:$AE$78, 3, 0)</f>
        <v>832.12337823100324</v>
      </c>
      <c r="J159" s="27">
        <f>J153*'Conversions and Lookups'!$C$11*HLOOKUP(J$158,'Conversions and Lookups'!$B$76:$AE$78, 3, 0)</f>
        <v>830.95494866481909</v>
      </c>
      <c r="K159" s="27">
        <f>K153*'Conversions and Lookups'!$C$11*HLOOKUP(K$158,'Conversions and Lookups'!$B$76:$AE$78, 3, 0)</f>
        <v>819.05626413879304</v>
      </c>
      <c r="L159" s="27">
        <f>L153*'Conversions and Lookups'!$C$11*HLOOKUP(L$158,'Conversions and Lookups'!$B$76:$AE$78, 3, 0)</f>
        <v>709.35675810023577</v>
      </c>
      <c r="M159" s="27">
        <f>M153*'Conversions and Lookups'!$C$11*HLOOKUP(M$158,'Conversions and Lookups'!$B$76:$AE$78, 3, 0)</f>
        <v>661.92975464320057</v>
      </c>
      <c r="N159" s="27">
        <f>N153*'Conversions and Lookups'!$C$11*HLOOKUP(N$158,'Conversions and Lookups'!$B$76:$AE$78, 3, 0)</f>
        <v>654.33903904587066</v>
      </c>
      <c r="O159" s="27">
        <f>O153*'Conversions and Lookups'!$C$11*HLOOKUP(O$158,'Conversions and Lookups'!$B$76:$AE$78, 3, 0)</f>
        <v>653.29503794082677</v>
      </c>
      <c r="P159" s="27">
        <f>P153*'Conversions and Lookups'!$C$11*HLOOKUP(P$158,'Conversions and Lookups'!$B$76:$AE$78, 3, 0)</f>
        <v>664.23816188912338</v>
      </c>
      <c r="Q159" s="27">
        <f>Q153*'Conversions and Lookups'!$C$11*HLOOKUP(Q$158,'Conversions and Lookups'!$B$76:$AE$78, 3, 0)</f>
        <v>650.29730504365057</v>
      </c>
      <c r="R159" s="27">
        <f>R153*'Conversions and Lookups'!$C$11*HLOOKUP(R$158,'Conversions and Lookups'!$B$76:$AE$78, 3, 0)</f>
        <v>642.75167901387761</v>
      </c>
      <c r="S159" s="27">
        <f>S153*'Conversions and Lookups'!$C$11*HLOOKUP(S$158,'Conversions and Lookups'!$B$76:$AE$78, 3, 0)</f>
        <v>653.02381851335417</v>
      </c>
      <c r="T159" s="27">
        <f>T153*'Conversions and Lookups'!$C$11*HLOOKUP(T$158,'Conversions and Lookups'!$B$76:$AE$78, 3, 0)</f>
        <v>649.04022751331968</v>
      </c>
      <c r="U159" s="27">
        <f>U153*'Conversions and Lookups'!$C$11*HLOOKUP(U$158,'Conversions and Lookups'!$B$76:$AE$78, 3, 0)</f>
        <v>642.7062298026525</v>
      </c>
      <c r="V159" s="27">
        <f>V153*'Conversions and Lookups'!$C$11*HLOOKUP(V$158,'Conversions and Lookups'!$B$76:$AE$78, 3, 0)</f>
        <v>637.1025119447504</v>
      </c>
      <c r="W159" s="27">
        <f>W153*'Conversions and Lookups'!$C$11*HLOOKUP(W$158,'Conversions and Lookups'!$B$76:$AE$78, 3, 0)</f>
        <v>639.76397502297357</v>
      </c>
      <c r="X159" s="27">
        <f>X153*'Conversions and Lookups'!$C$11*HLOOKUP(X$158,'Conversions and Lookups'!$B$76:$AE$78, 3, 0)</f>
        <v>502.60290500860424</v>
      </c>
      <c r="Y159" s="27">
        <f>Y153*'Conversions and Lookups'!$C$11*HLOOKUP(Y$158,'Conversions and Lookups'!$B$76:$AE$78, 3, 0)</f>
        <v>361.27272151489677</v>
      </c>
      <c r="Z159" s="27">
        <f>Z153*'Conversions and Lookups'!$C$11*HLOOKUP(Z$158,'Conversions and Lookups'!$B$76:$AE$78, 3, 0)</f>
        <v>229.15033409649035</v>
      </c>
      <c r="AA159" s="27">
        <f>AA153*'Conversions and Lookups'!$C$11*HLOOKUP(AA$158,'Conversions and Lookups'!$B$76:$AE$78, 3, 0)</f>
        <v>114.91379510250729</v>
      </c>
      <c r="AB159" s="27">
        <f>AB153*'Conversions and Lookups'!$C$11*HLOOKUP(AB$158,'Conversions and Lookups'!$B$76:$AE$78, 3, 0)</f>
        <v>0</v>
      </c>
      <c r="AC159" s="44">
        <f>SUM(C159:H159)</f>
        <v>4183.6044552399198</v>
      </c>
      <c r="AD159" s="44">
        <f>SUM(C159:AB159)</f>
        <v>15731.52330047087</v>
      </c>
    </row>
    <row r="160" spans="2:30" x14ac:dyDescent="0.35">
      <c r="B160" s="23" t="s">
        <v>161</v>
      </c>
      <c r="C160" s="27">
        <f>C154*'Conversions and Lookups'!$C$107*'Conversions and Lookups'!$C$10</f>
        <v>311.58706954905233</v>
      </c>
      <c r="D160" s="27">
        <f>D154*'Conversions and Lookups'!$C$107*'Conversions and Lookups'!$C$10</f>
        <v>623.17413909810466</v>
      </c>
      <c r="E160" s="27">
        <f>E154*'Conversions and Lookups'!$C$107*'Conversions and Lookups'!$C$10</f>
        <v>934.76120864715699</v>
      </c>
      <c r="F160" s="27">
        <f>F154*'Conversions and Lookups'!$C$107*'Conversions and Lookups'!$C$10</f>
        <v>1246.3482781962093</v>
      </c>
      <c r="G160" s="27">
        <f>G154*'Conversions and Lookups'!$C$107*'Conversions and Lookups'!$C$10</f>
        <v>1557.9353477452617</v>
      </c>
      <c r="H160" s="27">
        <f>H154*'Conversions and Lookups'!$C$107*'Conversions and Lookups'!$C$10</f>
        <v>1557.9353477452617</v>
      </c>
      <c r="I160" s="27">
        <f>I154*'Conversions and Lookups'!$C$107*'Conversions and Lookups'!$C$10</f>
        <v>1557.9353477452617</v>
      </c>
      <c r="J160" s="27">
        <f>J154*'Conversions and Lookups'!$C$107*'Conversions and Lookups'!$C$10</f>
        <v>1557.9353477452617</v>
      </c>
      <c r="K160" s="27">
        <f>K154*'Conversions and Lookups'!$C$107*'Conversions and Lookups'!$C$10</f>
        <v>1557.9353477452617</v>
      </c>
      <c r="L160" s="27">
        <f>L154*'Conversions and Lookups'!$C$107*'Conversions and Lookups'!$C$10</f>
        <v>1557.9353477452617</v>
      </c>
      <c r="M160" s="27">
        <f>M154*'Conversions and Lookups'!$C$107*'Conversions and Lookups'!$C$10</f>
        <v>1557.9353477452617</v>
      </c>
      <c r="N160" s="27">
        <f>N154*'Conversions and Lookups'!$C$107*'Conversions and Lookups'!$C$10</f>
        <v>1557.9353477452617</v>
      </c>
      <c r="O160" s="27">
        <f>O154*'Conversions and Lookups'!$C$107*'Conversions and Lookups'!$C$10</f>
        <v>1557.9353477452617</v>
      </c>
      <c r="P160" s="27">
        <f>P154*'Conversions and Lookups'!$C$107*'Conversions and Lookups'!$C$10</f>
        <v>1557.9353477452617</v>
      </c>
      <c r="Q160" s="27">
        <f>Q154*'Conversions and Lookups'!$C$107*'Conversions and Lookups'!$C$10</f>
        <v>1557.9353477452617</v>
      </c>
      <c r="R160" s="27">
        <f>R154*'Conversions and Lookups'!$C$107*'Conversions and Lookups'!$C$10</f>
        <v>1557.9353477452617</v>
      </c>
      <c r="S160" s="27">
        <f>S154*'Conversions and Lookups'!$C$107*'Conversions and Lookups'!$C$10</f>
        <v>1557.9353477452617</v>
      </c>
      <c r="T160" s="27">
        <f>T154*'Conversions and Lookups'!$C$107*'Conversions and Lookups'!$C$10</f>
        <v>1557.9353477452617</v>
      </c>
      <c r="U160" s="27">
        <f>U154*'Conversions and Lookups'!$C$107*'Conversions and Lookups'!$C$10</f>
        <v>1557.9353477452617</v>
      </c>
      <c r="V160" s="27">
        <f>V154*'Conversions and Lookups'!$C$107*'Conversions and Lookups'!$C$10</f>
        <v>1557.9353477452617</v>
      </c>
      <c r="W160" s="27">
        <f>W154*'Conversions and Lookups'!$C$107*'Conversions and Lookups'!$C$10</f>
        <v>1557.9353477452617</v>
      </c>
      <c r="X160" s="27">
        <f>X154*'Conversions and Lookups'!$C$107*'Conversions and Lookups'!$C$10</f>
        <v>1246.3482781962093</v>
      </c>
      <c r="Y160" s="27">
        <f>Y154*'Conversions and Lookups'!$C$107*'Conversions and Lookups'!$C$10</f>
        <v>934.76120864715699</v>
      </c>
      <c r="Z160" s="27">
        <f>Z154*'Conversions and Lookups'!$C$107*'Conversions and Lookups'!$C$10</f>
        <v>623.17413909810466</v>
      </c>
      <c r="AA160" s="27">
        <f>AA154*'Conversions and Lookups'!$C$107*'Conversions and Lookups'!$C$10</f>
        <v>311.58706954905233</v>
      </c>
      <c r="AB160" s="27">
        <f>AB154*'Conversions and Lookups'!$C$107*'Conversions and Lookups'!$C$10</f>
        <v>0</v>
      </c>
      <c r="AC160" s="44">
        <f t="shared" ref="AC160:AC162" si="42">SUM(C160:H160)</f>
        <v>6231.7413909810466</v>
      </c>
      <c r="AD160" s="44">
        <f t="shared" ref="AD160:AD162" si="43">SUM(C160:AB160)</f>
        <v>32716.642302650485</v>
      </c>
    </row>
    <row r="161" spans="2:30" x14ac:dyDescent="0.35">
      <c r="B161" s="23" t="s">
        <v>162</v>
      </c>
      <c r="C161" s="27">
        <f>C155*'Conversions and Lookups'!$D$107*'Conversions and Lookups'!$C$10</f>
        <v>24.854306920199495</v>
      </c>
      <c r="D161" s="27">
        <f>D155*'Conversions and Lookups'!$D$107*'Conversions and Lookups'!$C$10</f>
        <v>49.708613840398989</v>
      </c>
      <c r="E161" s="27">
        <f>E155*'Conversions and Lookups'!$D$107*'Conversions and Lookups'!$C$10</f>
        <v>74.562920760598487</v>
      </c>
      <c r="F161" s="27">
        <f>F155*'Conversions and Lookups'!$D$107*'Conversions and Lookups'!$C$10</f>
        <v>99.417227680797978</v>
      </c>
      <c r="G161" s="27">
        <f>G155*'Conversions and Lookups'!$D$107*'Conversions and Lookups'!$C$10</f>
        <v>124.27153460099748</v>
      </c>
      <c r="H161" s="27">
        <f>H155*'Conversions and Lookups'!$D$107*'Conversions and Lookups'!$C$10</f>
        <v>124.27153460099748</v>
      </c>
      <c r="I161" s="27">
        <f>I155*'Conversions and Lookups'!$D$107*'Conversions and Lookups'!$C$10</f>
        <v>124.27153460099748</v>
      </c>
      <c r="J161" s="27">
        <f>J155*'Conversions and Lookups'!$D$107*'Conversions and Lookups'!$C$10</f>
        <v>124.27153460099748</v>
      </c>
      <c r="K161" s="27">
        <f>K155*'Conversions and Lookups'!$D$107*'Conversions and Lookups'!$C$10</f>
        <v>124.27153460099748</v>
      </c>
      <c r="L161" s="27">
        <f>L155*'Conversions and Lookups'!$D$107*'Conversions and Lookups'!$C$10</f>
        <v>124.27153460099748</v>
      </c>
      <c r="M161" s="27">
        <f>M155*'Conversions and Lookups'!$D$107*'Conversions and Lookups'!$C$10</f>
        <v>124.27153460099748</v>
      </c>
      <c r="N161" s="27">
        <f>N155*'Conversions and Lookups'!$D$107*'Conversions and Lookups'!$C$10</f>
        <v>124.27153460099748</v>
      </c>
      <c r="O161" s="27">
        <f>O155*'Conversions and Lookups'!$D$107*'Conversions and Lookups'!$C$10</f>
        <v>124.27153460099748</v>
      </c>
      <c r="P161" s="27">
        <f>P155*'Conversions and Lookups'!$D$107*'Conversions and Lookups'!$C$10</f>
        <v>124.27153460099748</v>
      </c>
      <c r="Q161" s="27">
        <f>Q155*'Conversions and Lookups'!$D$107*'Conversions and Lookups'!$C$10</f>
        <v>124.27153460099748</v>
      </c>
      <c r="R161" s="27">
        <f>R155*'Conversions and Lookups'!$D$107*'Conversions and Lookups'!$C$10</f>
        <v>124.27153460099748</v>
      </c>
      <c r="S161" s="27">
        <f>S155*'Conversions and Lookups'!$D$107*'Conversions and Lookups'!$C$10</f>
        <v>124.27153460099748</v>
      </c>
      <c r="T161" s="27">
        <f>T155*'Conversions and Lookups'!$D$107*'Conversions and Lookups'!$C$10</f>
        <v>124.27153460099748</v>
      </c>
      <c r="U161" s="27">
        <f>U155*'Conversions and Lookups'!$D$107*'Conversions and Lookups'!$C$10</f>
        <v>124.27153460099748</v>
      </c>
      <c r="V161" s="27">
        <f>V155*'Conversions and Lookups'!$D$107*'Conversions and Lookups'!$C$10</f>
        <v>124.27153460099748</v>
      </c>
      <c r="W161" s="27">
        <f>W155*'Conversions and Lookups'!$D$107*'Conversions and Lookups'!$C$10</f>
        <v>124.27153460099748</v>
      </c>
      <c r="X161" s="27">
        <f>X155*'Conversions and Lookups'!$D$107*'Conversions and Lookups'!$C$10</f>
        <v>99.417227680797978</v>
      </c>
      <c r="Y161" s="27">
        <f>Y155*'Conversions and Lookups'!$D$107*'Conversions and Lookups'!$C$10</f>
        <v>74.562920760598487</v>
      </c>
      <c r="Z161" s="27">
        <f>Z155*'Conversions and Lookups'!$D$107*'Conversions and Lookups'!$C$10</f>
        <v>49.708613840398989</v>
      </c>
      <c r="AA161" s="27">
        <f>AA155*'Conversions and Lookups'!$D$107*'Conversions and Lookups'!$C$10</f>
        <v>24.854306920199495</v>
      </c>
      <c r="AB161" s="27">
        <f>AB155*'Conversions and Lookups'!$D$107*'Conversions and Lookups'!$C$10</f>
        <v>0</v>
      </c>
      <c r="AC161" s="44">
        <f t="shared" si="42"/>
        <v>497.08613840398993</v>
      </c>
      <c r="AD161" s="44">
        <f t="shared" si="43"/>
        <v>2609.7022266209465</v>
      </c>
    </row>
    <row r="162" spans="2:30" x14ac:dyDescent="0.35">
      <c r="B162" s="23" t="s">
        <v>163</v>
      </c>
      <c r="C162" s="27">
        <f>C156*'Conversions and Lookups'!$E$107*'Conversions and Lookups'!$C$10</f>
        <v>93.691696274937783</v>
      </c>
      <c r="D162" s="27">
        <f>D156*'Conversions and Lookups'!$E$107*'Conversions and Lookups'!$C$10</f>
        <v>187.38339254987557</v>
      </c>
      <c r="E162" s="27">
        <f>E156*'Conversions and Lookups'!$E$107*'Conversions and Lookups'!$C$10</f>
        <v>281.07508882481335</v>
      </c>
      <c r="F162" s="27">
        <f>F156*'Conversions and Lookups'!$E$107*'Conversions and Lookups'!$C$10</f>
        <v>374.76678509975113</v>
      </c>
      <c r="G162" s="27">
        <f>G156*'Conversions and Lookups'!$E$107*'Conversions and Lookups'!$C$10</f>
        <v>468.45848137468892</v>
      </c>
      <c r="H162" s="27">
        <f>H156*'Conversions and Lookups'!$E$107*'Conversions and Lookups'!$C$10</f>
        <v>468.45848137468892</v>
      </c>
      <c r="I162" s="27">
        <f>I156*'Conversions and Lookups'!$E$107*'Conversions and Lookups'!$C$10</f>
        <v>468.45848137468892</v>
      </c>
      <c r="J162" s="27">
        <f>J156*'Conversions and Lookups'!$E$107*'Conversions and Lookups'!$C$10</f>
        <v>468.45848137468892</v>
      </c>
      <c r="K162" s="27">
        <f>K156*'Conversions and Lookups'!$E$107*'Conversions and Lookups'!$C$10</f>
        <v>468.45848137468892</v>
      </c>
      <c r="L162" s="27">
        <f>L156*'Conversions and Lookups'!$E$107*'Conversions and Lookups'!$C$10</f>
        <v>468.45848137468892</v>
      </c>
      <c r="M162" s="27">
        <f>M156*'Conversions and Lookups'!$E$107*'Conversions and Lookups'!$C$10</f>
        <v>468.45848137468892</v>
      </c>
      <c r="N162" s="27">
        <f>N156*'Conversions and Lookups'!$E$107*'Conversions and Lookups'!$C$10</f>
        <v>468.45848137468892</v>
      </c>
      <c r="O162" s="27">
        <f>O156*'Conversions and Lookups'!$E$107*'Conversions and Lookups'!$C$10</f>
        <v>468.45848137468892</v>
      </c>
      <c r="P162" s="27">
        <f>P156*'Conversions and Lookups'!$E$107*'Conversions and Lookups'!$C$10</f>
        <v>468.45848137468892</v>
      </c>
      <c r="Q162" s="27">
        <f>Q156*'Conversions and Lookups'!$E$107*'Conversions and Lookups'!$C$10</f>
        <v>468.45848137468892</v>
      </c>
      <c r="R162" s="27">
        <f>R156*'Conversions and Lookups'!$E$107*'Conversions and Lookups'!$C$10</f>
        <v>468.45848137468892</v>
      </c>
      <c r="S162" s="27">
        <f>S156*'Conversions and Lookups'!$E$107*'Conversions and Lookups'!$C$10</f>
        <v>468.45848137468892</v>
      </c>
      <c r="T162" s="27">
        <f>T156*'Conversions and Lookups'!$E$107*'Conversions and Lookups'!$C$10</f>
        <v>468.45848137468892</v>
      </c>
      <c r="U162" s="27">
        <f>U156*'Conversions and Lookups'!$E$107*'Conversions and Lookups'!$C$10</f>
        <v>468.45848137468892</v>
      </c>
      <c r="V162" s="27">
        <f>V156*'Conversions and Lookups'!$E$107*'Conversions and Lookups'!$C$10</f>
        <v>468.45848137468892</v>
      </c>
      <c r="W162" s="27">
        <f>W156*'Conversions and Lookups'!$E$107*'Conversions and Lookups'!$C$10</f>
        <v>468.45848137468892</v>
      </c>
      <c r="X162" s="27">
        <f>X156*'Conversions and Lookups'!$E$107*'Conversions and Lookups'!$C$10</f>
        <v>374.76678509975113</v>
      </c>
      <c r="Y162" s="27">
        <f>Y156*'Conversions and Lookups'!$E$107*'Conversions and Lookups'!$C$10</f>
        <v>281.07508882481335</v>
      </c>
      <c r="Z162" s="27">
        <f>Z156*'Conversions and Lookups'!$E$107*'Conversions and Lookups'!$C$10</f>
        <v>187.38339254987557</v>
      </c>
      <c r="AA162" s="27">
        <f>AA156*'Conversions and Lookups'!$E$107*'Conversions and Lookups'!$C$10</f>
        <v>93.691696274937783</v>
      </c>
      <c r="AB162" s="27">
        <f>AB156*'Conversions and Lookups'!$E$107*'Conversions and Lookups'!$C$10</f>
        <v>0</v>
      </c>
      <c r="AC162" s="44">
        <f t="shared" si="42"/>
        <v>1873.8339254987557</v>
      </c>
      <c r="AD162" s="44">
        <f t="shared" si="43"/>
        <v>9837.6281088684664</v>
      </c>
    </row>
    <row r="163" spans="2:30" x14ac:dyDescent="0.35">
      <c r="B163" s="125" t="s">
        <v>17</v>
      </c>
      <c r="C163" s="126">
        <f>SUM(C159:C162)</f>
        <v>687.90495484065468</v>
      </c>
      <c r="D163" s="126">
        <f t="shared" ref="D163:AB163" si="44">SUM(D159:D162)</f>
        <v>1364.6300392046219</v>
      </c>
      <c r="E163" s="126">
        <f t="shared" si="44"/>
        <v>1983.1367933475201</v>
      </c>
      <c r="F163" s="126">
        <f t="shared" si="44"/>
        <v>2613.6003734941933</v>
      </c>
      <c r="G163" s="126">
        <f t="shared" si="44"/>
        <v>3098.6139215184066</v>
      </c>
      <c r="H163" s="126">
        <f t="shared" si="44"/>
        <v>3038.379827718315</v>
      </c>
      <c r="I163" s="126">
        <f t="shared" si="44"/>
        <v>2982.7887419519511</v>
      </c>
      <c r="J163" s="126">
        <f t="shared" si="44"/>
        <v>2981.6203123857667</v>
      </c>
      <c r="K163" s="126">
        <f t="shared" si="44"/>
        <v>2969.7216278597407</v>
      </c>
      <c r="L163" s="126">
        <f t="shared" si="44"/>
        <v>2860.0221218211836</v>
      </c>
      <c r="M163" s="126">
        <f t="shared" si="44"/>
        <v>2812.5951183641482</v>
      </c>
      <c r="N163" s="126">
        <f t="shared" si="44"/>
        <v>2805.0044027668182</v>
      </c>
      <c r="O163" s="126">
        <f t="shared" si="44"/>
        <v>2803.960401661775</v>
      </c>
      <c r="P163" s="126">
        <f t="shared" si="44"/>
        <v>2814.9035256100715</v>
      </c>
      <c r="Q163" s="126">
        <f t="shared" si="44"/>
        <v>2800.9626687645987</v>
      </c>
      <c r="R163" s="126">
        <f t="shared" si="44"/>
        <v>2793.4170427348254</v>
      </c>
      <c r="S163" s="126">
        <f t="shared" si="44"/>
        <v>2803.6891822343023</v>
      </c>
      <c r="T163" s="126">
        <f t="shared" si="44"/>
        <v>2799.7055912342676</v>
      </c>
      <c r="U163" s="126">
        <f t="shared" si="44"/>
        <v>2793.3715935236005</v>
      </c>
      <c r="V163" s="126">
        <f t="shared" si="44"/>
        <v>2787.7678756656978</v>
      </c>
      <c r="W163" s="126">
        <f t="shared" si="44"/>
        <v>2790.4293387439211</v>
      </c>
      <c r="X163" s="126">
        <f t="shared" si="44"/>
        <v>2223.1351959853628</v>
      </c>
      <c r="Y163" s="126">
        <f t="shared" si="44"/>
        <v>1651.6719397474656</v>
      </c>
      <c r="Z163" s="126">
        <f t="shared" si="44"/>
        <v>1089.4164795848696</v>
      </c>
      <c r="AA163" s="126">
        <f t="shared" si="44"/>
        <v>545.04686784669684</v>
      </c>
      <c r="AB163" s="126">
        <f t="shared" si="44"/>
        <v>0</v>
      </c>
      <c r="AC163" s="93">
        <f>SUM(C163:H163)</f>
        <v>12786.265910123711</v>
      </c>
      <c r="AD163" s="93">
        <f>SUM(C163:AB163)</f>
        <v>60895.49593861078</v>
      </c>
    </row>
    <row r="165" spans="2:30" x14ac:dyDescent="0.35">
      <c r="B165" s="125" t="s">
        <v>167</v>
      </c>
      <c r="C165" s="3">
        <v>2025</v>
      </c>
      <c r="D165" s="3">
        <v>2026</v>
      </c>
      <c r="E165" s="3">
        <v>2027</v>
      </c>
      <c r="F165" s="3">
        <v>2028</v>
      </c>
      <c r="G165" s="3">
        <v>2029</v>
      </c>
      <c r="H165" s="3">
        <v>2030</v>
      </c>
      <c r="I165" s="3">
        <v>2031</v>
      </c>
      <c r="J165" s="3">
        <v>2032</v>
      </c>
      <c r="K165" s="3">
        <v>2033</v>
      </c>
      <c r="L165" s="3">
        <v>2034</v>
      </c>
      <c r="M165" s="3">
        <v>2035</v>
      </c>
      <c r="N165" s="3">
        <v>2036</v>
      </c>
      <c r="O165" s="3">
        <v>2037</v>
      </c>
      <c r="P165" s="3">
        <v>2038</v>
      </c>
      <c r="Q165" s="3">
        <v>2039</v>
      </c>
      <c r="R165" s="3">
        <v>2040</v>
      </c>
      <c r="S165" s="3">
        <v>2041</v>
      </c>
      <c r="T165" s="3">
        <v>2042</v>
      </c>
      <c r="U165" s="3">
        <v>2043</v>
      </c>
      <c r="V165" s="3">
        <v>2044</v>
      </c>
      <c r="W165" s="3">
        <v>2045</v>
      </c>
      <c r="X165" s="3">
        <v>2046</v>
      </c>
      <c r="Y165" s="3">
        <v>2047</v>
      </c>
      <c r="Z165" s="3">
        <v>2048</v>
      </c>
      <c r="AA165" s="3">
        <v>2049</v>
      </c>
      <c r="AB165" s="3">
        <v>2050</v>
      </c>
    </row>
    <row r="166" spans="2:30" x14ac:dyDescent="0.35">
      <c r="B166" s="23" t="s">
        <v>160</v>
      </c>
      <c r="C166" s="44">
        <f>C153*'Conversions and Lookups'!$C$11</f>
        <v>961187.65150815761</v>
      </c>
      <c r="D166" s="44">
        <f>D153*'Conversions and Lookups'!$C$11</f>
        <v>1922375.3030163152</v>
      </c>
      <c r="E166" s="44">
        <f>E153*'Conversions and Lookups'!$C$11</f>
        <v>2883562.9545244728</v>
      </c>
      <c r="F166" s="44">
        <f>F153*'Conversions and Lookups'!$C$11</f>
        <v>3844750.6060326304</v>
      </c>
      <c r="G166" s="44">
        <f>G153*'Conversions and Lookups'!$C$11</f>
        <v>4805938.2575407876</v>
      </c>
      <c r="H166" s="44">
        <f>H153*'Conversions and Lookups'!$C$11</f>
        <v>4805938.2575407876</v>
      </c>
      <c r="I166" s="44">
        <f>I153*'Conversions and Lookups'!$C$11</f>
        <v>4805938.2575407876</v>
      </c>
      <c r="J166" s="44">
        <f>J153*'Conversions and Lookups'!$C$11</f>
        <v>4805938.2575407876</v>
      </c>
      <c r="K166" s="44">
        <f>K153*'Conversions and Lookups'!$C$11</f>
        <v>4805938.2575407876</v>
      </c>
      <c r="L166" s="44">
        <f>L153*'Conversions and Lookups'!$C$11</f>
        <v>4805938.2575407876</v>
      </c>
      <c r="M166" s="44">
        <f>M153*'Conversions and Lookups'!$C$11</f>
        <v>4805938.2575407876</v>
      </c>
      <c r="N166" s="44">
        <f>N153*'Conversions and Lookups'!$C$11</f>
        <v>4805938.2575407876</v>
      </c>
      <c r="O166" s="44">
        <f>O153*'Conversions and Lookups'!$C$11</f>
        <v>4805938.2575407876</v>
      </c>
      <c r="P166" s="44">
        <f>P153*'Conversions and Lookups'!$C$11</f>
        <v>4805938.2575407876</v>
      </c>
      <c r="Q166" s="44">
        <f>Q153*'Conversions and Lookups'!$C$11</f>
        <v>4805938.2575407876</v>
      </c>
      <c r="R166" s="44">
        <f>R153*'Conversions and Lookups'!$C$11</f>
        <v>4805938.2575407876</v>
      </c>
      <c r="S166" s="44">
        <f>S153*'Conversions and Lookups'!$C$11</f>
        <v>4805938.2575407876</v>
      </c>
      <c r="T166" s="44">
        <f>T153*'Conversions and Lookups'!$C$11</f>
        <v>4805938.2575407876</v>
      </c>
      <c r="U166" s="44">
        <f>U153*'Conversions and Lookups'!$C$11</f>
        <v>4805938.2575407876</v>
      </c>
      <c r="V166" s="44">
        <f>V153*'Conversions and Lookups'!$C$11</f>
        <v>4805938.2575407876</v>
      </c>
      <c r="W166" s="44">
        <f>W153*'Conversions and Lookups'!$C$11</f>
        <v>4805938.2575407876</v>
      </c>
      <c r="X166" s="44">
        <f>X153*'Conversions and Lookups'!$C$11</f>
        <v>3844750.6060326295</v>
      </c>
      <c r="Y166" s="44">
        <f>Y153*'Conversions and Lookups'!$C$11</f>
        <v>2883562.9545244724</v>
      </c>
      <c r="Z166" s="44">
        <f>Z153*'Conversions and Lookups'!$C$11</f>
        <v>1922375.3030163145</v>
      </c>
      <c r="AA166" s="44">
        <f>AA153*'Conversions and Lookups'!$C$11</f>
        <v>961187.65150815703</v>
      </c>
      <c r="AB166" s="44">
        <f>AB153*'Conversions and Lookups'!$C$11</f>
        <v>0</v>
      </c>
    </row>
    <row r="167" spans="2:30" x14ac:dyDescent="0.35">
      <c r="C167" s="32"/>
      <c r="D167" s="30"/>
      <c r="E167" s="30"/>
      <c r="F167" s="30"/>
      <c r="G167" s="30"/>
      <c r="H167" s="30"/>
    </row>
    <row r="168" spans="2:30" x14ac:dyDescent="0.35">
      <c r="B168" s="10" t="s">
        <v>168</v>
      </c>
    </row>
    <row r="169" spans="2:30" x14ac:dyDescent="0.35">
      <c r="B169" s="3" t="s">
        <v>169</v>
      </c>
      <c r="C169" s="3" t="s">
        <v>161</v>
      </c>
      <c r="D169" s="3" t="s">
        <v>170</v>
      </c>
      <c r="E169" s="3" t="s">
        <v>17</v>
      </c>
    </row>
    <row r="170" spans="2:30" x14ac:dyDescent="0.35">
      <c r="B170" s="3" t="s">
        <v>171</v>
      </c>
      <c r="C170" s="5">
        <f>SUMIFS('Conversions and Lookups'!$G$111:$G$127,'Conversions and Lookups'!$D$111:$D$127,'Measure 1'!C$169,'Conversions and Lookups'!$B$111:$B$127,'Measure 1'!$B170)*$C$154</f>
        <v>59.843288700472129</v>
      </c>
      <c r="D170" s="5">
        <f>SUMIFS('Conversions and Lookups'!$G$111:$G$127,'Conversions and Lookups'!$D$111:$D$127,'Measure 1'!D$169,'Conversions and Lookups'!$B$111:$B$127,'Measure 1'!$B170)*$C$154</f>
        <v>23.728762336436549</v>
      </c>
      <c r="E170" s="45">
        <f>SUM(C170:D170)</f>
        <v>83.572051036908675</v>
      </c>
    </row>
    <row r="171" spans="2:30" x14ac:dyDescent="0.35">
      <c r="B171" s="3" t="s">
        <v>172</v>
      </c>
      <c r="C171" s="5">
        <f>SUMIFS('Conversions and Lookups'!$G$111:$G$127,'Conversions and Lookups'!$D$111:$D$127,'Measure 1'!C$169,'Conversions and Lookups'!$B$111:$B$127,'Measure 1'!$B171)*$C$154</f>
        <v>119.68657021655555</v>
      </c>
      <c r="D171" s="5">
        <f>SUMIFS('Conversions and Lookups'!$G$111:$G$127,'Conversions and Lookups'!$D$111:$D$127,'Measure 1'!D$169,'Conversions and Lookups'!$B$111:$B$127,'Measure 1'!$B171)*$C$154</f>
        <v>118.64380974564635</v>
      </c>
      <c r="E171" s="45">
        <f t="shared" ref="E171:E177" si="45">SUM(C171:D171)</f>
        <v>238.3303799622019</v>
      </c>
    </row>
    <row r="172" spans="2:30" x14ac:dyDescent="0.35">
      <c r="B172" s="3" t="s">
        <v>25</v>
      </c>
      <c r="C172" s="5">
        <f>SUMIFS('Conversions and Lookups'!$G$111:$G$127,'Conversions and Lookups'!$D$111:$D$127,'Measure 1'!C$169,'Conversions and Lookups'!$B$111:$B$127,'Measure 1'!$B172)*$C$154</f>
        <v>0</v>
      </c>
      <c r="D172" s="5">
        <f>SUMIFS('Conversions and Lookups'!$G$111:$G$127,'Conversions and Lookups'!$D$111:$D$127,'Measure 1'!D$169,'Conversions and Lookups'!$B$111:$B$127,'Measure 1'!$B172)*$C$154</f>
        <v>5.3618200912822635E-2</v>
      </c>
      <c r="E172" s="45">
        <f t="shared" si="45"/>
        <v>5.3618200912822635E-2</v>
      </c>
    </row>
    <row r="173" spans="2:30" x14ac:dyDescent="0.35">
      <c r="B173" s="3" t="s">
        <v>173</v>
      </c>
      <c r="C173" s="5">
        <f>SUMIFS('Conversions and Lookups'!$G$111:$G$127,'Conversions and Lookups'!$D$111:$D$127,'Measure 1'!C$169,'Conversions and Lookups'!$B$111:$B$127,'Measure 1'!$B173)*$C$154</f>
        <v>281.2634416539027</v>
      </c>
      <c r="D173" s="5">
        <f>SUMIFS('Conversions and Lookups'!$G$111:$G$127,'Conversions and Lookups'!$D$111:$D$127,'Measure 1'!D$169,'Conversions and Lookups'!$B$111:$B$127,'Measure 1'!$B173)*$C$154</f>
        <v>427.11770128581622</v>
      </c>
      <c r="E173" s="45">
        <f t="shared" si="45"/>
        <v>708.38114293971898</v>
      </c>
    </row>
    <row r="174" spans="2:30" x14ac:dyDescent="0.35">
      <c r="B174" s="3" t="s">
        <v>174</v>
      </c>
      <c r="C174" s="5">
        <f>SUMIFS('Conversions and Lookups'!$G$111:$G$127,'Conversions and Lookups'!$D$111:$D$127,'Measure 1'!C$169,'Conversions and Lookups'!$B$111:$B$127,'Measure 1'!$B174)*$C$154</f>
        <v>1.5558879853752601</v>
      </c>
      <c r="D174" s="5">
        <f>SUMIFS('Conversions and Lookups'!$G$111:$G$127,'Conversions and Lookups'!$D$111:$D$127,'Measure 1'!D$169,'Conversions and Lookups'!$B$111:$B$127,'Measure 1'!$B174)*$C$154</f>
        <v>56.47445250354329</v>
      </c>
      <c r="E174" s="45">
        <f t="shared" si="45"/>
        <v>58.030340488918547</v>
      </c>
    </row>
    <row r="175" spans="2:30" x14ac:dyDescent="0.35">
      <c r="B175" s="3" t="s">
        <v>175</v>
      </c>
      <c r="C175" s="5">
        <f>SUMIFS('Conversions and Lookups'!$G$111:$G$127,'Conversions and Lookups'!$D$111:$D$127,'Measure 1'!C$169,'Conversions and Lookups'!$B$111:$B$127,'Measure 1'!$B175)*$C$154</f>
        <v>1.2865912307545289</v>
      </c>
      <c r="D175" s="5">
        <f>SUMIFS('Conversions and Lookups'!$G$111:$G$127,'Conversions and Lookups'!$D$111:$D$127,'Measure 1'!D$169,'Conversions and Lookups'!$B$111:$B$127,'Measure 1'!$B175)*$C$154</f>
        <v>50.542259975686356</v>
      </c>
      <c r="E175" s="45">
        <f t="shared" si="45"/>
        <v>51.828851206440888</v>
      </c>
    </row>
    <row r="176" spans="2:30" x14ac:dyDescent="0.35">
      <c r="B176" s="3" t="s">
        <v>176</v>
      </c>
      <c r="C176" s="5">
        <f>SUMIFS('Conversions and Lookups'!$G$111:$G$127,'Conversions and Lookups'!$D$111:$D$127,'Measure 1'!C$169,'Conversions and Lookups'!$B$111:$B$127,'Measure 1'!$B176)*$C$154</f>
        <v>1.7952553572870551</v>
      </c>
      <c r="D176" s="5">
        <f>SUMIFS('Conversions and Lookups'!$G$111:$G$127,'Conversions and Lookups'!$D$111:$D$127,'Measure 1'!D$169,'Conversions and Lookups'!$B$111:$B$127,'Measure 1'!$B176)*$C$154</f>
        <v>10.108451995137278</v>
      </c>
      <c r="E176" s="45">
        <f t="shared" si="45"/>
        <v>11.903707352424334</v>
      </c>
    </row>
    <row r="177" spans="2:5" x14ac:dyDescent="0.35">
      <c r="B177" s="3" t="s">
        <v>177</v>
      </c>
      <c r="C177" s="5">
        <f>SUMIFS('Conversions and Lookups'!$G$111:$G$127,'Conversions and Lookups'!$D$111:$D$127,'Measure 1'!C$169,'Conversions and Lookups'!$B$111:$B$127,'Measure 1'!$B177)*$C$154</f>
        <v>16.456903565515951</v>
      </c>
      <c r="D177" s="5">
        <f>SUMIFS('Conversions and Lookups'!$G$111:$G$127,'Conversions and Lookups'!$D$111:$D$127,'Measure 1'!D$169,'Conversions and Lookups'!$B$111:$B$127,'Measure 1'!$B177)*$C$154</f>
        <v>16.918606265743122</v>
      </c>
      <c r="E177" s="45">
        <f t="shared" si="45"/>
        <v>33.375509831259073</v>
      </c>
    </row>
    <row r="179" spans="2:5" x14ac:dyDescent="0.35">
      <c r="B179" s="143" t="s">
        <v>178</v>
      </c>
      <c r="C179" s="143" t="s">
        <v>85</v>
      </c>
      <c r="D179" s="143" t="s">
        <v>86</v>
      </c>
      <c r="E179" s="143" t="s">
        <v>87</v>
      </c>
    </row>
    <row r="180" spans="2:5" x14ac:dyDescent="0.35">
      <c r="B180" s="135" t="s">
        <v>88</v>
      </c>
      <c r="C180" s="136">
        <v>476113790</v>
      </c>
      <c r="D180" s="137">
        <v>476111670</v>
      </c>
      <c r="E180" s="137">
        <v>-2110</v>
      </c>
    </row>
    <row r="181" spans="2:5" x14ac:dyDescent="0.35">
      <c r="B181" s="135" t="s">
        <v>179</v>
      </c>
      <c r="C181" s="137">
        <v>4060559140</v>
      </c>
      <c r="D181" s="137">
        <v>4060539920</v>
      </c>
      <c r="E181" s="137">
        <v>-19210</v>
      </c>
    </row>
    <row r="182" spans="2:5" x14ac:dyDescent="0.35">
      <c r="B182" s="135" t="s">
        <v>180</v>
      </c>
      <c r="C182" s="137"/>
      <c r="D182" s="137"/>
      <c r="E182" s="137"/>
    </row>
    <row r="183" spans="2:5" x14ac:dyDescent="0.35">
      <c r="B183" s="141" t="s">
        <v>181</v>
      </c>
      <c r="C183" s="137">
        <v>347094670</v>
      </c>
      <c r="D183" s="137">
        <v>347093270</v>
      </c>
      <c r="E183" s="137">
        <v>-1390</v>
      </c>
    </row>
    <row r="184" spans="2:5" x14ac:dyDescent="0.35">
      <c r="B184" s="141" t="s">
        <v>182</v>
      </c>
      <c r="C184" s="137">
        <v>227254370</v>
      </c>
      <c r="D184" s="137">
        <v>227253130</v>
      </c>
      <c r="E184" s="137">
        <v>-1240</v>
      </c>
    </row>
    <row r="185" spans="2:5" x14ac:dyDescent="0.35">
      <c r="B185" s="142" t="s">
        <v>183</v>
      </c>
      <c r="C185" s="137">
        <v>86634940</v>
      </c>
      <c r="D185" s="137">
        <v>86634410</v>
      </c>
      <c r="E185" s="137">
        <v>-530</v>
      </c>
    </row>
    <row r="186" spans="2:5" x14ac:dyDescent="0.35">
      <c r="B186" s="141" t="s">
        <v>184</v>
      </c>
      <c r="C186" s="137">
        <v>624953532140</v>
      </c>
      <c r="D186" s="137">
        <v>624950609080</v>
      </c>
      <c r="E186" s="137">
        <v>-2905380</v>
      </c>
    </row>
    <row r="187" spans="2:5" x14ac:dyDescent="0.35">
      <c r="B187" s="141" t="s">
        <v>185</v>
      </c>
      <c r="C187" s="137">
        <v>37187760</v>
      </c>
      <c r="D187" s="137">
        <v>37187580</v>
      </c>
      <c r="E187" s="137">
        <v>-180</v>
      </c>
    </row>
    <row r="188" spans="2:5" x14ac:dyDescent="0.35">
      <c r="B188" s="141" t="s">
        <v>23</v>
      </c>
      <c r="C188" s="137">
        <v>7422320</v>
      </c>
      <c r="D188" s="137">
        <v>7422270</v>
      </c>
      <c r="E188" s="137">
        <v>-40</v>
      </c>
    </row>
    <row r="189" spans="2:5" x14ac:dyDescent="0.35">
      <c r="B189" s="141" t="s">
        <v>186</v>
      </c>
      <c r="C189" s="137">
        <v>8756650</v>
      </c>
      <c r="D189" s="137">
        <v>8756590</v>
      </c>
      <c r="E189" s="137">
        <v>-60</v>
      </c>
    </row>
    <row r="190" spans="2:5" x14ac:dyDescent="0.35">
      <c r="B190" t="s">
        <v>187</v>
      </c>
    </row>
    <row r="191" spans="2:5" x14ac:dyDescent="0.35">
      <c r="B191" t="s">
        <v>188</v>
      </c>
    </row>
  </sheetData>
  <sortState xmlns:xlrd2="http://schemas.microsoft.com/office/spreadsheetml/2017/richdata2" ref="B190:B196">
    <sortCondition ref="B190:B196"/>
  </sortState>
  <mergeCells count="2">
    <mergeCell ref="E122:H122"/>
    <mergeCell ref="E137:H137"/>
  </mergeCells>
  <hyperlinks>
    <hyperlink ref="K62" r:id="rId1" xr:uid="{CA651617-7143-4C21-889C-AEDC802BA5B1}"/>
    <hyperlink ref="E84" r:id="rId2" xr:uid="{CCE8437C-373A-4A16-BE60-4CC3E5E1E3A5}"/>
    <hyperlink ref="E77" r:id="rId3" location="by%20End%20uses%20by%20fuel" xr:uid="{D35C8415-4387-4224-B508-B426BFF6337A}"/>
  </hyperlinks>
  <pageMargins left="0.7" right="0.7" top="0.75" bottom="0.75" header="0.3" footer="0.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C698C-B0F3-4BBA-94CC-0DD93913F8A5}">
  <sheetPr>
    <pageSetUpPr autoPageBreaks="0"/>
  </sheetPr>
  <dimension ref="A2:AZ189"/>
  <sheetViews>
    <sheetView showGridLines="0" tabSelected="1" zoomScale="80" zoomScaleNormal="80" workbookViewId="0">
      <selection activeCell="C8" sqref="C8"/>
    </sheetView>
  </sheetViews>
  <sheetFormatPr defaultRowHeight="14.5" x14ac:dyDescent="0.35"/>
  <cols>
    <col min="2" max="2" width="56.26953125" customWidth="1"/>
    <col min="3" max="3" width="26.81640625" customWidth="1"/>
    <col min="4" max="4" width="24.453125" customWidth="1"/>
    <col min="5" max="5" width="11.81640625" customWidth="1"/>
    <col min="6" max="6" width="18.26953125" bestFit="1" customWidth="1"/>
    <col min="7" max="7" width="30.81640625" bestFit="1" customWidth="1"/>
    <col min="8" max="8" width="39.54296875" bestFit="1" customWidth="1"/>
    <col min="9" max="9" width="16.1796875" bestFit="1" customWidth="1"/>
    <col min="10" max="10" width="17.1796875" bestFit="1" customWidth="1"/>
    <col min="11" max="11" width="27.81640625" bestFit="1" customWidth="1"/>
    <col min="12" max="12" width="27.26953125" bestFit="1" customWidth="1"/>
    <col min="13" max="13" width="24.453125" bestFit="1" customWidth="1"/>
    <col min="14" max="14" width="23.1796875" customWidth="1"/>
    <col min="15" max="15" width="21.26953125" customWidth="1"/>
    <col min="16" max="16" width="17.54296875" bestFit="1" customWidth="1"/>
    <col min="17" max="17" width="16.1796875" customWidth="1"/>
    <col min="18" max="18" width="22.81640625" customWidth="1"/>
    <col min="19" max="19" width="24.54296875" bestFit="1" customWidth="1"/>
    <col min="31" max="44" width="8.81640625" bestFit="1" customWidth="1"/>
    <col min="46" max="46" width="15.453125" customWidth="1"/>
    <col min="47" max="47" width="13.7265625" bestFit="1" customWidth="1"/>
    <col min="48" max="48" width="12.81640625" customWidth="1"/>
    <col min="50" max="50" width="18.453125" bestFit="1" customWidth="1"/>
    <col min="51" max="52" width="8.81640625" bestFit="1" customWidth="1"/>
    <col min="53" max="53" width="11.54296875" bestFit="1" customWidth="1"/>
    <col min="54" max="54" width="13.26953125" bestFit="1" customWidth="1"/>
  </cols>
  <sheetData>
    <row r="2" spans="1:6" s="9" customFormat="1" x14ac:dyDescent="0.35">
      <c r="A2" s="29" t="s">
        <v>26</v>
      </c>
    </row>
    <row r="4" spans="1:6" ht="16.5" x14ac:dyDescent="0.45">
      <c r="B4" s="20" t="s">
        <v>189</v>
      </c>
      <c r="C4" s="41" t="s">
        <v>8</v>
      </c>
      <c r="D4" s="41" t="s">
        <v>9</v>
      </c>
    </row>
    <row r="5" spans="1:6" x14ac:dyDescent="0.35">
      <c r="B5" s="3" t="s">
        <v>28</v>
      </c>
      <c r="C5" s="42">
        <f>SUM($C$188:$H$188)</f>
        <v>6853.2332264958077</v>
      </c>
      <c r="D5" s="42">
        <f>SUM($C$188:$AB$188)</f>
        <v>17298.955796036564</v>
      </c>
      <c r="F5" s="32"/>
    </row>
    <row r="6" spans="1:6" x14ac:dyDescent="0.35">
      <c r="B6" s="3" t="s">
        <v>4</v>
      </c>
      <c r="C6" s="4">
        <f>G27+Q51</f>
        <v>24040994.456140351</v>
      </c>
      <c r="D6" s="4">
        <v>0</v>
      </c>
    </row>
    <row r="7" spans="1:6" x14ac:dyDescent="0.35">
      <c r="B7" s="3" t="s">
        <v>29</v>
      </c>
      <c r="C7" s="4">
        <v>1094768.3411100339</v>
      </c>
      <c r="D7" s="4"/>
    </row>
    <row r="8" spans="1:6" x14ac:dyDescent="0.35">
      <c r="B8" s="3" t="s">
        <v>5</v>
      </c>
      <c r="C8" s="4">
        <f>SUM(P27:Q27)+C7</f>
        <v>22274855.79725039</v>
      </c>
      <c r="D8" s="4">
        <v>0</v>
      </c>
    </row>
    <row r="9" spans="1:6" x14ac:dyDescent="0.35">
      <c r="B9" s="3" t="s">
        <v>30</v>
      </c>
      <c r="C9" s="27">
        <f>($C$8/$C$6)*C5</f>
        <v>6349.7698543052293</v>
      </c>
      <c r="D9" s="27">
        <f>($C$8/$C$6)*D5</f>
        <v>16028.111753143599</v>
      </c>
    </row>
    <row r="10" spans="1:6" x14ac:dyDescent="0.35">
      <c r="B10" s="3" t="s">
        <v>31</v>
      </c>
      <c r="C10" s="6">
        <f>$C$8/C9</f>
        <v>3507.9784477775584</v>
      </c>
      <c r="D10" s="6">
        <f>$C$8/D9</f>
        <v>1389.7367413152465</v>
      </c>
    </row>
    <row r="12" spans="1:6" x14ac:dyDescent="0.35">
      <c r="B12" s="20" t="s">
        <v>190</v>
      </c>
      <c r="C12" s="20" t="s">
        <v>33</v>
      </c>
      <c r="D12" s="20" t="s">
        <v>8</v>
      </c>
    </row>
    <row r="13" spans="1:6" x14ac:dyDescent="0.35">
      <c r="B13" s="3" t="s">
        <v>22</v>
      </c>
      <c r="C13" s="5">
        <f>$AT78*'Conversions and Lookups'!$C$8</f>
        <v>11.250157860601243</v>
      </c>
      <c r="D13" s="5">
        <f>C13*5</f>
        <v>56.250789303006215</v>
      </c>
    </row>
    <row r="14" spans="1:6" x14ac:dyDescent="0.35">
      <c r="B14" s="3" t="s">
        <v>19</v>
      </c>
      <c r="C14" s="5">
        <f>$AU78*'Conversions and Lookups'!$C$8</f>
        <v>1.2313775977325758</v>
      </c>
      <c r="D14" s="5">
        <f t="shared" ref="D14:D15" si="0">C14*5</f>
        <v>6.1568879886628789</v>
      </c>
    </row>
    <row r="15" spans="1:6" ht="16.5" x14ac:dyDescent="0.45">
      <c r="B15" s="3" t="s">
        <v>35</v>
      </c>
      <c r="C15" s="5">
        <f>$AV$78*'Conversions and Lookups'!$C$8</f>
        <v>4.9201255397132382E-2</v>
      </c>
      <c r="D15" s="5">
        <f t="shared" si="0"/>
        <v>0.24600627698566191</v>
      </c>
    </row>
    <row r="16" spans="1:6" x14ac:dyDescent="0.35">
      <c r="C16" s="32"/>
    </row>
    <row r="17" spans="1:17" s="9" customFormat="1" x14ac:dyDescent="0.35">
      <c r="A17" s="29" t="s">
        <v>191</v>
      </c>
    </row>
    <row r="19" spans="1:17" x14ac:dyDescent="0.35">
      <c r="B19" s="10" t="s">
        <v>39</v>
      </c>
    </row>
    <row r="20" spans="1:17" x14ac:dyDescent="0.35">
      <c r="B20" s="36" t="s">
        <v>40</v>
      </c>
      <c r="C20" s="36" t="s">
        <v>41</v>
      </c>
      <c r="D20" s="36" t="s">
        <v>42</v>
      </c>
    </row>
    <row r="21" spans="1:17" x14ac:dyDescent="0.35">
      <c r="B21" s="3" t="s">
        <v>192</v>
      </c>
      <c r="C21" s="3">
        <v>1.5</v>
      </c>
      <c r="D21" s="3" t="s">
        <v>132</v>
      </c>
    </row>
    <row r="22" spans="1:17" x14ac:dyDescent="0.35">
      <c r="B22" s="3" t="s">
        <v>193</v>
      </c>
      <c r="C22" s="37">
        <v>6000</v>
      </c>
      <c r="D22" s="3" t="s">
        <v>194</v>
      </c>
    </row>
    <row r="23" spans="1:17" x14ac:dyDescent="0.35">
      <c r="B23" s="3" t="s">
        <v>195</v>
      </c>
      <c r="C23" s="37">
        <f>C22*0.3*0.5</f>
        <v>900</v>
      </c>
      <c r="D23" s="3" t="s">
        <v>194</v>
      </c>
    </row>
    <row r="24" spans="1:17" x14ac:dyDescent="0.35">
      <c r="B24" s="35" t="s">
        <v>196</v>
      </c>
    </row>
    <row r="26" spans="1:17" x14ac:dyDescent="0.35">
      <c r="B26" s="28" t="s">
        <v>197</v>
      </c>
      <c r="C26" s="28" t="s">
        <v>198</v>
      </c>
      <c r="D26" s="28" t="s">
        <v>199</v>
      </c>
      <c r="E26" s="28" t="s">
        <v>200</v>
      </c>
      <c r="F26" s="28" t="s">
        <v>201</v>
      </c>
      <c r="G26" s="28" t="s">
        <v>202</v>
      </c>
      <c r="H26" s="28" t="s">
        <v>203</v>
      </c>
      <c r="I26" s="28" t="s">
        <v>204</v>
      </c>
      <c r="J26" s="28" t="s">
        <v>205</v>
      </c>
      <c r="K26" s="28" t="s">
        <v>206</v>
      </c>
      <c r="L26" s="28" t="s">
        <v>207</v>
      </c>
      <c r="N26" s="28" t="s">
        <v>208</v>
      </c>
      <c r="O26" s="28" t="s">
        <v>200</v>
      </c>
      <c r="P26" s="28" t="s">
        <v>209</v>
      </c>
      <c r="Q26" s="28" t="s">
        <v>210</v>
      </c>
    </row>
    <row r="27" spans="1:17" x14ac:dyDescent="0.35">
      <c r="B27" s="20" t="s">
        <v>17</v>
      </c>
      <c r="C27" s="20"/>
      <c r="D27" s="20"/>
      <c r="E27" s="20">
        <f>SUM(E28:E67)</f>
        <v>443</v>
      </c>
      <c r="F27" s="20"/>
      <c r="G27" s="25">
        <f>SUM(G28:G67)</f>
        <v>22234994.456140351</v>
      </c>
      <c r="H27" s="25">
        <f>SUMPRODUCT($E$28:$E$67,H28:H67)</f>
        <v>2415000</v>
      </c>
      <c r="I27" s="20"/>
      <c r="J27" s="20"/>
      <c r="K27" s="25">
        <f>SUM(K28:K67)</f>
        <v>247907</v>
      </c>
      <c r="L27" s="25">
        <f>SUM(L28:L67)</f>
        <v>19572087.456140351</v>
      </c>
      <c r="N27" s="20" t="s">
        <v>57</v>
      </c>
      <c r="O27" s="21">
        <f>SUM(O28:O38)</f>
        <v>443</v>
      </c>
      <c r="P27" s="21">
        <f>SUM(P28:P38)</f>
        <v>19572087.456140354</v>
      </c>
      <c r="Q27" s="21">
        <f>SUM(Q28:Q38)</f>
        <v>1608000</v>
      </c>
    </row>
    <row r="28" spans="1:17" x14ac:dyDescent="0.35">
      <c r="B28" s="46" t="s">
        <v>64</v>
      </c>
      <c r="C28" s="15" t="s">
        <v>211</v>
      </c>
      <c r="D28" s="15" t="s">
        <v>212</v>
      </c>
      <c r="E28">
        <v>26</v>
      </c>
      <c r="F28" s="47">
        <v>60215</v>
      </c>
      <c r="G28" s="47">
        <f>F28*E28</f>
        <v>1565590</v>
      </c>
      <c r="H28" s="47">
        <v>0</v>
      </c>
      <c r="I28" s="47">
        <f t="shared" ref="I28:I67" si="1">F28-H28</f>
        <v>60215</v>
      </c>
      <c r="J28" s="47">
        <f t="shared" ref="J28:J67" si="2">I28*E28</f>
        <v>1565590</v>
      </c>
      <c r="K28" s="47">
        <v>0</v>
      </c>
      <c r="L28" s="48">
        <f>J28-K28</f>
        <v>1565590</v>
      </c>
      <c r="N28" s="23" t="s">
        <v>64</v>
      </c>
      <c r="O28" s="27">
        <f t="shared" ref="O28:O38" si="3">SUMIFS($E$28:$E$67,$B$28:$B$67,$N28)</f>
        <v>121</v>
      </c>
      <c r="P28" s="4">
        <f t="shared" ref="P28:P38" si="4">SUMIFS($L$28:$L$67,$B$28:$B$67,$N28)</f>
        <v>6745504</v>
      </c>
      <c r="Q28" s="6">
        <f>S52</f>
        <v>486000</v>
      </c>
    </row>
    <row r="29" spans="1:17" x14ac:dyDescent="0.35">
      <c r="B29" s="46" t="s">
        <v>64</v>
      </c>
      <c r="C29" s="15" t="s">
        <v>213</v>
      </c>
      <c r="D29" s="15" t="s">
        <v>214</v>
      </c>
      <c r="E29">
        <v>4</v>
      </c>
      <c r="F29" s="47">
        <v>93840</v>
      </c>
      <c r="G29" s="47">
        <f t="shared" ref="G29:G67" si="5">F29*E29</f>
        <v>375360</v>
      </c>
      <c r="H29" s="47">
        <v>0</v>
      </c>
      <c r="I29" s="47">
        <f t="shared" si="1"/>
        <v>93840</v>
      </c>
      <c r="J29" s="47">
        <f t="shared" si="2"/>
        <v>375360</v>
      </c>
      <c r="K29" s="47">
        <v>0</v>
      </c>
      <c r="L29" s="48">
        <f t="shared" ref="L29:L67" si="6">J29-K29</f>
        <v>375360</v>
      </c>
      <c r="N29" s="23" t="s">
        <v>215</v>
      </c>
      <c r="O29" s="27">
        <f t="shared" si="3"/>
        <v>10</v>
      </c>
      <c r="P29" s="4">
        <f t="shared" si="4"/>
        <v>495000</v>
      </c>
      <c r="Q29" s="6">
        <f t="shared" ref="Q29:Q38" si="7">S53</f>
        <v>35700</v>
      </c>
    </row>
    <row r="30" spans="1:17" x14ac:dyDescent="0.35">
      <c r="B30" s="46" t="s">
        <v>64</v>
      </c>
      <c r="C30" s="15" t="s">
        <v>216</v>
      </c>
      <c r="D30" s="15" t="s">
        <v>212</v>
      </c>
      <c r="E30">
        <v>56</v>
      </c>
      <c r="F30" s="47">
        <v>45790</v>
      </c>
      <c r="G30" s="47">
        <f t="shared" si="5"/>
        <v>2564240</v>
      </c>
      <c r="H30" s="47">
        <v>0</v>
      </c>
      <c r="I30" s="47">
        <f t="shared" si="1"/>
        <v>45790</v>
      </c>
      <c r="J30" s="47">
        <f t="shared" si="2"/>
        <v>2564240</v>
      </c>
      <c r="K30" s="47">
        <v>0</v>
      </c>
      <c r="L30" s="48">
        <f t="shared" si="6"/>
        <v>2564240</v>
      </c>
      <c r="N30" s="23" t="s">
        <v>217</v>
      </c>
      <c r="O30" s="27">
        <f t="shared" si="3"/>
        <v>20</v>
      </c>
      <c r="P30" s="4">
        <f t="shared" si="4"/>
        <v>921001.01754385966</v>
      </c>
      <c r="Q30" s="6">
        <f t="shared" si="7"/>
        <v>71400</v>
      </c>
    </row>
    <row r="31" spans="1:17" x14ac:dyDescent="0.35">
      <c r="B31" s="46" t="s">
        <v>64</v>
      </c>
      <c r="C31" s="15" t="s">
        <v>218</v>
      </c>
      <c r="D31" s="15" t="s">
        <v>219</v>
      </c>
      <c r="E31">
        <v>19</v>
      </c>
      <c r="F31" s="47">
        <v>52806</v>
      </c>
      <c r="G31" s="47">
        <f t="shared" si="5"/>
        <v>1003314</v>
      </c>
      <c r="H31" s="47">
        <v>0</v>
      </c>
      <c r="I31" s="47">
        <f t="shared" si="1"/>
        <v>52806</v>
      </c>
      <c r="J31" s="47">
        <f t="shared" si="2"/>
        <v>1003314</v>
      </c>
      <c r="K31" s="47">
        <v>0</v>
      </c>
      <c r="L31" s="48">
        <f t="shared" si="6"/>
        <v>1003314</v>
      </c>
      <c r="N31" s="23" t="s">
        <v>220</v>
      </c>
      <c r="O31" s="27">
        <f t="shared" si="3"/>
        <v>9</v>
      </c>
      <c r="P31" s="4">
        <f t="shared" si="4"/>
        <v>206057</v>
      </c>
      <c r="Q31" s="6">
        <f t="shared" si="7"/>
        <v>30600</v>
      </c>
    </row>
    <row r="32" spans="1:17" x14ac:dyDescent="0.35">
      <c r="B32" s="46" t="s">
        <v>64</v>
      </c>
      <c r="C32" s="15" t="s">
        <v>221</v>
      </c>
      <c r="D32" s="15" t="s">
        <v>222</v>
      </c>
      <c r="E32">
        <v>10</v>
      </c>
      <c r="F32" s="47">
        <v>74800</v>
      </c>
      <c r="G32" s="47">
        <f t="shared" si="5"/>
        <v>748000</v>
      </c>
      <c r="H32" s="47">
        <v>0</v>
      </c>
      <c r="I32" s="47">
        <f t="shared" si="1"/>
        <v>74800</v>
      </c>
      <c r="J32" s="47">
        <f t="shared" si="2"/>
        <v>748000</v>
      </c>
      <c r="K32" s="47">
        <v>0</v>
      </c>
      <c r="L32" s="48">
        <f t="shared" si="6"/>
        <v>748000</v>
      </c>
      <c r="N32" s="23" t="s">
        <v>71</v>
      </c>
      <c r="O32" s="27">
        <f t="shared" si="3"/>
        <v>4</v>
      </c>
      <c r="P32" s="4">
        <f t="shared" si="4"/>
        <v>370000</v>
      </c>
      <c r="Q32" s="6">
        <f t="shared" si="7"/>
        <v>15300</v>
      </c>
    </row>
    <row r="33" spans="2:18" x14ac:dyDescent="0.35">
      <c r="B33" s="46" t="s">
        <v>64</v>
      </c>
      <c r="C33" s="15" t="s">
        <v>223</v>
      </c>
      <c r="D33" s="15" t="s">
        <v>212</v>
      </c>
      <c r="E33">
        <v>2</v>
      </c>
      <c r="F33" s="47">
        <v>44500</v>
      </c>
      <c r="G33" s="47">
        <f t="shared" si="5"/>
        <v>89000</v>
      </c>
      <c r="H33" s="47">
        <v>0</v>
      </c>
      <c r="I33" s="47">
        <f t="shared" si="1"/>
        <v>44500</v>
      </c>
      <c r="J33" s="47">
        <f t="shared" si="2"/>
        <v>89000</v>
      </c>
      <c r="K33" s="47">
        <v>0</v>
      </c>
      <c r="L33" s="48">
        <f t="shared" si="6"/>
        <v>89000</v>
      </c>
      <c r="N33" s="23" t="s">
        <v>69</v>
      </c>
      <c r="O33" s="27">
        <f t="shared" si="3"/>
        <v>129</v>
      </c>
      <c r="P33" s="4">
        <f t="shared" si="4"/>
        <v>5655512.7894736845</v>
      </c>
      <c r="Q33" s="6">
        <f t="shared" si="7"/>
        <v>438600</v>
      </c>
    </row>
    <row r="34" spans="2:18" x14ac:dyDescent="0.35">
      <c r="B34" s="46" t="s">
        <v>64</v>
      </c>
      <c r="C34" s="15" t="s">
        <v>224</v>
      </c>
      <c r="D34" s="15" t="s">
        <v>225</v>
      </c>
      <c r="E34">
        <v>4</v>
      </c>
      <c r="F34" s="47">
        <v>100000</v>
      </c>
      <c r="G34" s="47">
        <f t="shared" si="5"/>
        <v>400000</v>
      </c>
      <c r="H34" s="47">
        <v>0</v>
      </c>
      <c r="I34" s="47">
        <f t="shared" si="1"/>
        <v>100000</v>
      </c>
      <c r="J34" s="47">
        <f t="shared" si="2"/>
        <v>400000</v>
      </c>
      <c r="K34" s="47">
        <v>0</v>
      </c>
      <c r="L34" s="48">
        <f t="shared" si="6"/>
        <v>400000</v>
      </c>
      <c r="N34" s="23" t="s">
        <v>226</v>
      </c>
      <c r="O34" s="27">
        <f t="shared" si="3"/>
        <v>50</v>
      </c>
      <c r="P34" s="4">
        <f t="shared" si="4"/>
        <v>1863028.333333333</v>
      </c>
      <c r="Q34" s="6">
        <f t="shared" si="7"/>
        <v>173400</v>
      </c>
    </row>
    <row r="35" spans="2:18" x14ac:dyDescent="0.35">
      <c r="B35" s="46" t="s">
        <v>215</v>
      </c>
      <c r="C35" s="15" t="s">
        <v>227</v>
      </c>
      <c r="D35" s="15" t="s">
        <v>212</v>
      </c>
      <c r="E35">
        <v>6</v>
      </c>
      <c r="F35" s="47">
        <v>65000</v>
      </c>
      <c r="G35" s="47">
        <f t="shared" si="5"/>
        <v>390000</v>
      </c>
      <c r="H35" s="47">
        <v>7500</v>
      </c>
      <c r="I35" s="47">
        <f t="shared" si="1"/>
        <v>57500</v>
      </c>
      <c r="J35" s="47">
        <f t="shared" si="2"/>
        <v>345000</v>
      </c>
      <c r="K35" s="47">
        <v>0</v>
      </c>
      <c r="L35" s="48">
        <f t="shared" si="6"/>
        <v>345000</v>
      </c>
      <c r="N35" s="24" t="s">
        <v>67</v>
      </c>
      <c r="O35" s="27">
        <f t="shared" si="3"/>
        <v>8</v>
      </c>
      <c r="P35" s="4">
        <f t="shared" si="4"/>
        <v>296191.78947368421</v>
      </c>
      <c r="Q35" s="6">
        <f t="shared" si="7"/>
        <v>30600</v>
      </c>
    </row>
    <row r="36" spans="2:18" x14ac:dyDescent="0.35">
      <c r="B36" s="46" t="s">
        <v>215</v>
      </c>
      <c r="C36" s="15" t="s">
        <v>228</v>
      </c>
      <c r="D36" s="15" t="s">
        <v>212</v>
      </c>
      <c r="E36">
        <v>4</v>
      </c>
      <c r="F36" s="47">
        <v>45000</v>
      </c>
      <c r="G36" s="47">
        <f t="shared" si="5"/>
        <v>180000</v>
      </c>
      <c r="H36" s="47">
        <v>7500</v>
      </c>
      <c r="I36" s="47">
        <f t="shared" si="1"/>
        <v>37500</v>
      </c>
      <c r="J36" s="47">
        <f t="shared" si="2"/>
        <v>150000</v>
      </c>
      <c r="K36" s="47">
        <v>0</v>
      </c>
      <c r="L36" s="48">
        <f t="shared" si="6"/>
        <v>150000</v>
      </c>
      <c r="N36" s="24" t="s">
        <v>119</v>
      </c>
      <c r="O36" s="27">
        <f t="shared" si="3"/>
        <v>37</v>
      </c>
      <c r="P36" s="4">
        <f t="shared" si="4"/>
        <v>1618242.5263157897</v>
      </c>
      <c r="Q36" s="6">
        <f t="shared" si="7"/>
        <v>127500</v>
      </c>
    </row>
    <row r="37" spans="2:18" x14ac:dyDescent="0.35">
      <c r="B37" s="46" t="s">
        <v>217</v>
      </c>
      <c r="C37" s="15" t="s">
        <v>229</v>
      </c>
      <c r="D37" s="15" t="s">
        <v>214</v>
      </c>
      <c r="E37">
        <v>2</v>
      </c>
      <c r="F37" s="47">
        <v>54047.947368421053</v>
      </c>
      <c r="G37" s="47">
        <f t="shared" si="5"/>
        <v>108095.89473684211</v>
      </c>
      <c r="H37" s="47">
        <v>7500</v>
      </c>
      <c r="I37" s="47">
        <f t="shared" si="1"/>
        <v>46547.947368421053</v>
      </c>
      <c r="J37" s="47">
        <f t="shared" si="2"/>
        <v>93095.894736842107</v>
      </c>
      <c r="K37" s="47">
        <v>0</v>
      </c>
      <c r="L37" s="48">
        <f t="shared" si="6"/>
        <v>93095.894736842107</v>
      </c>
      <c r="N37" s="24" t="s">
        <v>114</v>
      </c>
      <c r="O37" s="27">
        <f t="shared" si="3"/>
        <v>50</v>
      </c>
      <c r="P37" s="4">
        <f t="shared" si="4"/>
        <v>1188620</v>
      </c>
      <c r="Q37" s="6">
        <f t="shared" si="7"/>
        <v>173400</v>
      </c>
    </row>
    <row r="38" spans="2:18" x14ac:dyDescent="0.35">
      <c r="B38" s="46" t="s">
        <v>217</v>
      </c>
      <c r="C38" s="15" t="s">
        <v>216</v>
      </c>
      <c r="D38" s="15" t="s">
        <v>212</v>
      </c>
      <c r="E38">
        <v>2</v>
      </c>
      <c r="F38" s="47">
        <v>45526.666666666664</v>
      </c>
      <c r="G38" s="47">
        <f t="shared" si="5"/>
        <v>91053.333333333328</v>
      </c>
      <c r="H38" s="47">
        <v>7500</v>
      </c>
      <c r="I38" s="47">
        <f t="shared" si="1"/>
        <v>38026.666666666664</v>
      </c>
      <c r="J38" s="47">
        <f t="shared" si="2"/>
        <v>76053.333333333328</v>
      </c>
      <c r="K38" s="47">
        <v>0</v>
      </c>
      <c r="L38" s="48">
        <f t="shared" si="6"/>
        <v>76053.333333333328</v>
      </c>
      <c r="N38" s="24" t="s">
        <v>113</v>
      </c>
      <c r="O38" s="27">
        <f t="shared" si="3"/>
        <v>5</v>
      </c>
      <c r="P38" s="4">
        <f t="shared" si="4"/>
        <v>212930</v>
      </c>
      <c r="Q38" s="6">
        <f t="shared" si="7"/>
        <v>25500</v>
      </c>
    </row>
    <row r="39" spans="2:18" x14ac:dyDescent="0.35">
      <c r="B39" s="46" t="s">
        <v>217</v>
      </c>
      <c r="C39" s="15" t="s">
        <v>230</v>
      </c>
      <c r="D39" s="15" t="s">
        <v>214</v>
      </c>
      <c r="E39">
        <v>4</v>
      </c>
      <c r="F39" s="47">
        <v>40000</v>
      </c>
      <c r="G39" s="47">
        <f t="shared" si="5"/>
        <v>160000</v>
      </c>
      <c r="H39" s="47">
        <v>7500</v>
      </c>
      <c r="I39" s="47">
        <f t="shared" si="1"/>
        <v>32500</v>
      </c>
      <c r="J39" s="47">
        <f t="shared" si="2"/>
        <v>130000</v>
      </c>
      <c r="K39" s="47">
        <v>0</v>
      </c>
      <c r="L39" s="48">
        <f t="shared" si="6"/>
        <v>130000</v>
      </c>
    </row>
    <row r="40" spans="2:18" x14ac:dyDescent="0.35">
      <c r="B40" s="46" t="s">
        <v>217</v>
      </c>
      <c r="C40" s="15" t="s">
        <v>218</v>
      </c>
      <c r="D40" s="15" t="s">
        <v>219</v>
      </c>
      <c r="E40">
        <v>4</v>
      </c>
      <c r="F40" s="47">
        <v>54047.947368421053</v>
      </c>
      <c r="G40" s="47">
        <f t="shared" si="5"/>
        <v>216191.78947368421</v>
      </c>
      <c r="H40" s="47">
        <v>7500</v>
      </c>
      <c r="I40" s="47">
        <f t="shared" si="1"/>
        <v>46547.947368421053</v>
      </c>
      <c r="J40" s="47">
        <f t="shared" si="2"/>
        <v>186191.78947368421</v>
      </c>
      <c r="K40" s="47">
        <v>0</v>
      </c>
      <c r="L40" s="48">
        <f t="shared" si="6"/>
        <v>186191.78947368421</v>
      </c>
      <c r="N40" s="26" t="s">
        <v>199</v>
      </c>
      <c r="O40" s="20" t="s">
        <v>200</v>
      </c>
      <c r="P40" s="20" t="s">
        <v>231</v>
      </c>
      <c r="Q40" s="20" t="s">
        <v>232</v>
      </c>
      <c r="R40" s="20" t="s">
        <v>233</v>
      </c>
    </row>
    <row r="41" spans="2:18" x14ac:dyDescent="0.35">
      <c r="B41" s="46" t="s">
        <v>217</v>
      </c>
      <c r="C41" s="15" t="s">
        <v>221</v>
      </c>
      <c r="D41" s="15" t="s">
        <v>222</v>
      </c>
      <c r="E41">
        <v>2</v>
      </c>
      <c r="F41" s="47">
        <v>62400</v>
      </c>
      <c r="G41" s="47">
        <f t="shared" si="5"/>
        <v>124800</v>
      </c>
      <c r="H41" s="47">
        <v>7500</v>
      </c>
      <c r="I41" s="47">
        <f t="shared" si="1"/>
        <v>54900</v>
      </c>
      <c r="J41" s="47">
        <f t="shared" si="2"/>
        <v>109800</v>
      </c>
      <c r="K41" s="47">
        <v>0</v>
      </c>
      <c r="L41" s="48">
        <f t="shared" si="6"/>
        <v>109800</v>
      </c>
      <c r="N41" s="3" t="s">
        <v>234</v>
      </c>
      <c r="O41" s="3">
        <f t="shared" ref="O41:O46" si="8">SUMIFS($E$28:$E$67,$D$28:$D$67,$N41)</f>
        <v>80</v>
      </c>
      <c r="P41" s="4">
        <f>SUMIFS($G$28:$G$67,$D$28:$D$67,$N41)</f>
        <v>2680000</v>
      </c>
      <c r="Q41" s="4">
        <f>SUMIFS($L$28:$L$67,$D$28:$D$67,$N41)</f>
        <v>2080000</v>
      </c>
      <c r="R41" s="4">
        <f>P41/O41</f>
        <v>33500</v>
      </c>
    </row>
    <row r="42" spans="2:18" x14ac:dyDescent="0.35">
      <c r="B42" s="46" t="s">
        <v>217</v>
      </c>
      <c r="C42" s="15" t="s">
        <v>211</v>
      </c>
      <c r="D42" s="15" t="s">
        <v>212</v>
      </c>
      <c r="E42">
        <v>6</v>
      </c>
      <c r="F42" s="47">
        <v>61810</v>
      </c>
      <c r="G42" s="47">
        <f t="shared" si="5"/>
        <v>370860</v>
      </c>
      <c r="H42" s="47">
        <v>7500</v>
      </c>
      <c r="I42" s="47">
        <f t="shared" si="1"/>
        <v>54310</v>
      </c>
      <c r="J42" s="47">
        <f t="shared" si="2"/>
        <v>325860</v>
      </c>
      <c r="K42" s="47">
        <v>0</v>
      </c>
      <c r="L42" s="48">
        <f t="shared" si="6"/>
        <v>325860</v>
      </c>
      <c r="N42" s="3" t="s">
        <v>212</v>
      </c>
      <c r="O42" s="3">
        <f t="shared" si="8"/>
        <v>230</v>
      </c>
      <c r="P42" s="4">
        <f t="shared" ref="P42:P46" si="9">SUMIFS($G$28:$G$67,$D$28:$D$67,$N42)</f>
        <v>11598210.666666664</v>
      </c>
      <c r="Q42" s="4">
        <f t="shared" ref="Q42:Q46" si="10">SUMIFS($L$28:$L$67,$D$28:$D$67,$N42)</f>
        <v>10335303.666666664</v>
      </c>
      <c r="R42" s="4">
        <f t="shared" ref="R42:R46" si="11">P42/O42</f>
        <v>50427.002898550716</v>
      </c>
    </row>
    <row r="43" spans="2:18" x14ac:dyDescent="0.35">
      <c r="B43" s="46" t="s">
        <v>220</v>
      </c>
      <c r="C43" s="15" t="s">
        <v>235</v>
      </c>
      <c r="D43" s="15" t="s">
        <v>212</v>
      </c>
      <c r="E43">
        <v>8</v>
      </c>
      <c r="F43" s="47">
        <v>49385</v>
      </c>
      <c r="G43" s="47">
        <f t="shared" si="5"/>
        <v>395080</v>
      </c>
      <c r="H43" s="47">
        <v>7500</v>
      </c>
      <c r="I43" s="47">
        <f t="shared" si="1"/>
        <v>41885</v>
      </c>
      <c r="J43" s="47">
        <f t="shared" si="2"/>
        <v>335080</v>
      </c>
      <c r="K43" s="47">
        <v>149494</v>
      </c>
      <c r="L43" s="48">
        <f t="shared" si="6"/>
        <v>185586</v>
      </c>
      <c r="N43" s="3" t="s">
        <v>222</v>
      </c>
      <c r="O43" s="3">
        <f t="shared" si="8"/>
        <v>36</v>
      </c>
      <c r="P43" s="4">
        <f t="shared" si="9"/>
        <v>2085200</v>
      </c>
      <c r="Q43" s="4">
        <f t="shared" si="10"/>
        <v>1890200</v>
      </c>
      <c r="R43" s="4">
        <f t="shared" si="11"/>
        <v>57922.222222222219</v>
      </c>
    </row>
    <row r="44" spans="2:18" x14ac:dyDescent="0.35">
      <c r="B44" s="46" t="s">
        <v>220</v>
      </c>
      <c r="C44" s="15" t="s">
        <v>236</v>
      </c>
      <c r="D44" s="15" t="s">
        <v>212</v>
      </c>
      <c r="E44">
        <v>1</v>
      </c>
      <c r="F44" s="47">
        <v>46384</v>
      </c>
      <c r="G44" s="47">
        <f t="shared" si="5"/>
        <v>46384</v>
      </c>
      <c r="H44" s="47">
        <v>7500</v>
      </c>
      <c r="I44" s="47">
        <f t="shared" si="1"/>
        <v>38884</v>
      </c>
      <c r="J44" s="47">
        <f t="shared" si="2"/>
        <v>38884</v>
      </c>
      <c r="K44" s="47">
        <v>18413</v>
      </c>
      <c r="L44" s="48">
        <f t="shared" si="6"/>
        <v>20471</v>
      </c>
      <c r="N44" s="3" t="s">
        <v>214</v>
      </c>
      <c r="O44" s="3">
        <f t="shared" si="8"/>
        <v>14</v>
      </c>
      <c r="P44" s="4">
        <f t="shared" si="9"/>
        <v>859647.68421052629</v>
      </c>
      <c r="Q44" s="4">
        <f t="shared" si="10"/>
        <v>784647.68421052629</v>
      </c>
      <c r="R44" s="4">
        <f t="shared" si="11"/>
        <v>61403.406015037595</v>
      </c>
    </row>
    <row r="45" spans="2:18" x14ac:dyDescent="0.35">
      <c r="B45" s="46" t="s">
        <v>71</v>
      </c>
      <c r="C45" s="15" t="s">
        <v>237</v>
      </c>
      <c r="D45" s="15" t="s">
        <v>225</v>
      </c>
      <c r="E45">
        <v>4</v>
      </c>
      <c r="F45" s="47">
        <v>120000</v>
      </c>
      <c r="G45" s="47">
        <f t="shared" si="5"/>
        <v>480000</v>
      </c>
      <c r="H45" s="47">
        <v>7500</v>
      </c>
      <c r="I45" s="47">
        <f t="shared" si="1"/>
        <v>112500</v>
      </c>
      <c r="J45" s="47">
        <f t="shared" si="2"/>
        <v>450000</v>
      </c>
      <c r="K45" s="47">
        <v>80000</v>
      </c>
      <c r="L45" s="48">
        <f t="shared" si="6"/>
        <v>370000</v>
      </c>
      <c r="N45" s="3" t="s">
        <v>225</v>
      </c>
      <c r="O45" s="3">
        <f t="shared" si="8"/>
        <v>9</v>
      </c>
      <c r="P45" s="4">
        <f t="shared" si="9"/>
        <v>980000</v>
      </c>
      <c r="Q45" s="4">
        <f t="shared" si="10"/>
        <v>862500</v>
      </c>
      <c r="R45" s="4">
        <f t="shared" si="11"/>
        <v>108888.88888888889</v>
      </c>
    </row>
    <row r="46" spans="2:18" x14ac:dyDescent="0.35">
      <c r="B46" s="46" t="s">
        <v>69</v>
      </c>
      <c r="C46" s="15" t="s">
        <v>216</v>
      </c>
      <c r="D46" s="15" t="s">
        <v>212</v>
      </c>
      <c r="E46">
        <v>62</v>
      </c>
      <c r="F46" s="47">
        <v>45790</v>
      </c>
      <c r="G46" s="47">
        <f t="shared" si="5"/>
        <v>2838980</v>
      </c>
      <c r="H46" s="47">
        <v>7500</v>
      </c>
      <c r="I46" s="47">
        <f t="shared" si="1"/>
        <v>38290</v>
      </c>
      <c r="J46" s="47">
        <f t="shared" si="2"/>
        <v>2373980</v>
      </c>
      <c r="K46" s="47">
        <v>0</v>
      </c>
      <c r="L46" s="48">
        <f t="shared" si="6"/>
        <v>2373980</v>
      </c>
      <c r="M46" s="2"/>
      <c r="N46" s="3" t="s">
        <v>219</v>
      </c>
      <c r="O46" s="3">
        <f t="shared" si="8"/>
        <v>74</v>
      </c>
      <c r="P46" s="4">
        <f t="shared" si="9"/>
        <v>4031936.1052631582</v>
      </c>
      <c r="Q46" s="4">
        <f t="shared" si="10"/>
        <v>3619436.1052631582</v>
      </c>
      <c r="R46" s="4">
        <f t="shared" si="11"/>
        <v>54485.623044096734</v>
      </c>
    </row>
    <row r="47" spans="2:18" x14ac:dyDescent="0.35">
      <c r="B47" s="46" t="s">
        <v>69</v>
      </c>
      <c r="C47" s="15" t="s">
        <v>211</v>
      </c>
      <c r="D47" s="15" t="s">
        <v>212</v>
      </c>
      <c r="E47">
        <v>23</v>
      </c>
      <c r="F47" s="47">
        <v>60215</v>
      </c>
      <c r="G47" s="47">
        <f t="shared" si="5"/>
        <v>1384945</v>
      </c>
      <c r="H47" s="47">
        <v>7500</v>
      </c>
      <c r="I47" s="47">
        <f t="shared" si="1"/>
        <v>52715</v>
      </c>
      <c r="J47" s="47">
        <f t="shared" si="2"/>
        <v>1212445</v>
      </c>
      <c r="K47" s="47">
        <v>0</v>
      </c>
      <c r="L47" s="48">
        <f t="shared" si="6"/>
        <v>1212445</v>
      </c>
      <c r="N47" s="3" t="s">
        <v>17</v>
      </c>
      <c r="O47" s="20">
        <f>SUM(O41:O46)</f>
        <v>443</v>
      </c>
      <c r="P47" s="25">
        <f t="shared" ref="P47:Q47" si="12">SUM(P41:P46)</f>
        <v>22234994.456140351</v>
      </c>
      <c r="Q47" s="25">
        <f t="shared" si="12"/>
        <v>19572087.456140347</v>
      </c>
      <c r="R47" s="25"/>
    </row>
    <row r="48" spans="2:18" x14ac:dyDescent="0.35">
      <c r="B48" s="46" t="s">
        <v>69</v>
      </c>
      <c r="C48" s="15" t="s">
        <v>238</v>
      </c>
      <c r="D48" s="15" t="s">
        <v>222</v>
      </c>
      <c r="E48">
        <v>20</v>
      </c>
      <c r="F48" s="47">
        <v>50000</v>
      </c>
      <c r="G48" s="47">
        <f t="shared" si="5"/>
        <v>1000000</v>
      </c>
      <c r="H48" s="47">
        <v>7500</v>
      </c>
      <c r="I48" s="47">
        <f t="shared" si="1"/>
        <v>42500</v>
      </c>
      <c r="J48" s="47">
        <f t="shared" si="2"/>
        <v>850000</v>
      </c>
      <c r="K48" s="47">
        <v>0</v>
      </c>
      <c r="L48" s="48">
        <f t="shared" si="6"/>
        <v>850000</v>
      </c>
    </row>
    <row r="49" spans="2:19" x14ac:dyDescent="0.35">
      <c r="B49" s="46" t="s">
        <v>69</v>
      </c>
      <c r="C49" s="15" t="s">
        <v>239</v>
      </c>
      <c r="D49" s="15" t="s">
        <v>219</v>
      </c>
      <c r="E49">
        <v>2</v>
      </c>
      <c r="F49" s="47">
        <v>69000</v>
      </c>
      <c r="G49" s="47">
        <f t="shared" si="5"/>
        <v>138000</v>
      </c>
      <c r="H49" s="47">
        <v>7500</v>
      </c>
      <c r="I49" s="47">
        <f t="shared" si="1"/>
        <v>61500</v>
      </c>
      <c r="J49" s="47">
        <f t="shared" si="2"/>
        <v>123000</v>
      </c>
      <c r="K49" s="47">
        <v>0</v>
      </c>
      <c r="L49" s="48">
        <f t="shared" si="6"/>
        <v>123000</v>
      </c>
      <c r="N49" s="10"/>
    </row>
    <row r="50" spans="2:19" x14ac:dyDescent="0.35">
      <c r="B50" s="46" t="s">
        <v>69</v>
      </c>
      <c r="C50" s="15" t="s">
        <v>218</v>
      </c>
      <c r="D50" s="15" t="s">
        <v>219</v>
      </c>
      <c r="E50">
        <v>21</v>
      </c>
      <c r="F50" s="47">
        <v>55289.894736842107</v>
      </c>
      <c r="G50" s="47">
        <f t="shared" si="5"/>
        <v>1161087.7894736843</v>
      </c>
      <c r="H50" s="47">
        <v>7500</v>
      </c>
      <c r="I50" s="47">
        <f t="shared" si="1"/>
        <v>47789.894736842107</v>
      </c>
      <c r="J50" s="47">
        <f t="shared" si="2"/>
        <v>1003587.7894736843</v>
      </c>
      <c r="K50" s="47">
        <v>0</v>
      </c>
      <c r="L50" s="48">
        <f t="shared" si="6"/>
        <v>1003587.7894736843</v>
      </c>
      <c r="N50" s="28" t="s">
        <v>57</v>
      </c>
      <c r="O50" s="28" t="s">
        <v>240</v>
      </c>
      <c r="P50" s="28" t="s">
        <v>241</v>
      </c>
      <c r="Q50" s="28" t="s">
        <v>52</v>
      </c>
      <c r="R50" s="28" t="s">
        <v>242</v>
      </c>
      <c r="S50" s="28" t="s">
        <v>243</v>
      </c>
    </row>
    <row r="51" spans="2:19" x14ac:dyDescent="0.35">
      <c r="B51" s="46" t="s">
        <v>69</v>
      </c>
      <c r="C51" s="15" t="s">
        <v>224</v>
      </c>
      <c r="D51" s="15" t="s">
        <v>225</v>
      </c>
      <c r="E51">
        <v>1</v>
      </c>
      <c r="F51" s="47">
        <v>100000</v>
      </c>
      <c r="G51" s="47">
        <f t="shared" si="5"/>
        <v>100000</v>
      </c>
      <c r="H51" s="47">
        <v>7500</v>
      </c>
      <c r="I51" s="47">
        <f t="shared" si="1"/>
        <v>92500</v>
      </c>
      <c r="J51" s="47">
        <f t="shared" si="2"/>
        <v>92500</v>
      </c>
      <c r="K51" s="47">
        <v>0</v>
      </c>
      <c r="L51" s="48">
        <f t="shared" si="6"/>
        <v>92500</v>
      </c>
      <c r="N51" s="20"/>
      <c r="O51" s="40">
        <f>SUM(O52:O62)</f>
        <v>443</v>
      </c>
      <c r="P51" s="40">
        <f t="shared" ref="P51:S51" si="13">SUM(P52:P62)</f>
        <v>301</v>
      </c>
      <c r="Q51" s="40">
        <f t="shared" si="13"/>
        <v>1806000</v>
      </c>
      <c r="R51" s="21">
        <f t="shared" si="13"/>
        <v>198000</v>
      </c>
      <c r="S51" s="21">
        <f t="shared" si="13"/>
        <v>1608000</v>
      </c>
    </row>
    <row r="52" spans="2:19" x14ac:dyDescent="0.35">
      <c r="B52" s="46" t="s">
        <v>226</v>
      </c>
      <c r="C52" t="s">
        <v>244</v>
      </c>
      <c r="D52" s="15" t="s">
        <v>234</v>
      </c>
      <c r="E52">
        <v>20</v>
      </c>
      <c r="F52" s="47">
        <v>40000</v>
      </c>
      <c r="G52" s="47">
        <f t="shared" si="5"/>
        <v>800000</v>
      </c>
      <c r="H52" s="47">
        <v>7500</v>
      </c>
      <c r="I52" s="47">
        <f t="shared" si="1"/>
        <v>32500</v>
      </c>
      <c r="J52" s="47">
        <f t="shared" si="2"/>
        <v>650000</v>
      </c>
      <c r="K52" s="47">
        <v>0</v>
      </c>
      <c r="L52" s="48">
        <f t="shared" si="6"/>
        <v>650000</v>
      </c>
      <c r="N52" s="3" t="s">
        <v>64</v>
      </c>
      <c r="O52" s="3">
        <f t="shared" ref="O52:O62" si="14">SUMIFS($D$79:$D$185,$B$79:$B$185,$N52)</f>
        <v>121</v>
      </c>
      <c r="P52" s="27">
        <f t="shared" ref="P52:P61" si="15">ROUNDUP(O52/$C$21, 0)</f>
        <v>81</v>
      </c>
      <c r="Q52" s="4">
        <f>P52*$C$22</f>
        <v>486000</v>
      </c>
      <c r="R52" s="4">
        <v>0</v>
      </c>
      <c r="S52" s="4">
        <f t="shared" ref="S52:S62" si="16">P52*$C$22-R52</f>
        <v>486000</v>
      </c>
    </row>
    <row r="53" spans="2:19" x14ac:dyDescent="0.35">
      <c r="B53" s="46" t="s">
        <v>226</v>
      </c>
      <c r="C53" t="s">
        <v>245</v>
      </c>
      <c r="D53" s="15" t="s">
        <v>212</v>
      </c>
      <c r="E53">
        <v>15</v>
      </c>
      <c r="F53" s="47">
        <v>47934.277777777774</v>
      </c>
      <c r="G53" s="47">
        <f t="shared" si="5"/>
        <v>719014.16666666663</v>
      </c>
      <c r="H53" s="47">
        <v>7500</v>
      </c>
      <c r="I53" s="47">
        <f t="shared" si="1"/>
        <v>40434.277777777774</v>
      </c>
      <c r="J53" s="47">
        <f t="shared" si="2"/>
        <v>606514.16666666663</v>
      </c>
      <c r="K53" s="47">
        <v>0</v>
      </c>
      <c r="L53" s="48">
        <f t="shared" si="6"/>
        <v>606514.16666666663</v>
      </c>
      <c r="N53" s="3" t="s">
        <v>215</v>
      </c>
      <c r="O53" s="3">
        <f t="shared" si="14"/>
        <v>10</v>
      </c>
      <c r="P53" s="27">
        <f t="shared" si="15"/>
        <v>7</v>
      </c>
      <c r="Q53" s="4">
        <f t="shared" ref="Q53:Q62" si="17">P53*$C$22</f>
        <v>42000</v>
      </c>
      <c r="R53" s="4">
        <f t="shared" ref="R53:R62" si="18">P53*$C$23</f>
        <v>6300</v>
      </c>
      <c r="S53" s="4">
        <f t="shared" si="16"/>
        <v>35700</v>
      </c>
    </row>
    <row r="54" spans="2:19" x14ac:dyDescent="0.35">
      <c r="B54" s="46" t="s">
        <v>226</v>
      </c>
      <c r="C54" t="s">
        <v>246</v>
      </c>
      <c r="D54" s="15" t="s">
        <v>212</v>
      </c>
      <c r="E54">
        <v>15</v>
      </c>
      <c r="F54" s="47">
        <v>47934.277777777774</v>
      </c>
      <c r="G54" s="47">
        <f t="shared" si="5"/>
        <v>719014.16666666663</v>
      </c>
      <c r="H54" s="47">
        <v>7500</v>
      </c>
      <c r="I54" s="47">
        <f t="shared" si="1"/>
        <v>40434.277777777774</v>
      </c>
      <c r="J54" s="47">
        <f t="shared" si="2"/>
        <v>606514.16666666663</v>
      </c>
      <c r="K54" s="47">
        <v>0</v>
      </c>
      <c r="L54" s="48">
        <f t="shared" si="6"/>
        <v>606514.16666666663</v>
      </c>
      <c r="N54" s="3" t="s">
        <v>217</v>
      </c>
      <c r="O54" s="3">
        <f t="shared" si="14"/>
        <v>20</v>
      </c>
      <c r="P54" s="27">
        <f t="shared" si="15"/>
        <v>14</v>
      </c>
      <c r="Q54" s="4">
        <f t="shared" si="17"/>
        <v>84000</v>
      </c>
      <c r="R54" s="4">
        <f t="shared" si="18"/>
        <v>12600</v>
      </c>
      <c r="S54" s="4">
        <f t="shared" si="16"/>
        <v>71400</v>
      </c>
    </row>
    <row r="55" spans="2:19" x14ac:dyDescent="0.35">
      <c r="B55" s="49" t="s">
        <v>67</v>
      </c>
      <c r="C55" t="s">
        <v>247</v>
      </c>
      <c r="D55" s="15" t="s">
        <v>234</v>
      </c>
      <c r="E55">
        <v>3</v>
      </c>
      <c r="F55" s="47">
        <v>30000</v>
      </c>
      <c r="G55" s="47">
        <f t="shared" si="5"/>
        <v>90000</v>
      </c>
      <c r="H55" s="47">
        <v>7500</v>
      </c>
      <c r="I55" s="47">
        <f t="shared" si="1"/>
        <v>22500</v>
      </c>
      <c r="J55" s="47">
        <f t="shared" si="2"/>
        <v>67500</v>
      </c>
      <c r="K55" s="47">
        <v>0</v>
      </c>
      <c r="L55" s="48">
        <f t="shared" si="6"/>
        <v>67500</v>
      </c>
      <c r="N55" s="3" t="s">
        <v>220</v>
      </c>
      <c r="O55" s="3">
        <f t="shared" si="14"/>
        <v>9</v>
      </c>
      <c r="P55" s="27">
        <f t="shared" si="15"/>
        <v>6</v>
      </c>
      <c r="Q55" s="4">
        <f t="shared" si="17"/>
        <v>36000</v>
      </c>
      <c r="R55" s="4">
        <f t="shared" si="18"/>
        <v>5400</v>
      </c>
      <c r="S55" s="4">
        <f t="shared" si="16"/>
        <v>30600</v>
      </c>
    </row>
    <row r="56" spans="2:19" x14ac:dyDescent="0.35">
      <c r="B56" s="49" t="s">
        <v>67</v>
      </c>
      <c r="C56" t="s">
        <v>248</v>
      </c>
      <c r="D56" s="15" t="s">
        <v>214</v>
      </c>
      <c r="E56">
        <v>4</v>
      </c>
      <c r="F56" s="47">
        <v>54047.947368421053</v>
      </c>
      <c r="G56" s="47">
        <f t="shared" si="5"/>
        <v>216191.78947368421</v>
      </c>
      <c r="H56" s="47">
        <v>7500</v>
      </c>
      <c r="I56" s="47">
        <f t="shared" si="1"/>
        <v>46547.947368421053</v>
      </c>
      <c r="J56" s="47">
        <f t="shared" si="2"/>
        <v>186191.78947368421</v>
      </c>
      <c r="K56" s="47">
        <v>0</v>
      </c>
      <c r="L56" s="48">
        <f t="shared" si="6"/>
        <v>186191.78947368421</v>
      </c>
      <c r="N56" s="3" t="s">
        <v>71</v>
      </c>
      <c r="O56" s="3">
        <f t="shared" si="14"/>
        <v>4</v>
      </c>
      <c r="P56" s="27">
        <f t="shared" si="15"/>
        <v>3</v>
      </c>
      <c r="Q56" s="4">
        <f t="shared" si="17"/>
        <v>18000</v>
      </c>
      <c r="R56" s="4">
        <f t="shared" si="18"/>
        <v>2700</v>
      </c>
      <c r="S56" s="4">
        <f t="shared" si="16"/>
        <v>15300</v>
      </c>
    </row>
    <row r="57" spans="2:19" x14ac:dyDescent="0.35">
      <c r="B57" s="49" t="s">
        <v>67</v>
      </c>
      <c r="C57" t="s">
        <v>249</v>
      </c>
      <c r="D57" s="15" t="s">
        <v>222</v>
      </c>
      <c r="E57">
        <v>1</v>
      </c>
      <c r="F57" s="47">
        <v>50000</v>
      </c>
      <c r="G57" s="47">
        <f t="shared" si="5"/>
        <v>50000</v>
      </c>
      <c r="H57" s="47">
        <v>7500</v>
      </c>
      <c r="I57" s="47">
        <f t="shared" si="1"/>
        <v>42500</v>
      </c>
      <c r="J57" s="47">
        <f t="shared" si="2"/>
        <v>42500</v>
      </c>
      <c r="K57" s="47">
        <v>0</v>
      </c>
      <c r="L57" s="48">
        <f t="shared" si="6"/>
        <v>42500</v>
      </c>
      <c r="N57" s="3" t="s">
        <v>69</v>
      </c>
      <c r="O57" s="3">
        <f t="shared" si="14"/>
        <v>129</v>
      </c>
      <c r="P57" s="27">
        <f t="shared" si="15"/>
        <v>86</v>
      </c>
      <c r="Q57" s="4">
        <f t="shared" si="17"/>
        <v>516000</v>
      </c>
      <c r="R57" s="4">
        <f t="shared" si="18"/>
        <v>77400</v>
      </c>
      <c r="S57" s="4">
        <f t="shared" si="16"/>
        <v>438600</v>
      </c>
    </row>
    <row r="58" spans="2:19" x14ac:dyDescent="0.35">
      <c r="B58" s="49" t="s">
        <v>119</v>
      </c>
      <c r="C58" t="s">
        <v>244</v>
      </c>
      <c r="D58" s="15" t="s">
        <v>234</v>
      </c>
      <c r="E58">
        <v>8</v>
      </c>
      <c r="F58" s="47">
        <v>40000</v>
      </c>
      <c r="G58" s="47">
        <f t="shared" si="5"/>
        <v>320000</v>
      </c>
      <c r="H58" s="47">
        <v>7500</v>
      </c>
      <c r="I58" s="47">
        <f t="shared" si="1"/>
        <v>32500</v>
      </c>
      <c r="J58" s="47">
        <f t="shared" si="2"/>
        <v>260000</v>
      </c>
      <c r="K58" s="47">
        <v>0</v>
      </c>
      <c r="L58" s="48">
        <f t="shared" si="6"/>
        <v>260000</v>
      </c>
      <c r="N58" s="3" t="s">
        <v>226</v>
      </c>
      <c r="O58" s="3">
        <f t="shared" si="14"/>
        <v>50</v>
      </c>
      <c r="P58" s="27">
        <f t="shared" si="15"/>
        <v>34</v>
      </c>
      <c r="Q58" s="4">
        <f t="shared" si="17"/>
        <v>204000</v>
      </c>
      <c r="R58" s="4">
        <f t="shared" si="18"/>
        <v>30600</v>
      </c>
      <c r="S58" s="4">
        <f t="shared" si="16"/>
        <v>173400</v>
      </c>
    </row>
    <row r="59" spans="2:19" x14ac:dyDescent="0.35">
      <c r="B59" s="49" t="s">
        <v>119</v>
      </c>
      <c r="C59" t="s">
        <v>250</v>
      </c>
      <c r="D59" s="15" t="s">
        <v>222</v>
      </c>
      <c r="E59">
        <v>1</v>
      </c>
      <c r="F59" s="47">
        <v>62400</v>
      </c>
      <c r="G59" s="47">
        <f t="shared" si="5"/>
        <v>62400</v>
      </c>
      <c r="H59" s="47">
        <v>7500</v>
      </c>
      <c r="I59" s="47">
        <f t="shared" si="1"/>
        <v>54900</v>
      </c>
      <c r="J59" s="47">
        <f t="shared" si="2"/>
        <v>54900</v>
      </c>
      <c r="K59" s="47">
        <v>0</v>
      </c>
      <c r="L59" s="48">
        <f t="shared" si="6"/>
        <v>54900</v>
      </c>
      <c r="N59" s="3" t="s">
        <v>67</v>
      </c>
      <c r="O59" s="3">
        <f t="shared" si="14"/>
        <v>8</v>
      </c>
      <c r="P59" s="27">
        <f t="shared" si="15"/>
        <v>6</v>
      </c>
      <c r="Q59" s="4">
        <f t="shared" si="17"/>
        <v>36000</v>
      </c>
      <c r="R59" s="4">
        <f t="shared" si="18"/>
        <v>5400</v>
      </c>
      <c r="S59" s="4">
        <f t="shared" si="16"/>
        <v>30600</v>
      </c>
    </row>
    <row r="60" spans="2:19" x14ac:dyDescent="0.35">
      <c r="B60" s="49" t="s">
        <v>119</v>
      </c>
      <c r="C60" t="s">
        <v>251</v>
      </c>
      <c r="D60" s="15" t="s">
        <v>219</v>
      </c>
      <c r="E60">
        <v>12</v>
      </c>
      <c r="F60" s="47">
        <v>54047.947368421053</v>
      </c>
      <c r="G60" s="47">
        <f t="shared" si="5"/>
        <v>648575.36842105258</v>
      </c>
      <c r="H60" s="47">
        <v>7500</v>
      </c>
      <c r="I60" s="47">
        <f t="shared" si="1"/>
        <v>46547.947368421053</v>
      </c>
      <c r="J60" s="47">
        <f t="shared" si="2"/>
        <v>558575.36842105258</v>
      </c>
      <c r="K60" s="47">
        <v>0</v>
      </c>
      <c r="L60" s="48">
        <f t="shared" si="6"/>
        <v>558575.36842105258</v>
      </c>
      <c r="N60" s="3" t="s">
        <v>119</v>
      </c>
      <c r="O60" s="3">
        <f t="shared" si="14"/>
        <v>37</v>
      </c>
      <c r="P60" s="27">
        <f t="shared" si="15"/>
        <v>25</v>
      </c>
      <c r="Q60" s="4">
        <f t="shared" si="17"/>
        <v>150000</v>
      </c>
      <c r="R60" s="4">
        <f t="shared" si="18"/>
        <v>22500</v>
      </c>
      <c r="S60" s="4">
        <f t="shared" si="16"/>
        <v>127500</v>
      </c>
    </row>
    <row r="61" spans="2:19" x14ac:dyDescent="0.35">
      <c r="B61" s="49" t="s">
        <v>119</v>
      </c>
      <c r="C61" t="s">
        <v>252</v>
      </c>
      <c r="D61" s="15" t="s">
        <v>219</v>
      </c>
      <c r="E61">
        <v>15</v>
      </c>
      <c r="F61" s="47">
        <v>54047.947368421053</v>
      </c>
      <c r="G61" s="47">
        <f t="shared" si="5"/>
        <v>810719.21052631584</v>
      </c>
      <c r="H61" s="47">
        <v>7500</v>
      </c>
      <c r="I61" s="47">
        <f t="shared" si="1"/>
        <v>46547.947368421053</v>
      </c>
      <c r="J61" s="47">
        <f t="shared" si="2"/>
        <v>698219.21052631584</v>
      </c>
      <c r="K61" s="47">
        <v>0</v>
      </c>
      <c r="L61" s="48">
        <f t="shared" si="6"/>
        <v>698219.21052631584</v>
      </c>
      <c r="N61" s="3" t="s">
        <v>114</v>
      </c>
      <c r="O61" s="3">
        <f t="shared" si="14"/>
        <v>50</v>
      </c>
      <c r="P61" s="27">
        <f t="shared" si="15"/>
        <v>34</v>
      </c>
      <c r="Q61" s="4">
        <f t="shared" si="17"/>
        <v>204000</v>
      </c>
      <c r="R61" s="4">
        <f t="shared" si="18"/>
        <v>30600</v>
      </c>
      <c r="S61" s="4">
        <f t="shared" si="16"/>
        <v>173400</v>
      </c>
    </row>
    <row r="62" spans="2:19" x14ac:dyDescent="0.35">
      <c r="B62" s="49" t="s">
        <v>119</v>
      </c>
      <c r="C62" t="s">
        <v>253</v>
      </c>
      <c r="D62" s="15" t="s">
        <v>219</v>
      </c>
      <c r="E62">
        <v>1</v>
      </c>
      <c r="F62" s="47">
        <v>54047.947368421053</v>
      </c>
      <c r="G62" s="47">
        <f t="shared" si="5"/>
        <v>54047.947368421053</v>
      </c>
      <c r="H62" s="47">
        <v>7500</v>
      </c>
      <c r="I62" s="47">
        <f t="shared" si="1"/>
        <v>46547.947368421053</v>
      </c>
      <c r="J62" s="47">
        <f t="shared" si="2"/>
        <v>46547.947368421053</v>
      </c>
      <c r="K62" s="47">
        <v>0</v>
      </c>
      <c r="L62" s="48">
        <f t="shared" si="6"/>
        <v>46547.947368421053</v>
      </c>
      <c r="N62" s="3" t="s">
        <v>113</v>
      </c>
      <c r="O62" s="3">
        <f t="shared" si="14"/>
        <v>5</v>
      </c>
      <c r="P62" s="27">
        <v>5</v>
      </c>
      <c r="Q62" s="4">
        <f t="shared" si="17"/>
        <v>30000</v>
      </c>
      <c r="R62" s="4">
        <f t="shared" si="18"/>
        <v>4500</v>
      </c>
      <c r="S62" s="4">
        <f t="shared" si="16"/>
        <v>25500</v>
      </c>
    </row>
    <row r="63" spans="2:19" x14ac:dyDescent="0.35">
      <c r="B63" s="49" t="s">
        <v>114</v>
      </c>
      <c r="C63" s="15" t="s">
        <v>211</v>
      </c>
      <c r="D63" s="15" t="s">
        <v>212</v>
      </c>
      <c r="E63">
        <v>2</v>
      </c>
      <c r="F63" s="47">
        <v>61810</v>
      </c>
      <c r="G63" s="47">
        <f t="shared" si="5"/>
        <v>123620</v>
      </c>
      <c r="H63" s="47">
        <v>7500</v>
      </c>
      <c r="I63" s="47">
        <f t="shared" si="1"/>
        <v>54310</v>
      </c>
      <c r="J63" s="47">
        <f t="shared" si="2"/>
        <v>108620</v>
      </c>
      <c r="K63" s="47">
        <v>0</v>
      </c>
      <c r="L63" s="48">
        <f t="shared" si="6"/>
        <v>108620</v>
      </c>
      <c r="P63" s="27">
        <f>ROUNDUP(P51/2, 0)</f>
        <v>151</v>
      </c>
    </row>
    <row r="64" spans="2:19" x14ac:dyDescent="0.35">
      <c r="B64" s="49" t="s">
        <v>114</v>
      </c>
      <c r="C64" t="s">
        <v>254</v>
      </c>
      <c r="D64" s="15" t="s">
        <v>234</v>
      </c>
      <c r="E64">
        <v>48</v>
      </c>
      <c r="F64" s="47">
        <v>30000</v>
      </c>
      <c r="G64" s="47">
        <f t="shared" si="5"/>
        <v>1440000</v>
      </c>
      <c r="H64" s="47">
        <v>7500</v>
      </c>
      <c r="I64" s="47">
        <f t="shared" si="1"/>
        <v>22500</v>
      </c>
      <c r="J64" s="47">
        <f t="shared" si="2"/>
        <v>1080000</v>
      </c>
      <c r="K64" s="47">
        <v>0</v>
      </c>
      <c r="L64" s="48">
        <f t="shared" si="6"/>
        <v>1080000</v>
      </c>
    </row>
    <row r="65" spans="1:49" x14ac:dyDescent="0.35">
      <c r="B65" s="49" t="s">
        <v>113</v>
      </c>
      <c r="C65" t="s">
        <v>254</v>
      </c>
      <c r="D65" s="15" t="s">
        <v>234</v>
      </c>
      <c r="E65">
        <v>1</v>
      </c>
      <c r="F65" s="2">
        <v>30000</v>
      </c>
      <c r="G65" s="47">
        <f t="shared" si="5"/>
        <v>30000</v>
      </c>
      <c r="H65" s="47">
        <v>7500</v>
      </c>
      <c r="I65" s="47">
        <f t="shared" si="1"/>
        <v>22500</v>
      </c>
      <c r="J65" s="47">
        <f t="shared" si="2"/>
        <v>22500</v>
      </c>
      <c r="K65" s="47">
        <v>0</v>
      </c>
      <c r="L65" s="48">
        <f t="shared" si="6"/>
        <v>22500</v>
      </c>
    </row>
    <row r="66" spans="1:49" x14ac:dyDescent="0.35">
      <c r="B66" s="49" t="s">
        <v>113</v>
      </c>
      <c r="C66" s="15" t="s">
        <v>211</v>
      </c>
      <c r="D66" s="15" t="s">
        <v>212</v>
      </c>
      <c r="E66">
        <v>2</v>
      </c>
      <c r="F66" s="2">
        <v>60215</v>
      </c>
      <c r="G66" s="47">
        <f t="shared" si="5"/>
        <v>120430</v>
      </c>
      <c r="H66" s="47">
        <v>7500</v>
      </c>
      <c r="I66" s="47">
        <f t="shared" si="1"/>
        <v>52715</v>
      </c>
      <c r="J66" s="47">
        <f t="shared" si="2"/>
        <v>105430</v>
      </c>
      <c r="K66" s="47">
        <v>0</v>
      </c>
      <c r="L66" s="48">
        <f t="shared" si="6"/>
        <v>105430</v>
      </c>
    </row>
    <row r="67" spans="1:49" x14ac:dyDescent="0.35">
      <c r="B67" s="50" t="s">
        <v>113</v>
      </c>
      <c r="C67" s="51" t="s">
        <v>238</v>
      </c>
      <c r="D67" s="51" t="s">
        <v>222</v>
      </c>
      <c r="E67" s="52">
        <v>2</v>
      </c>
      <c r="F67" s="53">
        <v>50000</v>
      </c>
      <c r="G67" s="54">
        <f t="shared" si="5"/>
        <v>100000</v>
      </c>
      <c r="H67" s="54">
        <v>7500</v>
      </c>
      <c r="I67" s="54">
        <f t="shared" si="1"/>
        <v>42500</v>
      </c>
      <c r="J67" s="54">
        <f t="shared" si="2"/>
        <v>85000</v>
      </c>
      <c r="K67" s="54">
        <v>0</v>
      </c>
      <c r="L67" s="55">
        <f t="shared" si="6"/>
        <v>85000</v>
      </c>
    </row>
    <row r="69" spans="1:49" s="9" customFormat="1" x14ac:dyDescent="0.35">
      <c r="A69" s="29" t="s">
        <v>255</v>
      </c>
    </row>
    <row r="71" spans="1:49" x14ac:dyDescent="0.35">
      <c r="B71" s="10" t="s">
        <v>39</v>
      </c>
    </row>
    <row r="72" spans="1:49" x14ac:dyDescent="0.35">
      <c r="B72" s="36" t="s">
        <v>40</v>
      </c>
      <c r="C72" s="36" t="s">
        <v>41</v>
      </c>
      <c r="D72" s="36" t="s">
        <v>42</v>
      </c>
    </row>
    <row r="73" spans="1:49" x14ac:dyDescent="0.35">
      <c r="B73" s="3" t="s">
        <v>256</v>
      </c>
      <c r="C73" s="3">
        <v>12</v>
      </c>
      <c r="D73" s="3" t="s">
        <v>257</v>
      </c>
    </row>
    <row r="74" spans="1:49" x14ac:dyDescent="0.35">
      <c r="B74" s="3" t="s">
        <v>258</v>
      </c>
      <c r="C74" s="3">
        <v>2026</v>
      </c>
      <c r="D74" s="3" t="s">
        <v>132</v>
      </c>
    </row>
    <row r="75" spans="1:49" x14ac:dyDescent="0.35">
      <c r="N75" s="31">
        <f>M78*5</f>
        <v>8794.5788958454632</v>
      </c>
      <c r="R75" s="32"/>
    </row>
    <row r="76" spans="1:49" x14ac:dyDescent="0.35">
      <c r="B76" s="10" t="s">
        <v>259</v>
      </c>
      <c r="Q76" s="10" t="s">
        <v>260</v>
      </c>
      <c r="AT76" s="10" t="s">
        <v>261</v>
      </c>
    </row>
    <row r="77" spans="1:49" s="33" customFormat="1" ht="43.5" x14ac:dyDescent="0.35">
      <c r="B77" s="56" t="s">
        <v>197</v>
      </c>
      <c r="C77" s="56" t="s">
        <v>262</v>
      </c>
      <c r="D77" s="56" t="s">
        <v>200</v>
      </c>
      <c r="E77" s="56" t="s">
        <v>263</v>
      </c>
      <c r="F77" s="56" t="s">
        <v>264</v>
      </c>
      <c r="G77" s="56" t="s">
        <v>154</v>
      </c>
      <c r="H77" s="56" t="s">
        <v>265</v>
      </c>
      <c r="I77" s="56" t="s">
        <v>266</v>
      </c>
      <c r="J77" s="56" t="s">
        <v>267</v>
      </c>
      <c r="K77" s="56" t="s">
        <v>268</v>
      </c>
      <c r="L77" s="56" t="s">
        <v>269</v>
      </c>
      <c r="M77" s="56" t="s">
        <v>270</v>
      </c>
      <c r="N77" s="56" t="s">
        <v>271</v>
      </c>
      <c r="O77" s="56" t="s">
        <v>272</v>
      </c>
      <c r="Q77" s="56" t="s">
        <v>273</v>
      </c>
      <c r="R77" s="56" t="s">
        <v>274</v>
      </c>
      <c r="S77" s="56">
        <v>2025</v>
      </c>
      <c r="T77" s="56">
        <v>2026</v>
      </c>
      <c r="U77" s="56">
        <v>2027</v>
      </c>
      <c r="V77" s="56">
        <v>2028</v>
      </c>
      <c r="W77" s="56">
        <v>2029</v>
      </c>
      <c r="X77" s="56">
        <v>2030</v>
      </c>
      <c r="Y77" s="56">
        <v>2031</v>
      </c>
      <c r="Z77" s="56">
        <v>2032</v>
      </c>
      <c r="AA77" s="56">
        <v>2033</v>
      </c>
      <c r="AB77" s="56">
        <v>2034</v>
      </c>
      <c r="AC77" s="56">
        <v>2035</v>
      </c>
      <c r="AD77" s="56">
        <v>2036</v>
      </c>
      <c r="AE77" s="56">
        <v>2037</v>
      </c>
      <c r="AF77" s="56">
        <v>2038</v>
      </c>
      <c r="AG77" s="56">
        <v>2039</v>
      </c>
      <c r="AH77" s="56">
        <v>2040</v>
      </c>
      <c r="AI77" s="56">
        <v>2041</v>
      </c>
      <c r="AJ77" s="56">
        <v>2042</v>
      </c>
      <c r="AK77" s="56">
        <v>2043</v>
      </c>
      <c r="AL77" s="56">
        <v>2044</v>
      </c>
      <c r="AM77" s="56">
        <v>2045</v>
      </c>
      <c r="AN77" s="56">
        <v>2046</v>
      </c>
      <c r="AO77" s="56">
        <v>2047</v>
      </c>
      <c r="AP77" s="56">
        <v>2048</v>
      </c>
      <c r="AQ77" s="56">
        <v>2049</v>
      </c>
      <c r="AR77" s="56">
        <v>2050</v>
      </c>
      <c r="AT77" s="56" t="s">
        <v>275</v>
      </c>
      <c r="AU77" s="56" t="s">
        <v>276</v>
      </c>
      <c r="AV77" s="56" t="s">
        <v>277</v>
      </c>
    </row>
    <row r="78" spans="1:49" x14ac:dyDescent="0.35">
      <c r="B78" s="20" t="s">
        <v>17</v>
      </c>
      <c r="C78" s="20"/>
      <c r="D78" s="20">
        <f>SUM(D79:D185)</f>
        <v>443</v>
      </c>
      <c r="E78" s="20"/>
      <c r="F78" s="40">
        <f>SUM(F79:F185)</f>
        <v>3793342.973135686</v>
      </c>
      <c r="G78" s="20"/>
      <c r="H78" s="20"/>
      <c r="I78" s="40">
        <f>SUM(I79:I185)</f>
        <v>185466.40734229659</v>
      </c>
      <c r="J78" s="40">
        <f>SUM(J79:J185)</f>
        <v>1751.9898478259454</v>
      </c>
      <c r="K78" s="38">
        <f t="shared" ref="K78:M78" si="19">SUM(K79:K185)</f>
        <v>1.125814695177193</v>
      </c>
      <c r="L78" s="38">
        <f t="shared" si="19"/>
        <v>5.8001166479699702</v>
      </c>
      <c r="M78" s="39">
        <f t="shared" si="19"/>
        <v>1758.9157791690927</v>
      </c>
      <c r="N78" s="39">
        <f>SUM(N79:N185)</f>
        <v>8794.5788958454668</v>
      </c>
      <c r="O78" s="39">
        <f t="shared" ref="O78" si="20">SUM(O79:O185)</f>
        <v>21106.989350029125</v>
      </c>
      <c r="Q78" s="39"/>
      <c r="R78" s="40">
        <f t="shared" ref="R78" si="21">SUM(R79:R185)</f>
        <v>1738246.6192434414</v>
      </c>
      <c r="S78" s="40">
        <f t="shared" ref="S78" si="22">SUM(S79:S185)</f>
        <v>0</v>
      </c>
      <c r="T78" s="40">
        <f t="shared" ref="T78" si="23">SUM(T79:T185)</f>
        <v>456.0549814311031</v>
      </c>
      <c r="U78" s="40">
        <f t="shared" ref="U78" si="24">SUM(U79:U185)</f>
        <v>417.59058739365702</v>
      </c>
      <c r="V78" s="40">
        <f t="shared" ref="V78" si="25">SUM(V79:V185)</f>
        <v>403.76417985457698</v>
      </c>
      <c r="W78" s="40">
        <f t="shared" ref="W78" si="26">SUM(W79:W185)</f>
        <v>342.86091237703431</v>
      </c>
      <c r="X78" s="40">
        <f t="shared" ref="X78" si="27">SUM(X79:X185)</f>
        <v>321.07500829328546</v>
      </c>
      <c r="Y78" s="40">
        <f t="shared" ref="Y78" si="28">SUM(Y79:Y185)</f>
        <v>300.96842104326538</v>
      </c>
      <c r="Z78" s="40">
        <f t="shared" ref="Z78" si="29">SUM(Z79:Z185)</f>
        <v>300.54581496003965</v>
      </c>
      <c r="AA78" s="40">
        <f t="shared" ref="AA78" si="30">SUM(AA79:AA185)</f>
        <v>296.24221240785204</v>
      </c>
      <c r="AB78" s="40">
        <f t="shared" ref="AB78" si="31">SUM(AB79:AB185)</f>
        <v>256.56529912146044</v>
      </c>
      <c r="AC78" s="40">
        <f t="shared" ref="AC78" si="32">SUM(AC79:AC185)</f>
        <v>239.41155639688742</v>
      </c>
      <c r="AD78" s="40">
        <f t="shared" ref="AD78" si="33">SUM(AD79:AD185)</f>
        <v>236.66609130399013</v>
      </c>
      <c r="AE78" s="40">
        <f t="shared" ref="AE78" si="34">SUM(AE79:AE185)</f>
        <v>236.28848940940028</v>
      </c>
      <c r="AF78" s="40">
        <f t="shared" ref="AF78" si="35">SUM(AF79:AF185)</f>
        <v>0</v>
      </c>
      <c r="AG78" s="40">
        <f t="shared" ref="AG78" si="36">SUM(AG79:AG185)</f>
        <v>0</v>
      </c>
      <c r="AH78" s="40">
        <f t="shared" ref="AH78" si="37">SUM(AH79:AH185)</f>
        <v>0</v>
      </c>
      <c r="AI78" s="40">
        <f t="shared" ref="AI78" si="38">SUM(AI79:AI185)</f>
        <v>0</v>
      </c>
      <c r="AJ78" s="40">
        <f t="shared" ref="AJ78" si="39">SUM(AJ79:AJ185)</f>
        <v>0</v>
      </c>
      <c r="AK78" s="40">
        <f t="shared" ref="AK78" si="40">SUM(AK79:AK185)</f>
        <v>0</v>
      </c>
      <c r="AL78" s="40">
        <f t="shared" ref="AL78" si="41">SUM(AL79:AL185)</f>
        <v>0</v>
      </c>
      <c r="AM78" s="40">
        <f t="shared" ref="AM78" si="42">SUM(AM79:AM185)</f>
        <v>0</v>
      </c>
      <c r="AN78" s="40">
        <f t="shared" ref="AN78" si="43">SUM(AN79:AN185)</f>
        <v>0</v>
      </c>
      <c r="AO78" s="40">
        <f t="shared" ref="AO78" si="44">SUM(AO79:AO185)</f>
        <v>0</v>
      </c>
      <c r="AP78" s="40">
        <f t="shared" ref="AP78" si="45">SUM(AP79:AP185)</f>
        <v>0</v>
      </c>
      <c r="AQ78" s="40">
        <f t="shared" ref="AQ78" si="46">SUM(AQ79:AQ185)</f>
        <v>0</v>
      </c>
      <c r="AR78" s="40">
        <f t="shared" ref="AR78" si="47">SUM(AR79:AR185)</f>
        <v>0</v>
      </c>
      <c r="AT78" s="40">
        <f>SUM(AT79:AT185)</f>
        <v>11250157.860601244</v>
      </c>
      <c r="AU78" s="40">
        <f t="shared" ref="AU78:AV78" si="48">SUM(AU79:AU185)</f>
        <v>1231377.5977325758</v>
      </c>
      <c r="AV78" s="40">
        <f t="shared" si="48"/>
        <v>49201.255397132387</v>
      </c>
      <c r="AW78" s="30"/>
    </row>
    <row r="79" spans="1:49" x14ac:dyDescent="0.35">
      <c r="B79" s="57" t="s">
        <v>64</v>
      </c>
      <c r="C79" s="58" t="s">
        <v>212</v>
      </c>
      <c r="D79" s="58">
        <v>2</v>
      </c>
      <c r="E79" s="59">
        <v>8646.184172570689</v>
      </c>
      <c r="F79" s="59">
        <f>E79*D79</f>
        <v>17292.368345141378</v>
      </c>
      <c r="G79" s="58" t="s">
        <v>278</v>
      </c>
      <c r="H79" s="60">
        <f>VLOOKUP($C79,'Conversions and Lookups'!$B$30:$E$36, 3, 0)</f>
        <v>27.5</v>
      </c>
      <c r="I79" s="61">
        <f>F79/H79</f>
        <v>628.81339436877738</v>
      </c>
      <c r="J79" s="62">
        <f>I79*VLOOKUP($G79,'Conversions and Lookups'!$B$41:$D$43,3, 0)</f>
        <v>5.5209816025578649</v>
      </c>
      <c r="K79" s="63">
        <f>$F79*VLOOKUP($C79,'Conversions and Lookups'!$C$47:$G$52, 4, 0)</f>
        <v>2.469350199686189E-3</v>
      </c>
      <c r="L79" s="64">
        <f>$F79*VLOOKUP($C79,'Conversions and Lookups'!$C$47:$G$52, 5, 0)</f>
        <v>6.4154686560474504E-3</v>
      </c>
      <c r="M79" s="62">
        <f>SUM(J79:L79)</f>
        <v>5.5298664214135984</v>
      </c>
      <c r="N79" s="62">
        <f>M79*5</f>
        <v>27.649332107067991</v>
      </c>
      <c r="O79" s="65">
        <f>M79*12</f>
        <v>66.358397056963184</v>
      </c>
      <c r="P79" s="31"/>
      <c r="Q79" s="75">
        <f>VLOOKUP($C79,'Conversions and Lookups'!$B$30:$E$36, 4, 0)</f>
        <v>0.33428046130703665</v>
      </c>
      <c r="R79" s="30">
        <f>Q79*F79</f>
        <v>5780.5008675050576</v>
      </c>
      <c r="S79">
        <v>0</v>
      </c>
      <c r="T79" s="76">
        <f>$R79*HLOOKUP(T$77,'Conversions and Lookups'!$B$76:$AE$78, 3, 0)</f>
        <v>1.5166008014098098</v>
      </c>
      <c r="U79" s="76">
        <f>$R79*HLOOKUP(U$77,'Conversions and Lookups'!$B$76:$AE$78, 3, 0)</f>
        <v>1.3886883057719426</v>
      </c>
      <c r="V79" s="76">
        <f>$R79*HLOOKUP(V$77,'Conversions and Lookups'!$B$76:$AE$78, 3, 0)</f>
        <v>1.3427088918675358</v>
      </c>
      <c r="W79" s="76">
        <f>$R79*HLOOKUP(W$77,'Conversions and Lookups'!$B$76:$AE$78, 3, 0)</f>
        <v>1.140176416561439</v>
      </c>
      <c r="X79" s="76">
        <f>$R79*HLOOKUP(X$77,'Conversions and Lookups'!$B$76:$AE$78, 3, 0)</f>
        <v>1.0677278721136414</v>
      </c>
      <c r="Y79" s="76">
        <f>$R79*HLOOKUP(Y$77,'Conversions and Lookups'!$B$76:$AE$78, 3, 0)</f>
        <v>1.000863858828867</v>
      </c>
      <c r="Z79" s="76">
        <f>$R79*HLOOKUP(Z$77,'Conversions and Lookups'!$B$76:$AE$78, 3, 0)</f>
        <v>0.99945849160211397</v>
      </c>
      <c r="AA79" s="76">
        <f>$R79*HLOOKUP(AA$77,'Conversions and Lookups'!$B$76:$AE$78, 3, 0)</f>
        <v>0.9851469560519136</v>
      </c>
      <c r="AB79" s="76">
        <f>$R79*HLOOKUP(AB$77,'Conversions and Lookups'!$B$76:$AE$78, 3, 0)</f>
        <v>0.85320225434339925</v>
      </c>
      <c r="AC79" s="76">
        <f>$R79*HLOOKUP(AC$77,'Conversions and Lookups'!$B$76:$AE$78, 3, 0)</f>
        <v>0.79615786052573057</v>
      </c>
      <c r="AD79" s="76">
        <f>$R79*HLOOKUP(AD$77,'Conversions and Lookups'!$B$76:$AE$78, 3, 0)</f>
        <v>0.78702787679643438</v>
      </c>
      <c r="AE79" s="76">
        <f>$R79*HLOOKUP(AE$77,'Conversions and Lookups'!$B$76:$AE$78, 3, 0)</f>
        <v>0.78577217000829291</v>
      </c>
      <c r="AF79" s="76">
        <v>0</v>
      </c>
      <c r="AG79" s="76">
        <v>0</v>
      </c>
      <c r="AH79" s="76">
        <v>0</v>
      </c>
      <c r="AI79" s="76">
        <v>0</v>
      </c>
      <c r="AJ79" s="76">
        <v>0</v>
      </c>
      <c r="AK79" s="76">
        <v>0</v>
      </c>
      <c r="AL79" s="76">
        <v>0</v>
      </c>
      <c r="AM79" s="76">
        <v>0</v>
      </c>
      <c r="AN79" s="76">
        <v>0</v>
      </c>
      <c r="AO79" s="76">
        <v>0</v>
      </c>
      <c r="AP79" s="76">
        <v>0</v>
      </c>
      <c r="AQ79" s="76">
        <v>0</v>
      </c>
      <c r="AR79" s="77">
        <v>0</v>
      </c>
      <c r="AT79" s="82">
        <f>SUMIFS('Conversions and Lookups'!$F$58:$F$72,'Conversions and Lookups'!$G$58:$G$72,'Measure 2'!AT$77,'Conversions and Lookups'!$C$58:$C$72,'Measure 2'!$C79)*'Measure 2'!$F79</f>
        <v>58603.836321684124</v>
      </c>
      <c r="AU79" s="30">
        <f>SUMIFS('Conversions and Lookups'!$F$58:$F$72,'Conversions and Lookups'!$G$58:$G$72,'Measure 2'!AU$77,'Conversions and Lookups'!$C$58:$C$72,'Measure 2'!$C79)*'Measure 2'!$F79</f>
        <v>1504.4360460272999</v>
      </c>
      <c r="AV79" s="83">
        <f>SUMIFS('Conversions and Lookups'!$F$58:$F$72,'Conversions and Lookups'!$G$58:$G$72,'Measure 2'!AV$77,'Conversions and Lookups'!$C$58:$C$72,'Measure 2'!$C79)*'Measure 2'!$F79</f>
        <v>34.58473669028276</v>
      </c>
    </row>
    <row r="80" spans="1:49" x14ac:dyDescent="0.35">
      <c r="B80" s="57" t="s">
        <v>64</v>
      </c>
      <c r="C80" s="58" t="s">
        <v>214</v>
      </c>
      <c r="D80" s="58">
        <v>1</v>
      </c>
      <c r="E80" s="59">
        <v>5745.0145382258061</v>
      </c>
      <c r="F80" s="59">
        <f t="shared" ref="F80:F143" si="49">E80*D80</f>
        <v>5745.0145382258061</v>
      </c>
      <c r="G80" s="58" t="s">
        <v>279</v>
      </c>
      <c r="H80" s="60">
        <f>VLOOKUP($C80,'Conversions and Lookups'!$B$30:$E$36, 3, 0)</f>
        <v>15.064935064935064</v>
      </c>
      <c r="I80" s="61">
        <f t="shared" ref="I80:I143" si="50">F80/H80</f>
        <v>381.35010296843717</v>
      </c>
      <c r="J80" s="62">
        <f>I80*VLOOKUP($G80,'Conversions and Lookups'!$B$41:$D$43,3, 0)</f>
        <v>3.8935845513077436</v>
      </c>
      <c r="K80" s="63">
        <f>$F80*VLOOKUP($C80,'Conversions and Lookups'!$C$47:$G$52, 4, 0)</f>
        <v>4.6649518050393543E-3</v>
      </c>
      <c r="L80" s="64">
        <f>$F80*VLOOKUP($C80,'Conversions and Lookups'!$C$47:$G$52, 5, 0)</f>
        <v>3.2579977446278545E-2</v>
      </c>
      <c r="M80" s="62">
        <f t="shared" ref="M80:M143" si="51">SUM(J80:L80)</f>
        <v>3.9308294805590616</v>
      </c>
      <c r="N80" s="62">
        <f t="shared" ref="N80:N143" si="52">M80*5</f>
        <v>19.654147402795306</v>
      </c>
      <c r="O80" s="65">
        <f t="shared" ref="O80:O143" si="53">M80*12</f>
        <v>47.169953766708737</v>
      </c>
      <c r="P80" s="31"/>
      <c r="Q80" s="75">
        <f>VLOOKUP($C80,'Conversions and Lookups'!$B$30:$E$36, 4, 0)</f>
        <v>0.64775229952066338</v>
      </c>
      <c r="R80" s="30">
        <f t="shared" ref="R80:R143" si="54">Q80*F80</f>
        <v>3721.3463779154081</v>
      </c>
      <c r="S80">
        <v>0</v>
      </c>
      <c r="T80" s="76">
        <f>$R80*HLOOKUP(T$77,'Conversions and Lookups'!$B$76:$AE$78, 3, 0)</f>
        <v>0.97635084371260372</v>
      </c>
      <c r="U80" s="76">
        <f>$R80*HLOOKUP(U$77,'Conversions and Lookups'!$B$76:$AE$78, 3, 0)</f>
        <v>0.89400387876222065</v>
      </c>
      <c r="V80" s="76">
        <f>$R80*HLOOKUP(V$77,'Conversions and Lookups'!$B$76:$AE$78, 3, 0)</f>
        <v>0.86440344632327726</v>
      </c>
      <c r="W80" s="76">
        <f>$R80*HLOOKUP(W$77,'Conversions and Lookups'!$B$76:$AE$78, 3, 0)</f>
        <v>0.73401794675048859</v>
      </c>
      <c r="X80" s="76">
        <f>$R80*HLOOKUP(X$77,'Conversions and Lookups'!$B$76:$AE$78, 3, 0)</f>
        <v>0.68737732950196617</v>
      </c>
      <c r="Y80" s="76">
        <f>$R80*HLOOKUP(Y$77,'Conversions and Lookups'!$B$76:$AE$78, 3, 0)</f>
        <v>0.64433189808460545</v>
      </c>
      <c r="Z80" s="76">
        <f>$R80*HLOOKUP(Z$77,'Conversions and Lookups'!$B$76:$AE$78, 3, 0)</f>
        <v>0.64342715672070094</v>
      </c>
      <c r="AA80" s="76">
        <f>$R80*HLOOKUP(AA$77,'Conversions and Lookups'!$B$76:$AE$78, 3, 0)</f>
        <v>0.63421373694914873</v>
      </c>
      <c r="AB80" s="76">
        <f>$R80*HLOOKUP(AB$77,'Conversions and Lookups'!$B$76:$AE$78, 3, 0)</f>
        <v>0.54927093544412331</v>
      </c>
      <c r="AC80" s="76">
        <f>$R80*HLOOKUP(AC$77,'Conversions and Lookups'!$B$76:$AE$78, 3, 0)</f>
        <v>0.5125471370779473</v>
      </c>
      <c r="AD80" s="76">
        <f>$R80*HLOOKUP(AD$77,'Conversions and Lookups'!$B$76:$AE$78, 3, 0)</f>
        <v>0.50666947480261793</v>
      </c>
      <c r="AE80" s="76">
        <f>$R80*HLOOKUP(AE$77,'Conversions and Lookups'!$B$76:$AE$78, 3, 0)</f>
        <v>0.50586108120232587</v>
      </c>
      <c r="AF80" s="76">
        <v>0</v>
      </c>
      <c r="AG80" s="76">
        <v>0</v>
      </c>
      <c r="AH80" s="76">
        <v>0</v>
      </c>
      <c r="AI80" s="76">
        <v>0</v>
      </c>
      <c r="AJ80" s="76">
        <v>0</v>
      </c>
      <c r="AK80" s="76">
        <v>0</v>
      </c>
      <c r="AL80" s="76">
        <v>0</v>
      </c>
      <c r="AM80" s="76">
        <v>0</v>
      </c>
      <c r="AN80" s="76">
        <v>0</v>
      </c>
      <c r="AO80" s="76">
        <v>0</v>
      </c>
      <c r="AP80" s="76">
        <v>0</v>
      </c>
      <c r="AQ80" s="76">
        <v>0</v>
      </c>
      <c r="AR80" s="77">
        <v>0</v>
      </c>
      <c r="AT80" s="82">
        <f>SUMIFS('Conversions and Lookups'!$F$58:$F$72,'Conversions and Lookups'!$G$58:$G$72,'Measure 2'!AT$77,'Conversions and Lookups'!$C$58:$C$72,'Measure 2'!$C80)*'Measure 2'!$F80</f>
        <v>9243.7283920053214</v>
      </c>
      <c r="AU80" s="30">
        <f>SUMIFS('Conversions and Lookups'!$F$58:$F$72,'Conversions and Lookups'!$G$58:$G$72,'Measure 2'!AU$77,'Conversions and Lookups'!$C$58:$C$72,'Measure 2'!$C80)*'Measure 2'!$F80</f>
        <v>6635.4917916508066</v>
      </c>
      <c r="AV80" s="83">
        <f>SUMIFS('Conversions and Lookups'!$F$58:$F$72,'Conversions and Lookups'!$G$58:$G$72,'Measure 2'!AV$77,'Conversions and Lookups'!$C$58:$C$72,'Measure 2'!$C80)*'Measure 2'!$F80</f>
        <v>298.74075598774192</v>
      </c>
    </row>
    <row r="81" spans="2:52" x14ac:dyDescent="0.35">
      <c r="B81" s="57" t="s">
        <v>64</v>
      </c>
      <c r="C81" s="58" t="s">
        <v>212</v>
      </c>
      <c r="D81" s="58">
        <v>1</v>
      </c>
      <c r="E81" s="59">
        <v>8646.184172570689</v>
      </c>
      <c r="F81" s="59">
        <f t="shared" si="49"/>
        <v>8646.184172570689</v>
      </c>
      <c r="G81" s="58" t="s">
        <v>278</v>
      </c>
      <c r="H81" s="60">
        <f>VLOOKUP($C81,'Conversions and Lookups'!$B$30:$E$36, 3, 0)</f>
        <v>27.5</v>
      </c>
      <c r="I81" s="61">
        <f t="shared" si="50"/>
        <v>314.40669718438869</v>
      </c>
      <c r="J81" s="62">
        <f>I81*VLOOKUP($G81,'Conversions and Lookups'!$B$41:$D$43,3, 0)</f>
        <v>2.7604908012789324</v>
      </c>
      <c r="K81" s="63">
        <f>$F81*VLOOKUP($C81,'Conversions and Lookups'!$C$47:$G$52, 4, 0)</f>
        <v>1.2346750998430945E-3</v>
      </c>
      <c r="L81" s="64">
        <f>$F81*VLOOKUP($C81,'Conversions and Lookups'!$C$47:$G$52, 5, 0)</f>
        <v>3.2077343280237252E-3</v>
      </c>
      <c r="M81" s="62">
        <f t="shared" si="51"/>
        <v>2.7649332107067992</v>
      </c>
      <c r="N81" s="62">
        <f t="shared" si="52"/>
        <v>13.824666053533996</v>
      </c>
      <c r="O81" s="65">
        <f t="shared" si="53"/>
        <v>33.179198528481592</v>
      </c>
      <c r="P81" s="31"/>
      <c r="Q81" s="75">
        <f>VLOOKUP($C81,'Conversions and Lookups'!$B$30:$E$36, 4, 0)</f>
        <v>0.33428046130703665</v>
      </c>
      <c r="R81" s="30">
        <f t="shared" si="54"/>
        <v>2890.2504337525288</v>
      </c>
      <c r="S81">
        <v>0</v>
      </c>
      <c r="T81" s="76">
        <f>$R81*HLOOKUP(T$77,'Conversions and Lookups'!$B$76:$AE$78, 3, 0)</f>
        <v>0.7583004007049049</v>
      </c>
      <c r="U81" s="76">
        <f>$R81*HLOOKUP(U$77,'Conversions and Lookups'!$B$76:$AE$78, 3, 0)</f>
        <v>0.69434415288597129</v>
      </c>
      <c r="V81" s="76">
        <f>$R81*HLOOKUP(V$77,'Conversions and Lookups'!$B$76:$AE$78, 3, 0)</f>
        <v>0.67135444593376792</v>
      </c>
      <c r="W81" s="76">
        <f>$R81*HLOOKUP(W$77,'Conversions and Lookups'!$B$76:$AE$78, 3, 0)</f>
        <v>0.57008820828071949</v>
      </c>
      <c r="X81" s="76">
        <f>$R81*HLOOKUP(X$77,'Conversions and Lookups'!$B$76:$AE$78, 3, 0)</f>
        <v>0.5338639360568207</v>
      </c>
      <c r="Y81" s="76">
        <f>$R81*HLOOKUP(Y$77,'Conversions and Lookups'!$B$76:$AE$78, 3, 0)</f>
        <v>0.50043192941443349</v>
      </c>
      <c r="Z81" s="76">
        <f>$R81*HLOOKUP(Z$77,'Conversions and Lookups'!$B$76:$AE$78, 3, 0)</f>
        <v>0.49972924580105699</v>
      </c>
      <c r="AA81" s="76">
        <f>$R81*HLOOKUP(AA$77,'Conversions and Lookups'!$B$76:$AE$78, 3, 0)</f>
        <v>0.4925734780259568</v>
      </c>
      <c r="AB81" s="76">
        <f>$R81*HLOOKUP(AB$77,'Conversions and Lookups'!$B$76:$AE$78, 3, 0)</f>
        <v>0.42660112717169962</v>
      </c>
      <c r="AC81" s="76">
        <f>$R81*HLOOKUP(AC$77,'Conversions and Lookups'!$B$76:$AE$78, 3, 0)</f>
        <v>0.39807893026286528</v>
      </c>
      <c r="AD81" s="76">
        <f>$R81*HLOOKUP(AD$77,'Conversions and Lookups'!$B$76:$AE$78, 3, 0)</f>
        <v>0.39351393839821719</v>
      </c>
      <c r="AE81" s="76">
        <f>$R81*HLOOKUP(AE$77,'Conversions and Lookups'!$B$76:$AE$78, 3, 0)</f>
        <v>0.39288608500414646</v>
      </c>
      <c r="AF81" s="76">
        <v>0</v>
      </c>
      <c r="AG81" s="76">
        <v>0</v>
      </c>
      <c r="AH81" s="76">
        <v>0</v>
      </c>
      <c r="AI81" s="76">
        <v>0</v>
      </c>
      <c r="AJ81" s="76">
        <v>0</v>
      </c>
      <c r="AK81" s="76">
        <v>0</v>
      </c>
      <c r="AL81" s="76">
        <v>0</v>
      </c>
      <c r="AM81" s="76">
        <v>0</v>
      </c>
      <c r="AN81" s="76">
        <v>0</v>
      </c>
      <c r="AO81" s="76">
        <v>0</v>
      </c>
      <c r="AP81" s="76">
        <v>0</v>
      </c>
      <c r="AQ81" s="76">
        <v>0</v>
      </c>
      <c r="AR81" s="77">
        <v>0</v>
      </c>
      <c r="AT81" s="82">
        <f>SUMIFS('Conversions and Lookups'!$F$58:$F$72,'Conversions and Lookups'!$G$58:$G$72,'Measure 2'!AT$77,'Conversions and Lookups'!$C$58:$C$72,'Measure 2'!$C81)*'Measure 2'!$F81</f>
        <v>29301.918160842062</v>
      </c>
      <c r="AU81" s="30">
        <f>SUMIFS('Conversions and Lookups'!$F$58:$F$72,'Conversions and Lookups'!$G$58:$G$72,'Measure 2'!AU$77,'Conversions and Lookups'!$C$58:$C$72,'Measure 2'!$C81)*'Measure 2'!$F81</f>
        <v>752.21802301364994</v>
      </c>
      <c r="AV81" s="83">
        <f>SUMIFS('Conversions and Lookups'!$F$58:$F$72,'Conversions and Lookups'!$G$58:$G$72,'Measure 2'!AV$77,'Conversions and Lookups'!$C$58:$C$72,'Measure 2'!$C81)*'Measure 2'!$F81</f>
        <v>17.29236834514138</v>
      </c>
    </row>
    <row r="82" spans="2:52" x14ac:dyDescent="0.35">
      <c r="B82" s="57" t="s">
        <v>64</v>
      </c>
      <c r="C82" s="58" t="s">
        <v>212</v>
      </c>
      <c r="D82" s="58">
        <v>2</v>
      </c>
      <c r="E82" s="59">
        <v>8646.184172570689</v>
      </c>
      <c r="F82" s="59">
        <f t="shared" si="49"/>
        <v>17292.368345141378</v>
      </c>
      <c r="G82" s="58" t="s">
        <v>278</v>
      </c>
      <c r="H82" s="60">
        <f>VLOOKUP($C82,'Conversions and Lookups'!$B$30:$E$36, 3, 0)</f>
        <v>27.5</v>
      </c>
      <c r="I82" s="61">
        <f t="shared" si="50"/>
        <v>628.81339436877738</v>
      </c>
      <c r="J82" s="62">
        <f>I82*VLOOKUP($G82,'Conversions and Lookups'!$B$41:$D$43,3, 0)</f>
        <v>5.5209816025578649</v>
      </c>
      <c r="K82" s="63">
        <f>$F82*VLOOKUP($C82,'Conversions and Lookups'!$C$47:$G$52, 4, 0)</f>
        <v>2.469350199686189E-3</v>
      </c>
      <c r="L82" s="64">
        <f>$F82*VLOOKUP($C82,'Conversions and Lookups'!$C$47:$G$52, 5, 0)</f>
        <v>6.4154686560474504E-3</v>
      </c>
      <c r="M82" s="62">
        <f t="shared" si="51"/>
        <v>5.5298664214135984</v>
      </c>
      <c r="N82" s="62">
        <f t="shared" si="52"/>
        <v>27.649332107067991</v>
      </c>
      <c r="O82" s="65">
        <f t="shared" si="53"/>
        <v>66.358397056963184</v>
      </c>
      <c r="P82" s="31"/>
      <c r="Q82" s="75">
        <f>VLOOKUP($C82,'Conversions and Lookups'!$B$30:$E$36, 4, 0)</f>
        <v>0.33428046130703665</v>
      </c>
      <c r="R82" s="30">
        <f t="shared" si="54"/>
        <v>5780.5008675050576</v>
      </c>
      <c r="S82">
        <v>0</v>
      </c>
      <c r="T82" s="76">
        <f>$R82*HLOOKUP(T$77,'Conversions and Lookups'!$B$76:$AE$78, 3, 0)</f>
        <v>1.5166008014098098</v>
      </c>
      <c r="U82" s="76">
        <f>$R82*HLOOKUP(U$77,'Conversions and Lookups'!$B$76:$AE$78, 3, 0)</f>
        <v>1.3886883057719426</v>
      </c>
      <c r="V82" s="76">
        <f>$R82*HLOOKUP(V$77,'Conversions and Lookups'!$B$76:$AE$78, 3, 0)</f>
        <v>1.3427088918675358</v>
      </c>
      <c r="W82" s="76">
        <f>$R82*HLOOKUP(W$77,'Conversions and Lookups'!$B$76:$AE$78, 3, 0)</f>
        <v>1.140176416561439</v>
      </c>
      <c r="X82" s="76">
        <f>$R82*HLOOKUP(X$77,'Conversions and Lookups'!$B$76:$AE$78, 3, 0)</f>
        <v>1.0677278721136414</v>
      </c>
      <c r="Y82" s="76">
        <f>$R82*HLOOKUP(Y$77,'Conversions and Lookups'!$B$76:$AE$78, 3, 0)</f>
        <v>1.000863858828867</v>
      </c>
      <c r="Z82" s="76">
        <f>$R82*HLOOKUP(Z$77,'Conversions and Lookups'!$B$76:$AE$78, 3, 0)</f>
        <v>0.99945849160211397</v>
      </c>
      <c r="AA82" s="76">
        <f>$R82*HLOOKUP(AA$77,'Conversions and Lookups'!$B$76:$AE$78, 3, 0)</f>
        <v>0.9851469560519136</v>
      </c>
      <c r="AB82" s="76">
        <f>$R82*HLOOKUP(AB$77,'Conversions and Lookups'!$B$76:$AE$78, 3, 0)</f>
        <v>0.85320225434339925</v>
      </c>
      <c r="AC82" s="76">
        <f>$R82*HLOOKUP(AC$77,'Conversions and Lookups'!$B$76:$AE$78, 3, 0)</f>
        <v>0.79615786052573057</v>
      </c>
      <c r="AD82" s="76">
        <f>$R82*HLOOKUP(AD$77,'Conversions and Lookups'!$B$76:$AE$78, 3, 0)</f>
        <v>0.78702787679643438</v>
      </c>
      <c r="AE82" s="76">
        <f>$R82*HLOOKUP(AE$77,'Conversions and Lookups'!$B$76:$AE$78, 3, 0)</f>
        <v>0.78577217000829291</v>
      </c>
      <c r="AF82" s="76">
        <v>0</v>
      </c>
      <c r="AG82" s="76">
        <v>0</v>
      </c>
      <c r="AH82" s="76">
        <v>0</v>
      </c>
      <c r="AI82" s="76">
        <v>0</v>
      </c>
      <c r="AJ82" s="76">
        <v>0</v>
      </c>
      <c r="AK82" s="76">
        <v>0</v>
      </c>
      <c r="AL82" s="76">
        <v>0</v>
      </c>
      <c r="AM82" s="76">
        <v>0</v>
      </c>
      <c r="AN82" s="76">
        <v>0</v>
      </c>
      <c r="AO82" s="76">
        <v>0</v>
      </c>
      <c r="AP82" s="76">
        <v>0</v>
      </c>
      <c r="AQ82" s="76">
        <v>0</v>
      </c>
      <c r="AR82" s="77">
        <v>0</v>
      </c>
      <c r="AT82" s="82">
        <f>SUMIFS('Conversions and Lookups'!$F$58:$F$72,'Conversions and Lookups'!$G$58:$G$72,'Measure 2'!AT$77,'Conversions and Lookups'!$C$58:$C$72,'Measure 2'!$C82)*'Measure 2'!$F82</f>
        <v>58603.836321684124</v>
      </c>
      <c r="AU82" s="30">
        <f>SUMIFS('Conversions and Lookups'!$F$58:$F$72,'Conversions and Lookups'!$G$58:$G$72,'Measure 2'!AU$77,'Conversions and Lookups'!$C$58:$C$72,'Measure 2'!$C82)*'Measure 2'!$F82</f>
        <v>1504.4360460272999</v>
      </c>
      <c r="AV82" s="83">
        <f>SUMIFS('Conversions and Lookups'!$F$58:$F$72,'Conversions and Lookups'!$G$58:$G$72,'Measure 2'!AV$77,'Conversions and Lookups'!$C$58:$C$72,'Measure 2'!$C82)*'Measure 2'!$F82</f>
        <v>34.58473669028276</v>
      </c>
    </row>
    <row r="83" spans="2:52" x14ac:dyDescent="0.35">
      <c r="B83" s="57" t="s">
        <v>64</v>
      </c>
      <c r="C83" s="58" t="s">
        <v>212</v>
      </c>
      <c r="D83" s="58">
        <v>2</v>
      </c>
      <c r="E83" s="59">
        <v>8646.184172570689</v>
      </c>
      <c r="F83" s="59">
        <f t="shared" si="49"/>
        <v>17292.368345141378</v>
      </c>
      <c r="G83" s="58" t="s">
        <v>278</v>
      </c>
      <c r="H83" s="60">
        <f>VLOOKUP($C83,'Conversions and Lookups'!$B$30:$E$36, 3, 0)</f>
        <v>27.5</v>
      </c>
      <c r="I83" s="61">
        <f t="shared" si="50"/>
        <v>628.81339436877738</v>
      </c>
      <c r="J83" s="62">
        <f>I83*VLOOKUP($G83,'Conversions and Lookups'!$B$41:$D$43,3, 0)</f>
        <v>5.5209816025578649</v>
      </c>
      <c r="K83" s="63">
        <f>$F83*VLOOKUP($C83,'Conversions and Lookups'!$C$47:$G$52, 4, 0)</f>
        <v>2.469350199686189E-3</v>
      </c>
      <c r="L83" s="64">
        <f>$F83*VLOOKUP($C83,'Conversions and Lookups'!$C$47:$G$52, 5, 0)</f>
        <v>6.4154686560474504E-3</v>
      </c>
      <c r="M83" s="62">
        <f t="shared" si="51"/>
        <v>5.5298664214135984</v>
      </c>
      <c r="N83" s="62">
        <f t="shared" si="52"/>
        <v>27.649332107067991</v>
      </c>
      <c r="O83" s="65">
        <f t="shared" si="53"/>
        <v>66.358397056963184</v>
      </c>
      <c r="P83" s="31"/>
      <c r="Q83" s="75">
        <f>VLOOKUP($C83,'Conversions and Lookups'!$B$30:$E$36, 4, 0)</f>
        <v>0.33428046130703665</v>
      </c>
      <c r="R83" s="30">
        <f t="shared" si="54"/>
        <v>5780.5008675050576</v>
      </c>
      <c r="S83">
        <v>0</v>
      </c>
      <c r="T83" s="76">
        <f>$R83*HLOOKUP(T$77,'Conversions and Lookups'!$B$76:$AE$78, 3, 0)</f>
        <v>1.5166008014098098</v>
      </c>
      <c r="U83" s="76">
        <f>$R83*HLOOKUP(U$77,'Conversions and Lookups'!$B$76:$AE$78, 3, 0)</f>
        <v>1.3886883057719426</v>
      </c>
      <c r="V83" s="76">
        <f>$R83*HLOOKUP(V$77,'Conversions and Lookups'!$B$76:$AE$78, 3, 0)</f>
        <v>1.3427088918675358</v>
      </c>
      <c r="W83" s="76">
        <f>$R83*HLOOKUP(W$77,'Conversions and Lookups'!$B$76:$AE$78, 3, 0)</f>
        <v>1.140176416561439</v>
      </c>
      <c r="X83" s="76">
        <f>$R83*HLOOKUP(X$77,'Conversions and Lookups'!$B$76:$AE$78, 3, 0)</f>
        <v>1.0677278721136414</v>
      </c>
      <c r="Y83" s="76">
        <f>$R83*HLOOKUP(Y$77,'Conversions and Lookups'!$B$76:$AE$78, 3, 0)</f>
        <v>1.000863858828867</v>
      </c>
      <c r="Z83" s="76">
        <f>$R83*HLOOKUP(Z$77,'Conversions and Lookups'!$B$76:$AE$78, 3, 0)</f>
        <v>0.99945849160211397</v>
      </c>
      <c r="AA83" s="76">
        <f>$R83*HLOOKUP(AA$77,'Conversions and Lookups'!$B$76:$AE$78, 3, 0)</f>
        <v>0.9851469560519136</v>
      </c>
      <c r="AB83" s="76">
        <f>$R83*HLOOKUP(AB$77,'Conversions and Lookups'!$B$76:$AE$78, 3, 0)</f>
        <v>0.85320225434339925</v>
      </c>
      <c r="AC83" s="76">
        <f>$R83*HLOOKUP(AC$77,'Conversions and Lookups'!$B$76:$AE$78, 3, 0)</f>
        <v>0.79615786052573057</v>
      </c>
      <c r="AD83" s="76">
        <f>$R83*HLOOKUP(AD$77,'Conversions and Lookups'!$B$76:$AE$78, 3, 0)</f>
        <v>0.78702787679643438</v>
      </c>
      <c r="AE83" s="76">
        <f>$R83*HLOOKUP(AE$77,'Conversions and Lookups'!$B$76:$AE$78, 3, 0)</f>
        <v>0.78577217000829291</v>
      </c>
      <c r="AF83" s="76">
        <v>0</v>
      </c>
      <c r="AG83" s="76">
        <v>0</v>
      </c>
      <c r="AH83" s="76">
        <v>0</v>
      </c>
      <c r="AI83" s="76">
        <v>0</v>
      </c>
      <c r="AJ83" s="76">
        <v>0</v>
      </c>
      <c r="AK83" s="76">
        <v>0</v>
      </c>
      <c r="AL83" s="76">
        <v>0</v>
      </c>
      <c r="AM83" s="76">
        <v>0</v>
      </c>
      <c r="AN83" s="76">
        <v>0</v>
      </c>
      <c r="AO83" s="76">
        <v>0</v>
      </c>
      <c r="AP83" s="76">
        <v>0</v>
      </c>
      <c r="AQ83" s="76">
        <v>0</v>
      </c>
      <c r="AR83" s="77">
        <v>0</v>
      </c>
      <c r="AT83" s="82">
        <f>SUMIFS('Conversions and Lookups'!$F$58:$F$72,'Conversions and Lookups'!$G$58:$G$72,'Measure 2'!AT$77,'Conversions and Lookups'!$C$58:$C$72,'Measure 2'!$C83)*'Measure 2'!$F83</f>
        <v>58603.836321684124</v>
      </c>
      <c r="AU83" s="30">
        <f>SUMIFS('Conversions and Lookups'!$F$58:$F$72,'Conversions and Lookups'!$G$58:$G$72,'Measure 2'!AU$77,'Conversions and Lookups'!$C$58:$C$72,'Measure 2'!$C83)*'Measure 2'!$F83</f>
        <v>1504.4360460272999</v>
      </c>
      <c r="AV83" s="83">
        <f>SUMIFS('Conversions and Lookups'!$F$58:$F$72,'Conversions and Lookups'!$G$58:$G$72,'Measure 2'!AV$77,'Conversions and Lookups'!$C$58:$C$72,'Measure 2'!$C83)*'Measure 2'!$F83</f>
        <v>34.58473669028276</v>
      </c>
    </row>
    <row r="84" spans="2:52" x14ac:dyDescent="0.35">
      <c r="B84" s="57" t="s">
        <v>64</v>
      </c>
      <c r="C84" s="58" t="s">
        <v>212</v>
      </c>
      <c r="D84" s="58">
        <v>1</v>
      </c>
      <c r="E84" s="59">
        <v>8646.184172570689</v>
      </c>
      <c r="F84" s="59">
        <f t="shared" si="49"/>
        <v>8646.184172570689</v>
      </c>
      <c r="G84" s="58" t="s">
        <v>278</v>
      </c>
      <c r="H84" s="60">
        <f>VLOOKUP($C84,'Conversions and Lookups'!$B$30:$E$36, 3, 0)</f>
        <v>27.5</v>
      </c>
      <c r="I84" s="61">
        <f t="shared" si="50"/>
        <v>314.40669718438869</v>
      </c>
      <c r="J84" s="62">
        <f>I84*VLOOKUP($G84,'Conversions and Lookups'!$B$41:$D$43,3, 0)</f>
        <v>2.7604908012789324</v>
      </c>
      <c r="K84" s="63">
        <f>$F84*VLOOKUP($C84,'Conversions and Lookups'!$C$47:$G$52, 4, 0)</f>
        <v>1.2346750998430945E-3</v>
      </c>
      <c r="L84" s="64">
        <f>$F84*VLOOKUP($C84,'Conversions and Lookups'!$C$47:$G$52, 5, 0)</f>
        <v>3.2077343280237252E-3</v>
      </c>
      <c r="M84" s="62">
        <f t="shared" si="51"/>
        <v>2.7649332107067992</v>
      </c>
      <c r="N84" s="62">
        <f t="shared" si="52"/>
        <v>13.824666053533996</v>
      </c>
      <c r="O84" s="65">
        <f t="shared" si="53"/>
        <v>33.179198528481592</v>
      </c>
      <c r="P84" s="31"/>
      <c r="Q84" s="75">
        <f>VLOOKUP($C84,'Conversions and Lookups'!$B$30:$E$36, 4, 0)</f>
        <v>0.33428046130703665</v>
      </c>
      <c r="R84" s="30">
        <f t="shared" si="54"/>
        <v>2890.2504337525288</v>
      </c>
      <c r="S84">
        <v>0</v>
      </c>
      <c r="T84" s="76">
        <f>$R84*HLOOKUP(T$77,'Conversions and Lookups'!$B$76:$AE$78, 3, 0)</f>
        <v>0.7583004007049049</v>
      </c>
      <c r="U84" s="76">
        <f>$R84*HLOOKUP(U$77,'Conversions and Lookups'!$B$76:$AE$78, 3, 0)</f>
        <v>0.69434415288597129</v>
      </c>
      <c r="V84" s="76">
        <f>$R84*HLOOKUP(V$77,'Conversions and Lookups'!$B$76:$AE$78, 3, 0)</f>
        <v>0.67135444593376792</v>
      </c>
      <c r="W84" s="76">
        <f>$R84*HLOOKUP(W$77,'Conversions and Lookups'!$B$76:$AE$78, 3, 0)</f>
        <v>0.57008820828071949</v>
      </c>
      <c r="X84" s="76">
        <f>$R84*HLOOKUP(X$77,'Conversions and Lookups'!$B$76:$AE$78, 3, 0)</f>
        <v>0.5338639360568207</v>
      </c>
      <c r="Y84" s="76">
        <f>$R84*HLOOKUP(Y$77,'Conversions and Lookups'!$B$76:$AE$78, 3, 0)</f>
        <v>0.50043192941443349</v>
      </c>
      <c r="Z84" s="76">
        <f>$R84*HLOOKUP(Z$77,'Conversions and Lookups'!$B$76:$AE$78, 3, 0)</f>
        <v>0.49972924580105699</v>
      </c>
      <c r="AA84" s="76">
        <f>$R84*HLOOKUP(AA$77,'Conversions and Lookups'!$B$76:$AE$78, 3, 0)</f>
        <v>0.4925734780259568</v>
      </c>
      <c r="AB84" s="76">
        <f>$R84*HLOOKUP(AB$77,'Conversions and Lookups'!$B$76:$AE$78, 3, 0)</f>
        <v>0.42660112717169962</v>
      </c>
      <c r="AC84" s="76">
        <f>$R84*HLOOKUP(AC$77,'Conversions and Lookups'!$B$76:$AE$78, 3, 0)</f>
        <v>0.39807893026286528</v>
      </c>
      <c r="AD84" s="76">
        <f>$R84*HLOOKUP(AD$77,'Conversions and Lookups'!$B$76:$AE$78, 3, 0)</f>
        <v>0.39351393839821719</v>
      </c>
      <c r="AE84" s="76">
        <f>$R84*HLOOKUP(AE$77,'Conversions and Lookups'!$B$76:$AE$78, 3, 0)</f>
        <v>0.39288608500414646</v>
      </c>
      <c r="AF84" s="76">
        <v>0</v>
      </c>
      <c r="AG84" s="76">
        <v>0</v>
      </c>
      <c r="AH84" s="76">
        <v>0</v>
      </c>
      <c r="AI84" s="76">
        <v>0</v>
      </c>
      <c r="AJ84" s="76">
        <v>0</v>
      </c>
      <c r="AK84" s="76">
        <v>0</v>
      </c>
      <c r="AL84" s="76">
        <v>0</v>
      </c>
      <c r="AM84" s="76">
        <v>0</v>
      </c>
      <c r="AN84" s="76">
        <v>0</v>
      </c>
      <c r="AO84" s="76">
        <v>0</v>
      </c>
      <c r="AP84" s="76">
        <v>0</v>
      </c>
      <c r="AQ84" s="76">
        <v>0</v>
      </c>
      <c r="AR84" s="77">
        <v>0</v>
      </c>
      <c r="AT84" s="82">
        <f>SUMIFS('Conversions and Lookups'!$F$58:$F$72,'Conversions and Lookups'!$G$58:$G$72,'Measure 2'!AT$77,'Conversions and Lookups'!$C$58:$C$72,'Measure 2'!$C84)*'Measure 2'!$F84</f>
        <v>29301.918160842062</v>
      </c>
      <c r="AU84" s="30">
        <f>SUMIFS('Conversions and Lookups'!$F$58:$F$72,'Conversions and Lookups'!$G$58:$G$72,'Measure 2'!AU$77,'Conversions and Lookups'!$C$58:$C$72,'Measure 2'!$C84)*'Measure 2'!$F84</f>
        <v>752.21802301364994</v>
      </c>
      <c r="AV84" s="83">
        <f>SUMIFS('Conversions and Lookups'!$F$58:$F$72,'Conversions and Lookups'!$G$58:$G$72,'Measure 2'!AV$77,'Conversions and Lookups'!$C$58:$C$72,'Measure 2'!$C84)*'Measure 2'!$F84</f>
        <v>17.29236834514138</v>
      </c>
    </row>
    <row r="85" spans="2:52" x14ac:dyDescent="0.35">
      <c r="B85" s="57" t="s">
        <v>64</v>
      </c>
      <c r="C85" s="58" t="s">
        <v>212</v>
      </c>
      <c r="D85" s="58">
        <v>7</v>
      </c>
      <c r="E85" s="59">
        <v>8646.184172570689</v>
      </c>
      <c r="F85" s="59">
        <f t="shared" si="49"/>
        <v>60523.289207994821</v>
      </c>
      <c r="G85" s="58" t="s">
        <v>278</v>
      </c>
      <c r="H85" s="60">
        <f>VLOOKUP($C85,'Conversions and Lookups'!$B$30:$E$36, 3, 0)</f>
        <v>27.5</v>
      </c>
      <c r="I85" s="61">
        <f t="shared" si="50"/>
        <v>2200.8468802907209</v>
      </c>
      <c r="J85" s="62">
        <f>I85*VLOOKUP($G85,'Conversions and Lookups'!$B$41:$D$43,3, 0)</f>
        <v>19.323435608952529</v>
      </c>
      <c r="K85" s="63">
        <f>$F85*VLOOKUP($C85,'Conversions and Lookups'!$C$47:$G$52, 4, 0)</f>
        <v>8.6427256989016609E-3</v>
      </c>
      <c r="L85" s="64">
        <f>$F85*VLOOKUP($C85,'Conversions and Lookups'!$C$47:$G$52, 5, 0)</f>
        <v>2.2454140296166079E-2</v>
      </c>
      <c r="M85" s="62">
        <f t="shared" si="51"/>
        <v>19.354532474947597</v>
      </c>
      <c r="N85" s="62">
        <f t="shared" si="52"/>
        <v>96.77266237473799</v>
      </c>
      <c r="O85" s="65">
        <f t="shared" si="53"/>
        <v>232.25438969937116</v>
      </c>
      <c r="P85" s="31"/>
      <c r="Q85" s="75">
        <f>VLOOKUP($C85,'Conversions and Lookups'!$B$30:$E$36, 4, 0)</f>
        <v>0.33428046130703665</v>
      </c>
      <c r="R85" s="30">
        <f t="shared" si="54"/>
        <v>20231.753036267703</v>
      </c>
      <c r="S85">
        <v>0</v>
      </c>
      <c r="T85" s="76">
        <f>$R85*HLOOKUP(T$77,'Conversions and Lookups'!$B$76:$AE$78, 3, 0)</f>
        <v>5.3081028049343342</v>
      </c>
      <c r="U85" s="76">
        <f>$R85*HLOOKUP(U$77,'Conversions and Lookups'!$B$76:$AE$78, 3, 0)</f>
        <v>4.8604090702017988</v>
      </c>
      <c r="V85" s="76">
        <f>$R85*HLOOKUP(V$77,'Conversions and Lookups'!$B$76:$AE$78, 3, 0)</f>
        <v>4.6994811215363752</v>
      </c>
      <c r="W85" s="76">
        <f>$R85*HLOOKUP(W$77,'Conversions and Lookups'!$B$76:$AE$78, 3, 0)</f>
        <v>3.9906174579650369</v>
      </c>
      <c r="X85" s="76">
        <f>$R85*HLOOKUP(X$77,'Conversions and Lookups'!$B$76:$AE$78, 3, 0)</f>
        <v>3.7370475523977453</v>
      </c>
      <c r="Y85" s="76">
        <f>$R85*HLOOKUP(Y$77,'Conversions and Lookups'!$B$76:$AE$78, 3, 0)</f>
        <v>3.5030235059010342</v>
      </c>
      <c r="Z85" s="76">
        <f>$R85*HLOOKUP(Z$77,'Conversions and Lookups'!$B$76:$AE$78, 3, 0)</f>
        <v>3.4981047206073992</v>
      </c>
      <c r="AA85" s="76">
        <f>$R85*HLOOKUP(AA$77,'Conversions and Lookups'!$B$76:$AE$78, 3, 0)</f>
        <v>3.4480143461816977</v>
      </c>
      <c r="AB85" s="76">
        <f>$R85*HLOOKUP(AB$77,'Conversions and Lookups'!$B$76:$AE$78, 3, 0)</f>
        <v>2.9862078902018974</v>
      </c>
      <c r="AC85" s="76">
        <f>$R85*HLOOKUP(AC$77,'Conversions and Lookups'!$B$76:$AE$78, 3, 0)</f>
        <v>2.7865525118400574</v>
      </c>
      <c r="AD85" s="76">
        <f>$R85*HLOOKUP(AD$77,'Conversions and Lookups'!$B$76:$AE$78, 3, 0)</f>
        <v>2.7545975687875202</v>
      </c>
      <c r="AE85" s="76">
        <f>$R85*HLOOKUP(AE$77,'Conversions and Lookups'!$B$76:$AE$78, 3, 0)</f>
        <v>2.7502025950290254</v>
      </c>
      <c r="AF85" s="76">
        <v>0</v>
      </c>
      <c r="AG85" s="76">
        <v>0</v>
      </c>
      <c r="AH85" s="76">
        <v>0</v>
      </c>
      <c r="AI85" s="76">
        <v>0</v>
      </c>
      <c r="AJ85" s="76">
        <v>0</v>
      </c>
      <c r="AK85" s="76">
        <v>0</v>
      </c>
      <c r="AL85" s="76">
        <v>0</v>
      </c>
      <c r="AM85" s="76">
        <v>0</v>
      </c>
      <c r="AN85" s="76">
        <v>0</v>
      </c>
      <c r="AO85" s="76">
        <v>0</v>
      </c>
      <c r="AP85" s="76">
        <v>0</v>
      </c>
      <c r="AQ85" s="76">
        <v>0</v>
      </c>
      <c r="AR85" s="77">
        <v>0</v>
      </c>
      <c r="AT85" s="82">
        <f>SUMIFS('Conversions and Lookups'!$F$58:$F$72,'Conversions and Lookups'!$G$58:$G$72,'Measure 2'!AT$77,'Conversions and Lookups'!$C$58:$C$72,'Measure 2'!$C85)*'Measure 2'!$F85</f>
        <v>205113.42712589444</v>
      </c>
      <c r="AU85" s="30">
        <f>SUMIFS('Conversions and Lookups'!$F$58:$F$72,'Conversions and Lookups'!$G$58:$G$72,'Measure 2'!AU$77,'Conversions and Lookups'!$C$58:$C$72,'Measure 2'!$C85)*'Measure 2'!$F85</f>
        <v>5265.5261610955495</v>
      </c>
      <c r="AV85" s="83">
        <f>SUMIFS('Conversions and Lookups'!$F$58:$F$72,'Conversions and Lookups'!$G$58:$G$72,'Measure 2'!AV$77,'Conversions and Lookups'!$C$58:$C$72,'Measure 2'!$C85)*'Measure 2'!$F85</f>
        <v>121.04657841598964</v>
      </c>
    </row>
    <row r="86" spans="2:52" x14ac:dyDescent="0.35">
      <c r="B86" s="57" t="s">
        <v>64</v>
      </c>
      <c r="C86" s="58" t="s">
        <v>219</v>
      </c>
      <c r="D86" s="58">
        <v>8</v>
      </c>
      <c r="E86" s="59">
        <v>11084.519142954545</v>
      </c>
      <c r="F86" s="59">
        <f t="shared" si="49"/>
        <v>88676.153143636358</v>
      </c>
      <c r="G86" s="58" t="s">
        <v>279</v>
      </c>
      <c r="H86" s="60">
        <f>VLOOKUP($C86,'Conversions and Lookups'!$B$30:$E$36, 3, 0)</f>
        <v>10.38961038961039</v>
      </c>
      <c r="I86" s="61">
        <f t="shared" si="50"/>
        <v>8535.0797400749998</v>
      </c>
      <c r="J86" s="62">
        <f>I86*VLOOKUP($G86,'Conversions and Lookups'!$B$41:$D$43,3, 0)</f>
        <v>87.143164146165745</v>
      </c>
      <c r="K86" s="63">
        <f>$F86*VLOOKUP($C86,'Conversions and Lookups'!$C$47:$G$52, 4, 0)</f>
        <v>7.2005036352632723E-2</v>
      </c>
      <c r="L86" s="64">
        <f>$F86*VLOOKUP($C86,'Conversions and Lookups'!$C$47:$G$52, 5, 0)</f>
        <v>0.5028824644775618</v>
      </c>
      <c r="M86" s="62">
        <f t="shared" si="51"/>
        <v>87.718051646995946</v>
      </c>
      <c r="N86" s="62">
        <f t="shared" si="52"/>
        <v>438.59025823497973</v>
      </c>
      <c r="O86" s="65">
        <f t="shared" si="53"/>
        <v>1052.6166197639513</v>
      </c>
      <c r="P86" s="31"/>
      <c r="Q86" s="75">
        <f>VLOOKUP($C86,'Conversions and Lookups'!$B$30:$E$36, 4, 0)</f>
        <v>0.94046835323991351</v>
      </c>
      <c r="R86" s="30">
        <f t="shared" si="54"/>
        <v>83397.115718646062</v>
      </c>
      <c r="S86">
        <v>0</v>
      </c>
      <c r="T86" s="76">
        <f>$R86*HLOOKUP(T$77,'Conversions and Lookups'!$B$76:$AE$78, 3, 0)</f>
        <v>21.880479811908721</v>
      </c>
      <c r="U86" s="76">
        <f>$R86*HLOOKUP(U$77,'Conversions and Lookups'!$B$76:$AE$78, 3, 0)</f>
        <v>20.03504574917217</v>
      </c>
      <c r="V86" s="76">
        <f>$R86*HLOOKUP(V$77,'Conversions and Lookups'!$B$76:$AE$78, 3, 0)</f>
        <v>19.371686190899776</v>
      </c>
      <c r="W86" s="76">
        <f>$R86*HLOOKUP(W$77,'Conversions and Lookups'!$B$76:$AE$78, 3, 0)</f>
        <v>16.449686062011878</v>
      </c>
      <c r="X86" s="76">
        <f>$R86*HLOOKUP(X$77,'Conversions and Lookups'!$B$76:$AE$78, 3, 0)</f>
        <v>15.404447979110552</v>
      </c>
      <c r="Y86" s="76">
        <f>$R86*HLOOKUP(Y$77,'Conversions and Lookups'!$B$76:$AE$78, 3, 0)</f>
        <v>14.439779694970978</v>
      </c>
      <c r="Z86" s="76">
        <f>$R86*HLOOKUP(Z$77,'Conversions and Lookups'!$B$76:$AE$78, 3, 0)</f>
        <v>14.41950401714943</v>
      </c>
      <c r="AA86" s="76">
        <f>$R86*HLOOKUP(AA$77,'Conversions and Lookups'!$B$76:$AE$78, 3, 0)</f>
        <v>14.213026963733343</v>
      </c>
      <c r="AB86" s="76">
        <f>$R86*HLOOKUP(AB$77,'Conversions and Lookups'!$B$76:$AE$78, 3, 0)</f>
        <v>12.309418987700532</v>
      </c>
      <c r="AC86" s="76">
        <f>$R86*HLOOKUP(AC$77,'Conversions and Lookups'!$B$76:$AE$78, 3, 0)</f>
        <v>11.486421461819102</v>
      </c>
      <c r="AD86" s="76">
        <f>$R86*HLOOKUP(AD$77,'Conversions and Lookups'!$B$76:$AE$78, 3, 0)</f>
        <v>11.354700296640882</v>
      </c>
      <c r="AE86" s="76">
        <f>$R86*HLOOKUP(AE$77,'Conversions and Lookups'!$B$76:$AE$78, 3, 0)</f>
        <v>11.336583817339234</v>
      </c>
      <c r="AF86" s="76">
        <v>0</v>
      </c>
      <c r="AG86" s="76">
        <v>0</v>
      </c>
      <c r="AH86" s="76">
        <v>0</v>
      </c>
      <c r="AI86" s="76">
        <v>0</v>
      </c>
      <c r="AJ86" s="76">
        <v>0</v>
      </c>
      <c r="AK86" s="76">
        <v>0</v>
      </c>
      <c r="AL86" s="76">
        <v>0</v>
      </c>
      <c r="AM86" s="76">
        <v>0</v>
      </c>
      <c r="AN86" s="76">
        <v>0</v>
      </c>
      <c r="AO86" s="76">
        <v>0</v>
      </c>
      <c r="AP86" s="76">
        <v>0</v>
      </c>
      <c r="AQ86" s="76">
        <v>0</v>
      </c>
      <c r="AR86" s="77">
        <v>0</v>
      </c>
      <c r="AT86" s="82">
        <f>SUMIFS('Conversions and Lookups'!$F$58:$F$72,'Conversions and Lookups'!$G$58:$G$72,'Measure 2'!AT$77,'Conversions and Lookups'!$C$58:$C$72,'Measure 2'!$C86)*'Measure 2'!$F86</f>
        <v>142679.9304081109</v>
      </c>
      <c r="AU86" s="30">
        <f>SUMIFS('Conversions and Lookups'!$F$58:$F$72,'Conversions and Lookups'!$G$58:$G$72,'Measure 2'!AU$77,'Conversions and Lookups'!$C$58:$C$72,'Measure 2'!$C86)*'Measure 2'!$F86</f>
        <v>102420.95688089999</v>
      </c>
      <c r="AV86" s="83">
        <f>SUMIFS('Conversions and Lookups'!$F$58:$F$72,'Conversions and Lookups'!$G$58:$G$72,'Measure 2'!AV$77,'Conversions and Lookups'!$C$58:$C$72,'Measure 2'!$C86)*'Measure 2'!$F86</f>
        <v>4611.1599634690901</v>
      </c>
    </row>
    <row r="87" spans="2:52" x14ac:dyDescent="0.35">
      <c r="B87" s="57" t="s">
        <v>64</v>
      </c>
      <c r="C87" s="58" t="s">
        <v>222</v>
      </c>
      <c r="D87" s="58">
        <v>2</v>
      </c>
      <c r="E87" s="59">
        <v>9557.5524831531493</v>
      </c>
      <c r="F87" s="59">
        <f t="shared" si="49"/>
        <v>19115.104966306299</v>
      </c>
      <c r="G87" s="58" t="s">
        <v>279</v>
      </c>
      <c r="H87" s="60">
        <f>VLOOKUP($C87,'Conversions and Lookups'!$B$30:$E$36, 3, 0)</f>
        <v>20.9</v>
      </c>
      <c r="I87" s="61">
        <f t="shared" si="50"/>
        <v>914.59832374671294</v>
      </c>
      <c r="J87" s="62">
        <f>I87*VLOOKUP($G87,'Conversions and Lookups'!$B$41:$D$43,3, 0)</f>
        <v>9.3380488854539401</v>
      </c>
      <c r="K87" s="63">
        <f>$F87*VLOOKUP($C87,'Conversions and Lookups'!$C$47:$G$52, 4, 0)</f>
        <v>4.2282612185469528E-3</v>
      </c>
      <c r="L87" s="64">
        <f>$F87*VLOOKUP($C87,'Conversions and Lookups'!$C$47:$G$52, 5, 0)</f>
        <v>6.0786033792854018E-3</v>
      </c>
      <c r="M87" s="62">
        <f t="shared" si="51"/>
        <v>9.3483557500517716</v>
      </c>
      <c r="N87" s="62">
        <f t="shared" si="52"/>
        <v>46.74177875025886</v>
      </c>
      <c r="O87" s="65">
        <f t="shared" si="53"/>
        <v>112.18026900062125</v>
      </c>
      <c r="P87" s="31"/>
      <c r="Q87" s="75">
        <f>VLOOKUP($C87,'Conversions and Lookups'!$B$30:$E$36, 4, 0)</f>
        <v>0.43888523151195957</v>
      </c>
      <c r="R87" s="30">
        <f t="shared" si="54"/>
        <v>8389.3372685127488</v>
      </c>
      <c r="S87">
        <v>0</v>
      </c>
      <c r="T87" s="76">
        <f>$R87*HLOOKUP(T$77,'Conversions and Lookups'!$B$76:$AE$78, 3, 0)</f>
        <v>2.2010680244418261</v>
      </c>
      <c r="U87" s="76">
        <f>$R87*HLOOKUP(U$77,'Conversions and Lookups'!$B$76:$AE$78, 3, 0)</f>
        <v>2.0154264872533023</v>
      </c>
      <c r="V87" s="76">
        <f>$R87*HLOOKUP(V$77,'Conversions and Lookups'!$B$76:$AE$78, 3, 0)</f>
        <v>1.9486957973885153</v>
      </c>
      <c r="W87" s="76">
        <f>$R87*HLOOKUP(W$77,'Conversions and Lookups'!$B$76:$AE$78, 3, 0)</f>
        <v>1.6547570398111056</v>
      </c>
      <c r="X87" s="76">
        <f>$R87*HLOOKUP(X$77,'Conversions and Lookups'!$B$76:$AE$78, 3, 0)</f>
        <v>1.5496112595549141</v>
      </c>
      <c r="Y87" s="76">
        <f>$R87*HLOOKUP(Y$77,'Conversions and Lookups'!$B$76:$AE$78, 3, 0)</f>
        <v>1.4525704024683548</v>
      </c>
      <c r="Z87" s="76">
        <f>$R87*HLOOKUP(Z$77,'Conversions and Lookups'!$B$76:$AE$78, 3, 0)</f>
        <v>1.4505307695850485</v>
      </c>
      <c r="AA87" s="76">
        <f>$R87*HLOOKUP(AA$77,'Conversions and Lookups'!$B$76:$AE$78, 3, 0)</f>
        <v>1.4297601994713269</v>
      </c>
      <c r="AB87" s="76">
        <f>$R87*HLOOKUP(AB$77,'Conversions and Lookups'!$B$76:$AE$78, 3, 0)</f>
        <v>1.238266654396607</v>
      </c>
      <c r="AC87" s="76">
        <f>$R87*HLOOKUP(AC$77,'Conversions and Lookups'!$B$76:$AE$78, 3, 0)</f>
        <v>1.1554771747332573</v>
      </c>
      <c r="AD87" s="76">
        <f>$R87*HLOOKUP(AD$77,'Conversions and Lookups'!$B$76:$AE$78, 3, 0)</f>
        <v>1.1422266771523859</v>
      </c>
      <c r="AE87" s="76">
        <f>$R87*HLOOKUP(AE$77,'Conversions and Lookups'!$B$76:$AE$78, 3, 0)</f>
        <v>1.1404042489584385</v>
      </c>
      <c r="AF87" s="76">
        <v>0</v>
      </c>
      <c r="AG87" s="76">
        <v>0</v>
      </c>
      <c r="AH87" s="76">
        <v>0</v>
      </c>
      <c r="AI87" s="76">
        <v>0</v>
      </c>
      <c r="AJ87" s="76">
        <v>0</v>
      </c>
      <c r="AK87" s="76">
        <v>0</v>
      </c>
      <c r="AL87" s="76">
        <v>0</v>
      </c>
      <c r="AM87" s="76">
        <v>0</v>
      </c>
      <c r="AN87" s="76">
        <v>0</v>
      </c>
      <c r="AO87" s="76">
        <v>0</v>
      </c>
      <c r="AP87" s="76">
        <v>0</v>
      </c>
      <c r="AQ87" s="76">
        <v>0</v>
      </c>
      <c r="AR87" s="77">
        <v>0</v>
      </c>
      <c r="AT87" s="82">
        <f>SUMIFS('Conversions and Lookups'!$F$58:$F$72,'Conversions and Lookups'!$G$58:$G$72,'Measure 2'!AT$77,'Conversions and Lookups'!$C$58:$C$72,'Measure 2'!$C87)*'Measure 2'!$F87</f>
        <v>57937.88315287439</v>
      </c>
      <c r="AU87" s="30">
        <f>SUMIFS('Conversions and Lookups'!$F$58:$F$72,'Conversions and Lookups'!$G$58:$G$72,'Measure 2'!AU$77,'Conversions and Lookups'!$C$58:$C$72,'Measure 2'!$C87)*'Measure 2'!$F87</f>
        <v>2351.1579108556748</v>
      </c>
      <c r="AV87" s="83">
        <f>SUMIFS('Conversions and Lookups'!$F$58:$F$72,'Conversions and Lookups'!$G$58:$G$72,'Measure 2'!AV$77,'Conversions and Lookups'!$C$58:$C$72,'Measure 2'!$C87)*'Measure 2'!$F87</f>
        <v>38.230209932612595</v>
      </c>
    </row>
    <row r="88" spans="2:52" x14ac:dyDescent="0.35">
      <c r="B88" s="57" t="s">
        <v>64</v>
      </c>
      <c r="C88" s="58" t="s">
        <v>214</v>
      </c>
      <c r="D88" s="58">
        <v>1</v>
      </c>
      <c r="E88" s="59">
        <v>5745.0145382258061</v>
      </c>
      <c r="F88" s="59">
        <f t="shared" si="49"/>
        <v>5745.0145382258061</v>
      </c>
      <c r="G88" s="58" t="s">
        <v>279</v>
      </c>
      <c r="H88" s="60">
        <f>VLOOKUP($C88,'Conversions and Lookups'!$B$30:$E$36, 3, 0)</f>
        <v>15.064935064935064</v>
      </c>
      <c r="I88" s="61">
        <f t="shared" si="50"/>
        <v>381.35010296843717</v>
      </c>
      <c r="J88" s="62">
        <f>I88*VLOOKUP($G88,'Conversions and Lookups'!$B$41:$D$43,3, 0)</f>
        <v>3.8935845513077436</v>
      </c>
      <c r="K88" s="63">
        <f>$F88*VLOOKUP($C88,'Conversions and Lookups'!$C$47:$G$52, 4, 0)</f>
        <v>4.6649518050393543E-3</v>
      </c>
      <c r="L88" s="64">
        <f>$F88*VLOOKUP($C88,'Conversions and Lookups'!$C$47:$G$52, 5, 0)</f>
        <v>3.2579977446278545E-2</v>
      </c>
      <c r="M88" s="62">
        <f t="shared" si="51"/>
        <v>3.9308294805590616</v>
      </c>
      <c r="N88" s="62">
        <f t="shared" si="52"/>
        <v>19.654147402795306</v>
      </c>
      <c r="O88" s="65">
        <f t="shared" si="53"/>
        <v>47.169953766708737</v>
      </c>
      <c r="P88" s="31"/>
      <c r="Q88" s="75">
        <f>VLOOKUP($C88,'Conversions and Lookups'!$B$30:$E$36, 4, 0)</f>
        <v>0.64775229952066338</v>
      </c>
      <c r="R88" s="30">
        <f t="shared" si="54"/>
        <v>3721.3463779154081</v>
      </c>
      <c r="S88">
        <v>0</v>
      </c>
      <c r="T88" s="76">
        <f>$R88*HLOOKUP(T$77,'Conversions and Lookups'!$B$76:$AE$78, 3, 0)</f>
        <v>0.97635084371260372</v>
      </c>
      <c r="U88" s="76">
        <f>$R88*HLOOKUP(U$77,'Conversions and Lookups'!$B$76:$AE$78, 3, 0)</f>
        <v>0.89400387876222065</v>
      </c>
      <c r="V88" s="76">
        <f>$R88*HLOOKUP(V$77,'Conversions and Lookups'!$B$76:$AE$78, 3, 0)</f>
        <v>0.86440344632327726</v>
      </c>
      <c r="W88" s="76">
        <f>$R88*HLOOKUP(W$77,'Conversions and Lookups'!$B$76:$AE$78, 3, 0)</f>
        <v>0.73401794675048859</v>
      </c>
      <c r="X88" s="76">
        <f>$R88*HLOOKUP(X$77,'Conversions and Lookups'!$B$76:$AE$78, 3, 0)</f>
        <v>0.68737732950196617</v>
      </c>
      <c r="Y88" s="76">
        <f>$R88*HLOOKUP(Y$77,'Conversions and Lookups'!$B$76:$AE$78, 3, 0)</f>
        <v>0.64433189808460545</v>
      </c>
      <c r="Z88" s="76">
        <f>$R88*HLOOKUP(Z$77,'Conversions and Lookups'!$B$76:$AE$78, 3, 0)</f>
        <v>0.64342715672070094</v>
      </c>
      <c r="AA88" s="76">
        <f>$R88*HLOOKUP(AA$77,'Conversions and Lookups'!$B$76:$AE$78, 3, 0)</f>
        <v>0.63421373694914873</v>
      </c>
      <c r="AB88" s="76">
        <f>$R88*HLOOKUP(AB$77,'Conversions and Lookups'!$B$76:$AE$78, 3, 0)</f>
        <v>0.54927093544412331</v>
      </c>
      <c r="AC88" s="76">
        <f>$R88*HLOOKUP(AC$77,'Conversions and Lookups'!$B$76:$AE$78, 3, 0)</f>
        <v>0.5125471370779473</v>
      </c>
      <c r="AD88" s="76">
        <f>$R88*HLOOKUP(AD$77,'Conversions and Lookups'!$B$76:$AE$78, 3, 0)</f>
        <v>0.50666947480261793</v>
      </c>
      <c r="AE88" s="76">
        <f>$R88*HLOOKUP(AE$77,'Conversions and Lookups'!$B$76:$AE$78, 3, 0)</f>
        <v>0.50586108120232587</v>
      </c>
      <c r="AF88" s="76">
        <v>0</v>
      </c>
      <c r="AG88" s="76">
        <v>0</v>
      </c>
      <c r="AH88" s="76">
        <v>0</v>
      </c>
      <c r="AI88" s="76">
        <v>0</v>
      </c>
      <c r="AJ88" s="76">
        <v>0</v>
      </c>
      <c r="AK88" s="76">
        <v>0</v>
      </c>
      <c r="AL88" s="76">
        <v>0</v>
      </c>
      <c r="AM88" s="76">
        <v>0</v>
      </c>
      <c r="AN88" s="76">
        <v>0</v>
      </c>
      <c r="AO88" s="76">
        <v>0</v>
      </c>
      <c r="AP88" s="76">
        <v>0</v>
      </c>
      <c r="AQ88" s="76">
        <v>0</v>
      </c>
      <c r="AR88" s="77">
        <v>0</v>
      </c>
      <c r="AT88" s="82">
        <f>SUMIFS('Conversions and Lookups'!$F$58:$F$72,'Conversions and Lookups'!$G$58:$G$72,'Measure 2'!AT$77,'Conversions and Lookups'!$C$58:$C$72,'Measure 2'!$C88)*'Measure 2'!$F88</f>
        <v>9243.7283920053214</v>
      </c>
      <c r="AU88" s="30">
        <f>SUMIFS('Conversions and Lookups'!$F$58:$F$72,'Conversions and Lookups'!$G$58:$G$72,'Measure 2'!AU$77,'Conversions and Lookups'!$C$58:$C$72,'Measure 2'!$C88)*'Measure 2'!$F88</f>
        <v>6635.4917916508066</v>
      </c>
      <c r="AV88" s="83">
        <f>SUMIFS('Conversions and Lookups'!$F$58:$F$72,'Conversions and Lookups'!$G$58:$G$72,'Measure 2'!AV$77,'Conversions and Lookups'!$C$58:$C$72,'Measure 2'!$C88)*'Measure 2'!$F88</f>
        <v>298.74075598774192</v>
      </c>
    </row>
    <row r="89" spans="2:52" x14ac:dyDescent="0.35">
      <c r="B89" s="57" t="s">
        <v>64</v>
      </c>
      <c r="C89" s="58" t="s">
        <v>212</v>
      </c>
      <c r="D89" s="58">
        <v>6</v>
      </c>
      <c r="E89" s="59">
        <v>8646.184172570689</v>
      </c>
      <c r="F89" s="59">
        <f t="shared" si="49"/>
        <v>51877.105035424131</v>
      </c>
      <c r="G89" s="58" t="s">
        <v>278</v>
      </c>
      <c r="H89" s="60">
        <f>VLOOKUP($C89,'Conversions and Lookups'!$B$30:$E$36, 3, 0)</f>
        <v>27.5</v>
      </c>
      <c r="I89" s="61">
        <f t="shared" si="50"/>
        <v>1886.4401831063319</v>
      </c>
      <c r="J89" s="62">
        <f>I89*VLOOKUP($G89,'Conversions and Lookups'!$B$41:$D$43,3, 0)</f>
        <v>16.562944807673592</v>
      </c>
      <c r="K89" s="63">
        <f>$F89*VLOOKUP($C89,'Conversions and Lookups'!$C$47:$G$52, 4, 0)</f>
        <v>7.408050599058566E-3</v>
      </c>
      <c r="L89" s="64">
        <f>$F89*VLOOKUP($C89,'Conversions and Lookups'!$C$47:$G$52, 5, 0)</f>
        <v>1.9246405968142352E-2</v>
      </c>
      <c r="M89" s="62">
        <f t="shared" si="51"/>
        <v>16.589599264240793</v>
      </c>
      <c r="N89" s="62">
        <f t="shared" si="52"/>
        <v>82.947996321203959</v>
      </c>
      <c r="O89" s="65">
        <f t="shared" si="53"/>
        <v>199.07519117088952</v>
      </c>
      <c r="P89" s="31"/>
      <c r="Q89" s="75">
        <f>VLOOKUP($C89,'Conversions and Lookups'!$B$30:$E$36, 4, 0)</f>
        <v>0.33428046130703665</v>
      </c>
      <c r="R89" s="30">
        <f t="shared" si="54"/>
        <v>17341.502602515171</v>
      </c>
      <c r="S89">
        <v>0</v>
      </c>
      <c r="T89" s="76">
        <f>$R89*HLOOKUP(T$77,'Conversions and Lookups'!$B$76:$AE$78, 3, 0)</f>
        <v>4.5498024042294292</v>
      </c>
      <c r="U89" s="76">
        <f>$R89*HLOOKUP(U$77,'Conversions and Lookups'!$B$76:$AE$78, 3, 0)</f>
        <v>4.1660649173158273</v>
      </c>
      <c r="V89" s="76">
        <f>$R89*HLOOKUP(V$77,'Conversions and Lookups'!$B$76:$AE$78, 3, 0)</f>
        <v>4.0281266756026071</v>
      </c>
      <c r="W89" s="76">
        <f>$R89*HLOOKUP(W$77,'Conversions and Lookups'!$B$76:$AE$78, 3, 0)</f>
        <v>3.4205292496843165</v>
      </c>
      <c r="X89" s="76">
        <f>$R89*HLOOKUP(X$77,'Conversions and Lookups'!$B$76:$AE$78, 3, 0)</f>
        <v>3.2031836163409237</v>
      </c>
      <c r="Y89" s="76">
        <f>$R89*HLOOKUP(Y$77,'Conversions and Lookups'!$B$76:$AE$78, 3, 0)</f>
        <v>3.0025915764866005</v>
      </c>
      <c r="Z89" s="76">
        <f>$R89*HLOOKUP(Z$77,'Conversions and Lookups'!$B$76:$AE$78, 3, 0)</f>
        <v>2.9983754748063416</v>
      </c>
      <c r="AA89" s="76">
        <f>$R89*HLOOKUP(AA$77,'Conversions and Lookups'!$B$76:$AE$78, 3, 0)</f>
        <v>2.9554408681557405</v>
      </c>
      <c r="AB89" s="76">
        <f>$R89*HLOOKUP(AB$77,'Conversions and Lookups'!$B$76:$AE$78, 3, 0)</f>
        <v>2.5596067630301973</v>
      </c>
      <c r="AC89" s="76">
        <f>$R89*HLOOKUP(AC$77,'Conversions and Lookups'!$B$76:$AE$78, 3, 0)</f>
        <v>2.3884735815771916</v>
      </c>
      <c r="AD89" s="76">
        <f>$R89*HLOOKUP(AD$77,'Conversions and Lookups'!$B$76:$AE$78, 3, 0)</f>
        <v>2.3610836303893028</v>
      </c>
      <c r="AE89" s="76">
        <f>$R89*HLOOKUP(AE$77,'Conversions and Lookups'!$B$76:$AE$78, 3, 0)</f>
        <v>2.3573165100248787</v>
      </c>
      <c r="AF89" s="76">
        <v>0</v>
      </c>
      <c r="AG89" s="76">
        <v>0</v>
      </c>
      <c r="AH89" s="76">
        <v>0</v>
      </c>
      <c r="AI89" s="76">
        <v>0</v>
      </c>
      <c r="AJ89" s="76">
        <v>0</v>
      </c>
      <c r="AK89" s="76">
        <v>0</v>
      </c>
      <c r="AL89" s="76">
        <v>0</v>
      </c>
      <c r="AM89" s="76">
        <v>0</v>
      </c>
      <c r="AN89" s="76">
        <v>0</v>
      </c>
      <c r="AO89" s="76">
        <v>0</v>
      </c>
      <c r="AP89" s="76">
        <v>0</v>
      </c>
      <c r="AQ89" s="76">
        <v>0</v>
      </c>
      <c r="AR89" s="77">
        <v>0</v>
      </c>
      <c r="AT89" s="82">
        <f>SUMIFS('Conversions and Lookups'!$F$58:$F$72,'Conversions and Lookups'!$G$58:$G$72,'Measure 2'!AT$77,'Conversions and Lookups'!$C$58:$C$72,'Measure 2'!$C89)*'Measure 2'!$F89</f>
        <v>175811.50896505237</v>
      </c>
      <c r="AU89" s="30">
        <f>SUMIFS('Conversions and Lookups'!$F$58:$F$72,'Conversions and Lookups'!$G$58:$G$72,'Measure 2'!AU$77,'Conversions and Lookups'!$C$58:$C$72,'Measure 2'!$C89)*'Measure 2'!$F89</f>
        <v>4513.3081380818994</v>
      </c>
      <c r="AV89" s="83">
        <f>SUMIFS('Conversions and Lookups'!$F$58:$F$72,'Conversions and Lookups'!$G$58:$G$72,'Measure 2'!AV$77,'Conversions and Lookups'!$C$58:$C$72,'Measure 2'!$C89)*'Measure 2'!$F89</f>
        <v>103.75421007084826</v>
      </c>
    </row>
    <row r="90" spans="2:52" x14ac:dyDescent="0.35">
      <c r="B90" s="57" t="s">
        <v>64</v>
      </c>
      <c r="C90" s="58" t="s">
        <v>212</v>
      </c>
      <c r="D90" s="58">
        <v>6</v>
      </c>
      <c r="E90" s="59">
        <v>8646.184172570689</v>
      </c>
      <c r="F90" s="59">
        <f t="shared" si="49"/>
        <v>51877.105035424131</v>
      </c>
      <c r="G90" s="58" t="s">
        <v>278</v>
      </c>
      <c r="H90" s="60">
        <f>VLOOKUP($C90,'Conversions and Lookups'!$B$30:$E$36, 3, 0)</f>
        <v>27.5</v>
      </c>
      <c r="I90" s="61">
        <f t="shared" si="50"/>
        <v>1886.4401831063319</v>
      </c>
      <c r="J90" s="62">
        <f>I90*VLOOKUP($G90,'Conversions and Lookups'!$B$41:$D$43,3, 0)</f>
        <v>16.562944807673592</v>
      </c>
      <c r="K90" s="63">
        <f>$F90*VLOOKUP($C90,'Conversions and Lookups'!$C$47:$G$52, 4, 0)</f>
        <v>7.408050599058566E-3</v>
      </c>
      <c r="L90" s="64">
        <f>$F90*VLOOKUP($C90,'Conversions and Lookups'!$C$47:$G$52, 5, 0)</f>
        <v>1.9246405968142352E-2</v>
      </c>
      <c r="M90" s="62">
        <f t="shared" si="51"/>
        <v>16.589599264240793</v>
      </c>
      <c r="N90" s="62">
        <f t="shared" si="52"/>
        <v>82.947996321203959</v>
      </c>
      <c r="O90" s="65">
        <f t="shared" si="53"/>
        <v>199.07519117088952</v>
      </c>
      <c r="P90" s="31"/>
      <c r="Q90" s="75">
        <f>VLOOKUP($C90,'Conversions and Lookups'!$B$30:$E$36, 4, 0)</f>
        <v>0.33428046130703665</v>
      </c>
      <c r="R90" s="30">
        <f t="shared" si="54"/>
        <v>17341.502602515171</v>
      </c>
      <c r="S90">
        <v>0</v>
      </c>
      <c r="T90" s="76">
        <f>$R90*HLOOKUP(T$77,'Conversions and Lookups'!$B$76:$AE$78, 3, 0)</f>
        <v>4.5498024042294292</v>
      </c>
      <c r="U90" s="76">
        <f>$R90*HLOOKUP(U$77,'Conversions and Lookups'!$B$76:$AE$78, 3, 0)</f>
        <v>4.1660649173158273</v>
      </c>
      <c r="V90" s="76">
        <f>$R90*HLOOKUP(V$77,'Conversions and Lookups'!$B$76:$AE$78, 3, 0)</f>
        <v>4.0281266756026071</v>
      </c>
      <c r="W90" s="76">
        <f>$R90*HLOOKUP(W$77,'Conversions and Lookups'!$B$76:$AE$78, 3, 0)</f>
        <v>3.4205292496843165</v>
      </c>
      <c r="X90" s="76">
        <f>$R90*HLOOKUP(X$77,'Conversions and Lookups'!$B$76:$AE$78, 3, 0)</f>
        <v>3.2031836163409237</v>
      </c>
      <c r="Y90" s="76">
        <f>$R90*HLOOKUP(Y$77,'Conversions and Lookups'!$B$76:$AE$78, 3, 0)</f>
        <v>3.0025915764866005</v>
      </c>
      <c r="Z90" s="76">
        <f>$R90*HLOOKUP(Z$77,'Conversions and Lookups'!$B$76:$AE$78, 3, 0)</f>
        <v>2.9983754748063416</v>
      </c>
      <c r="AA90" s="76">
        <f>$R90*HLOOKUP(AA$77,'Conversions and Lookups'!$B$76:$AE$78, 3, 0)</f>
        <v>2.9554408681557405</v>
      </c>
      <c r="AB90" s="76">
        <f>$R90*HLOOKUP(AB$77,'Conversions and Lookups'!$B$76:$AE$78, 3, 0)</f>
        <v>2.5596067630301973</v>
      </c>
      <c r="AC90" s="76">
        <f>$R90*HLOOKUP(AC$77,'Conversions and Lookups'!$B$76:$AE$78, 3, 0)</f>
        <v>2.3884735815771916</v>
      </c>
      <c r="AD90" s="76">
        <f>$R90*HLOOKUP(AD$77,'Conversions and Lookups'!$B$76:$AE$78, 3, 0)</f>
        <v>2.3610836303893028</v>
      </c>
      <c r="AE90" s="76">
        <f>$R90*HLOOKUP(AE$77,'Conversions and Lookups'!$B$76:$AE$78, 3, 0)</f>
        <v>2.3573165100248787</v>
      </c>
      <c r="AF90" s="76">
        <v>0</v>
      </c>
      <c r="AG90" s="76">
        <v>0</v>
      </c>
      <c r="AH90" s="76">
        <v>0</v>
      </c>
      <c r="AI90" s="76">
        <v>0</v>
      </c>
      <c r="AJ90" s="76">
        <v>0</v>
      </c>
      <c r="AK90" s="76">
        <v>0</v>
      </c>
      <c r="AL90" s="76">
        <v>0</v>
      </c>
      <c r="AM90" s="76">
        <v>0</v>
      </c>
      <c r="AN90" s="76">
        <v>0</v>
      </c>
      <c r="AO90" s="76">
        <v>0</v>
      </c>
      <c r="AP90" s="76">
        <v>0</v>
      </c>
      <c r="AQ90" s="76">
        <v>0</v>
      </c>
      <c r="AR90" s="77">
        <v>0</v>
      </c>
      <c r="AT90" s="82">
        <f>SUMIFS('Conversions and Lookups'!$F$58:$F$72,'Conversions and Lookups'!$G$58:$G$72,'Measure 2'!AT$77,'Conversions and Lookups'!$C$58:$C$72,'Measure 2'!$C90)*'Measure 2'!$F90</f>
        <v>175811.50896505237</v>
      </c>
      <c r="AU90" s="30">
        <f>SUMIFS('Conversions and Lookups'!$F$58:$F$72,'Conversions and Lookups'!$G$58:$G$72,'Measure 2'!AU$77,'Conversions and Lookups'!$C$58:$C$72,'Measure 2'!$C90)*'Measure 2'!$F90</f>
        <v>4513.3081380818994</v>
      </c>
      <c r="AV90" s="83">
        <f>SUMIFS('Conversions and Lookups'!$F$58:$F$72,'Conversions and Lookups'!$G$58:$G$72,'Measure 2'!AV$77,'Conversions and Lookups'!$C$58:$C$72,'Measure 2'!$C90)*'Measure 2'!$F90</f>
        <v>103.75421007084826</v>
      </c>
      <c r="AZ90" s="32"/>
    </row>
    <row r="91" spans="2:52" x14ac:dyDescent="0.35">
      <c r="B91" s="57" t="s">
        <v>64</v>
      </c>
      <c r="C91" s="58" t="s">
        <v>212</v>
      </c>
      <c r="D91" s="58">
        <v>2</v>
      </c>
      <c r="E91" s="59">
        <v>8646.184172570689</v>
      </c>
      <c r="F91" s="59">
        <f t="shared" si="49"/>
        <v>17292.368345141378</v>
      </c>
      <c r="G91" s="58" t="s">
        <v>278</v>
      </c>
      <c r="H91" s="60">
        <f>VLOOKUP($C91,'Conversions and Lookups'!$B$30:$E$36, 3, 0)</f>
        <v>27.5</v>
      </c>
      <c r="I91" s="61">
        <f t="shared" si="50"/>
        <v>628.81339436877738</v>
      </c>
      <c r="J91" s="62">
        <f>I91*VLOOKUP($G91,'Conversions and Lookups'!$B$41:$D$43,3, 0)</f>
        <v>5.5209816025578649</v>
      </c>
      <c r="K91" s="63">
        <f>$F91*VLOOKUP($C91,'Conversions and Lookups'!$C$47:$G$52, 4, 0)</f>
        <v>2.469350199686189E-3</v>
      </c>
      <c r="L91" s="64">
        <f>$F91*VLOOKUP($C91,'Conversions and Lookups'!$C$47:$G$52, 5, 0)</f>
        <v>6.4154686560474504E-3</v>
      </c>
      <c r="M91" s="62">
        <f t="shared" si="51"/>
        <v>5.5298664214135984</v>
      </c>
      <c r="N91" s="62">
        <f t="shared" si="52"/>
        <v>27.649332107067991</v>
      </c>
      <c r="O91" s="65">
        <f t="shared" si="53"/>
        <v>66.358397056963184</v>
      </c>
      <c r="P91" s="31"/>
      <c r="Q91" s="75">
        <f>VLOOKUP($C91,'Conversions and Lookups'!$B$30:$E$36, 4, 0)</f>
        <v>0.33428046130703665</v>
      </c>
      <c r="R91" s="30">
        <f t="shared" si="54"/>
        <v>5780.5008675050576</v>
      </c>
      <c r="S91">
        <v>0</v>
      </c>
      <c r="T91" s="76">
        <f>$R91*HLOOKUP(T$77,'Conversions and Lookups'!$B$76:$AE$78, 3, 0)</f>
        <v>1.5166008014098098</v>
      </c>
      <c r="U91" s="76">
        <f>$R91*HLOOKUP(U$77,'Conversions and Lookups'!$B$76:$AE$78, 3, 0)</f>
        <v>1.3886883057719426</v>
      </c>
      <c r="V91" s="76">
        <f>$R91*HLOOKUP(V$77,'Conversions and Lookups'!$B$76:$AE$78, 3, 0)</f>
        <v>1.3427088918675358</v>
      </c>
      <c r="W91" s="76">
        <f>$R91*HLOOKUP(W$77,'Conversions and Lookups'!$B$76:$AE$78, 3, 0)</f>
        <v>1.140176416561439</v>
      </c>
      <c r="X91" s="76">
        <f>$R91*HLOOKUP(X$77,'Conversions and Lookups'!$B$76:$AE$78, 3, 0)</f>
        <v>1.0677278721136414</v>
      </c>
      <c r="Y91" s="76">
        <f>$R91*HLOOKUP(Y$77,'Conversions and Lookups'!$B$76:$AE$78, 3, 0)</f>
        <v>1.000863858828867</v>
      </c>
      <c r="Z91" s="76">
        <f>$R91*HLOOKUP(Z$77,'Conversions and Lookups'!$B$76:$AE$78, 3, 0)</f>
        <v>0.99945849160211397</v>
      </c>
      <c r="AA91" s="76">
        <f>$R91*HLOOKUP(AA$77,'Conversions and Lookups'!$B$76:$AE$78, 3, 0)</f>
        <v>0.9851469560519136</v>
      </c>
      <c r="AB91" s="76">
        <f>$R91*HLOOKUP(AB$77,'Conversions and Lookups'!$B$76:$AE$78, 3, 0)</f>
        <v>0.85320225434339925</v>
      </c>
      <c r="AC91" s="76">
        <f>$R91*HLOOKUP(AC$77,'Conversions and Lookups'!$B$76:$AE$78, 3, 0)</f>
        <v>0.79615786052573057</v>
      </c>
      <c r="AD91" s="76">
        <f>$R91*HLOOKUP(AD$77,'Conversions and Lookups'!$B$76:$AE$78, 3, 0)</f>
        <v>0.78702787679643438</v>
      </c>
      <c r="AE91" s="76">
        <f>$R91*HLOOKUP(AE$77,'Conversions and Lookups'!$B$76:$AE$78, 3, 0)</f>
        <v>0.78577217000829291</v>
      </c>
      <c r="AF91" s="76">
        <v>0</v>
      </c>
      <c r="AG91" s="76">
        <v>0</v>
      </c>
      <c r="AH91" s="76">
        <v>0</v>
      </c>
      <c r="AI91" s="76">
        <v>0</v>
      </c>
      <c r="AJ91" s="76">
        <v>0</v>
      </c>
      <c r="AK91" s="76">
        <v>0</v>
      </c>
      <c r="AL91" s="76">
        <v>0</v>
      </c>
      <c r="AM91" s="76">
        <v>0</v>
      </c>
      <c r="AN91" s="76">
        <v>0</v>
      </c>
      <c r="AO91" s="76">
        <v>0</v>
      </c>
      <c r="AP91" s="76">
        <v>0</v>
      </c>
      <c r="AQ91" s="76">
        <v>0</v>
      </c>
      <c r="AR91" s="77">
        <v>0</v>
      </c>
      <c r="AT91" s="82">
        <f>SUMIFS('Conversions and Lookups'!$F$58:$F$72,'Conversions and Lookups'!$G$58:$G$72,'Measure 2'!AT$77,'Conversions and Lookups'!$C$58:$C$72,'Measure 2'!$C91)*'Measure 2'!$F91</f>
        <v>58603.836321684124</v>
      </c>
      <c r="AU91" s="30">
        <f>SUMIFS('Conversions and Lookups'!$F$58:$F$72,'Conversions and Lookups'!$G$58:$G$72,'Measure 2'!AU$77,'Conversions and Lookups'!$C$58:$C$72,'Measure 2'!$C91)*'Measure 2'!$F91</f>
        <v>1504.4360460272999</v>
      </c>
      <c r="AV91" s="83">
        <f>SUMIFS('Conversions and Lookups'!$F$58:$F$72,'Conversions and Lookups'!$G$58:$G$72,'Measure 2'!AV$77,'Conversions and Lookups'!$C$58:$C$72,'Measure 2'!$C91)*'Measure 2'!$F91</f>
        <v>34.58473669028276</v>
      </c>
    </row>
    <row r="92" spans="2:52" x14ac:dyDescent="0.35">
      <c r="B92" s="57" t="s">
        <v>64</v>
      </c>
      <c r="C92" s="58" t="s">
        <v>212</v>
      </c>
      <c r="D92" s="58">
        <v>1</v>
      </c>
      <c r="E92" s="59">
        <v>8646.184172570689</v>
      </c>
      <c r="F92" s="59">
        <f t="shared" si="49"/>
        <v>8646.184172570689</v>
      </c>
      <c r="G92" s="58" t="s">
        <v>278</v>
      </c>
      <c r="H92" s="60">
        <f>VLOOKUP($C92,'Conversions and Lookups'!$B$30:$E$36, 3, 0)</f>
        <v>27.5</v>
      </c>
      <c r="I92" s="61">
        <f t="shared" si="50"/>
        <v>314.40669718438869</v>
      </c>
      <c r="J92" s="62">
        <f>I92*VLOOKUP($G92,'Conversions and Lookups'!$B$41:$D$43,3, 0)</f>
        <v>2.7604908012789324</v>
      </c>
      <c r="K92" s="63">
        <f>$F92*VLOOKUP($C92,'Conversions and Lookups'!$C$47:$G$52, 4, 0)</f>
        <v>1.2346750998430945E-3</v>
      </c>
      <c r="L92" s="64">
        <f>$F92*VLOOKUP($C92,'Conversions and Lookups'!$C$47:$G$52, 5, 0)</f>
        <v>3.2077343280237252E-3</v>
      </c>
      <c r="M92" s="62">
        <f t="shared" si="51"/>
        <v>2.7649332107067992</v>
      </c>
      <c r="N92" s="62">
        <f t="shared" si="52"/>
        <v>13.824666053533996</v>
      </c>
      <c r="O92" s="65">
        <f t="shared" si="53"/>
        <v>33.179198528481592</v>
      </c>
      <c r="P92" s="31"/>
      <c r="Q92" s="75">
        <f>VLOOKUP($C92,'Conversions and Lookups'!$B$30:$E$36, 4, 0)</f>
        <v>0.33428046130703665</v>
      </c>
      <c r="R92" s="30">
        <f t="shared" si="54"/>
        <v>2890.2504337525288</v>
      </c>
      <c r="S92">
        <v>0</v>
      </c>
      <c r="T92" s="76">
        <f>$R92*HLOOKUP(T$77,'Conversions and Lookups'!$B$76:$AE$78, 3, 0)</f>
        <v>0.7583004007049049</v>
      </c>
      <c r="U92" s="76">
        <f>$R92*HLOOKUP(U$77,'Conversions and Lookups'!$B$76:$AE$78, 3, 0)</f>
        <v>0.69434415288597129</v>
      </c>
      <c r="V92" s="76">
        <f>$R92*HLOOKUP(V$77,'Conversions and Lookups'!$B$76:$AE$78, 3, 0)</f>
        <v>0.67135444593376792</v>
      </c>
      <c r="W92" s="76">
        <f>$R92*HLOOKUP(W$77,'Conversions and Lookups'!$B$76:$AE$78, 3, 0)</f>
        <v>0.57008820828071949</v>
      </c>
      <c r="X92" s="76">
        <f>$R92*HLOOKUP(X$77,'Conversions and Lookups'!$B$76:$AE$78, 3, 0)</f>
        <v>0.5338639360568207</v>
      </c>
      <c r="Y92" s="76">
        <f>$R92*HLOOKUP(Y$77,'Conversions and Lookups'!$B$76:$AE$78, 3, 0)</f>
        <v>0.50043192941443349</v>
      </c>
      <c r="Z92" s="76">
        <f>$R92*HLOOKUP(Z$77,'Conversions and Lookups'!$B$76:$AE$78, 3, 0)</f>
        <v>0.49972924580105699</v>
      </c>
      <c r="AA92" s="76">
        <f>$R92*HLOOKUP(AA$77,'Conversions and Lookups'!$B$76:$AE$78, 3, 0)</f>
        <v>0.4925734780259568</v>
      </c>
      <c r="AB92" s="76">
        <f>$R92*HLOOKUP(AB$77,'Conversions and Lookups'!$B$76:$AE$78, 3, 0)</f>
        <v>0.42660112717169962</v>
      </c>
      <c r="AC92" s="76">
        <f>$R92*HLOOKUP(AC$77,'Conversions and Lookups'!$B$76:$AE$78, 3, 0)</f>
        <v>0.39807893026286528</v>
      </c>
      <c r="AD92" s="76">
        <f>$R92*HLOOKUP(AD$77,'Conversions and Lookups'!$B$76:$AE$78, 3, 0)</f>
        <v>0.39351393839821719</v>
      </c>
      <c r="AE92" s="76">
        <f>$R92*HLOOKUP(AE$77,'Conversions and Lookups'!$B$76:$AE$78, 3, 0)</f>
        <v>0.39288608500414646</v>
      </c>
      <c r="AF92" s="76">
        <v>0</v>
      </c>
      <c r="AG92" s="76">
        <v>0</v>
      </c>
      <c r="AH92" s="76">
        <v>0</v>
      </c>
      <c r="AI92" s="76">
        <v>0</v>
      </c>
      <c r="AJ92" s="76">
        <v>0</v>
      </c>
      <c r="AK92" s="76">
        <v>0</v>
      </c>
      <c r="AL92" s="76">
        <v>0</v>
      </c>
      <c r="AM92" s="76">
        <v>0</v>
      </c>
      <c r="AN92" s="76">
        <v>0</v>
      </c>
      <c r="AO92" s="76">
        <v>0</v>
      </c>
      <c r="AP92" s="76">
        <v>0</v>
      </c>
      <c r="AQ92" s="76">
        <v>0</v>
      </c>
      <c r="AR92" s="77">
        <v>0</v>
      </c>
      <c r="AT92" s="82">
        <f>SUMIFS('Conversions and Lookups'!$F$58:$F$72,'Conversions and Lookups'!$G$58:$G$72,'Measure 2'!AT$77,'Conversions and Lookups'!$C$58:$C$72,'Measure 2'!$C92)*'Measure 2'!$F92</f>
        <v>29301.918160842062</v>
      </c>
      <c r="AU92" s="30">
        <f>SUMIFS('Conversions and Lookups'!$F$58:$F$72,'Conversions and Lookups'!$G$58:$G$72,'Measure 2'!AU$77,'Conversions and Lookups'!$C$58:$C$72,'Measure 2'!$C92)*'Measure 2'!$F92</f>
        <v>752.21802301364994</v>
      </c>
      <c r="AV92" s="83">
        <f>SUMIFS('Conversions and Lookups'!$F$58:$F$72,'Conversions and Lookups'!$G$58:$G$72,'Measure 2'!AV$77,'Conversions and Lookups'!$C$58:$C$72,'Measure 2'!$C92)*'Measure 2'!$F92</f>
        <v>17.29236834514138</v>
      </c>
    </row>
    <row r="93" spans="2:52" x14ac:dyDescent="0.35">
      <c r="B93" s="57" t="s">
        <v>64</v>
      </c>
      <c r="C93" s="58" t="s">
        <v>219</v>
      </c>
      <c r="D93" s="58">
        <v>8</v>
      </c>
      <c r="E93" s="59">
        <v>11084.519142954545</v>
      </c>
      <c r="F93" s="59">
        <f t="shared" si="49"/>
        <v>88676.153143636358</v>
      </c>
      <c r="G93" s="58" t="s">
        <v>279</v>
      </c>
      <c r="H93" s="60">
        <f>VLOOKUP($C93,'Conversions and Lookups'!$B$30:$E$36, 3, 0)</f>
        <v>10.38961038961039</v>
      </c>
      <c r="I93" s="61">
        <f t="shared" si="50"/>
        <v>8535.0797400749998</v>
      </c>
      <c r="J93" s="62">
        <f>I93*VLOOKUP($G93,'Conversions and Lookups'!$B$41:$D$43,3, 0)</f>
        <v>87.143164146165745</v>
      </c>
      <c r="K93" s="63">
        <f>$F93*VLOOKUP($C93,'Conversions and Lookups'!$C$47:$G$52, 4, 0)</f>
        <v>7.2005036352632723E-2</v>
      </c>
      <c r="L93" s="64">
        <f>$F93*VLOOKUP($C93,'Conversions and Lookups'!$C$47:$G$52, 5, 0)</f>
        <v>0.5028824644775618</v>
      </c>
      <c r="M93" s="62">
        <f t="shared" si="51"/>
        <v>87.718051646995946</v>
      </c>
      <c r="N93" s="62">
        <f t="shared" si="52"/>
        <v>438.59025823497973</v>
      </c>
      <c r="O93" s="65">
        <f t="shared" si="53"/>
        <v>1052.6166197639513</v>
      </c>
      <c r="P93" s="31"/>
      <c r="Q93" s="75">
        <f>VLOOKUP($C93,'Conversions and Lookups'!$B$30:$E$36, 4, 0)</f>
        <v>0.94046835323991351</v>
      </c>
      <c r="R93" s="30">
        <f t="shared" si="54"/>
        <v>83397.115718646062</v>
      </c>
      <c r="S93">
        <v>0</v>
      </c>
      <c r="T93" s="76">
        <f>$R93*HLOOKUP(T$77,'Conversions and Lookups'!$B$76:$AE$78, 3, 0)</f>
        <v>21.880479811908721</v>
      </c>
      <c r="U93" s="76">
        <f>$R93*HLOOKUP(U$77,'Conversions and Lookups'!$B$76:$AE$78, 3, 0)</f>
        <v>20.03504574917217</v>
      </c>
      <c r="V93" s="76">
        <f>$R93*HLOOKUP(V$77,'Conversions and Lookups'!$B$76:$AE$78, 3, 0)</f>
        <v>19.371686190899776</v>
      </c>
      <c r="W93" s="76">
        <f>$R93*HLOOKUP(W$77,'Conversions and Lookups'!$B$76:$AE$78, 3, 0)</f>
        <v>16.449686062011878</v>
      </c>
      <c r="X93" s="76">
        <f>$R93*HLOOKUP(X$77,'Conversions and Lookups'!$B$76:$AE$78, 3, 0)</f>
        <v>15.404447979110552</v>
      </c>
      <c r="Y93" s="76">
        <f>$R93*HLOOKUP(Y$77,'Conversions and Lookups'!$B$76:$AE$78, 3, 0)</f>
        <v>14.439779694970978</v>
      </c>
      <c r="Z93" s="76">
        <f>$R93*HLOOKUP(Z$77,'Conversions and Lookups'!$B$76:$AE$78, 3, 0)</f>
        <v>14.41950401714943</v>
      </c>
      <c r="AA93" s="76">
        <f>$R93*HLOOKUP(AA$77,'Conversions and Lookups'!$B$76:$AE$78, 3, 0)</f>
        <v>14.213026963733343</v>
      </c>
      <c r="AB93" s="76">
        <f>$R93*HLOOKUP(AB$77,'Conversions and Lookups'!$B$76:$AE$78, 3, 0)</f>
        <v>12.309418987700532</v>
      </c>
      <c r="AC93" s="76">
        <f>$R93*HLOOKUP(AC$77,'Conversions and Lookups'!$B$76:$AE$78, 3, 0)</f>
        <v>11.486421461819102</v>
      </c>
      <c r="AD93" s="76">
        <f>$R93*HLOOKUP(AD$77,'Conversions and Lookups'!$B$76:$AE$78, 3, 0)</f>
        <v>11.354700296640882</v>
      </c>
      <c r="AE93" s="76">
        <f>$R93*HLOOKUP(AE$77,'Conversions and Lookups'!$B$76:$AE$78, 3, 0)</f>
        <v>11.336583817339234</v>
      </c>
      <c r="AF93" s="76">
        <v>0</v>
      </c>
      <c r="AG93" s="76">
        <v>0</v>
      </c>
      <c r="AH93" s="76">
        <v>0</v>
      </c>
      <c r="AI93" s="76">
        <v>0</v>
      </c>
      <c r="AJ93" s="76">
        <v>0</v>
      </c>
      <c r="AK93" s="76">
        <v>0</v>
      </c>
      <c r="AL93" s="76">
        <v>0</v>
      </c>
      <c r="AM93" s="76">
        <v>0</v>
      </c>
      <c r="AN93" s="76">
        <v>0</v>
      </c>
      <c r="AO93" s="76">
        <v>0</v>
      </c>
      <c r="AP93" s="76">
        <v>0</v>
      </c>
      <c r="AQ93" s="76">
        <v>0</v>
      </c>
      <c r="AR93" s="77">
        <v>0</v>
      </c>
      <c r="AT93" s="82">
        <f>SUMIFS('Conversions and Lookups'!$F$58:$F$72,'Conversions and Lookups'!$G$58:$G$72,'Measure 2'!AT$77,'Conversions and Lookups'!$C$58:$C$72,'Measure 2'!$C93)*'Measure 2'!$F93</f>
        <v>142679.9304081109</v>
      </c>
      <c r="AU93" s="30">
        <f>SUMIFS('Conversions and Lookups'!$F$58:$F$72,'Conversions and Lookups'!$G$58:$G$72,'Measure 2'!AU$77,'Conversions and Lookups'!$C$58:$C$72,'Measure 2'!$C93)*'Measure 2'!$F93</f>
        <v>102420.95688089999</v>
      </c>
      <c r="AV93" s="83">
        <f>SUMIFS('Conversions and Lookups'!$F$58:$F$72,'Conversions and Lookups'!$G$58:$G$72,'Measure 2'!AV$77,'Conversions and Lookups'!$C$58:$C$72,'Measure 2'!$C93)*'Measure 2'!$F93</f>
        <v>4611.1599634690901</v>
      </c>
    </row>
    <row r="94" spans="2:52" x14ac:dyDescent="0.35">
      <c r="B94" s="57" t="s">
        <v>64</v>
      </c>
      <c r="C94" s="58" t="s">
        <v>212</v>
      </c>
      <c r="D94" s="58">
        <v>6</v>
      </c>
      <c r="E94" s="59">
        <v>8646.184172570689</v>
      </c>
      <c r="F94" s="59">
        <f t="shared" si="49"/>
        <v>51877.105035424131</v>
      </c>
      <c r="G94" s="58" t="s">
        <v>278</v>
      </c>
      <c r="H94" s="60">
        <f>VLOOKUP($C94,'Conversions and Lookups'!$B$30:$E$36, 3, 0)</f>
        <v>27.5</v>
      </c>
      <c r="I94" s="61">
        <f t="shared" si="50"/>
        <v>1886.4401831063319</v>
      </c>
      <c r="J94" s="62">
        <f>I94*VLOOKUP($G94,'Conversions and Lookups'!$B$41:$D$43,3, 0)</f>
        <v>16.562944807673592</v>
      </c>
      <c r="K94" s="63">
        <f>$F94*VLOOKUP($C94,'Conversions and Lookups'!$C$47:$G$52, 4, 0)</f>
        <v>7.408050599058566E-3</v>
      </c>
      <c r="L94" s="64">
        <f>$F94*VLOOKUP($C94,'Conversions and Lookups'!$C$47:$G$52, 5, 0)</f>
        <v>1.9246405968142352E-2</v>
      </c>
      <c r="M94" s="62">
        <f t="shared" si="51"/>
        <v>16.589599264240793</v>
      </c>
      <c r="N94" s="62">
        <f t="shared" si="52"/>
        <v>82.947996321203959</v>
      </c>
      <c r="O94" s="65">
        <f t="shared" si="53"/>
        <v>199.07519117088952</v>
      </c>
      <c r="P94" s="31"/>
      <c r="Q94" s="75">
        <f>VLOOKUP($C94,'Conversions and Lookups'!$B$30:$E$36, 4, 0)</f>
        <v>0.33428046130703665</v>
      </c>
      <c r="R94" s="30">
        <f t="shared" si="54"/>
        <v>17341.502602515171</v>
      </c>
      <c r="S94">
        <v>0</v>
      </c>
      <c r="T94" s="76">
        <f>$R94*HLOOKUP(T$77,'Conversions and Lookups'!$B$76:$AE$78, 3, 0)</f>
        <v>4.5498024042294292</v>
      </c>
      <c r="U94" s="76">
        <f>$R94*HLOOKUP(U$77,'Conversions and Lookups'!$B$76:$AE$78, 3, 0)</f>
        <v>4.1660649173158273</v>
      </c>
      <c r="V94" s="76">
        <f>$R94*HLOOKUP(V$77,'Conversions and Lookups'!$B$76:$AE$78, 3, 0)</f>
        <v>4.0281266756026071</v>
      </c>
      <c r="W94" s="76">
        <f>$R94*HLOOKUP(W$77,'Conversions and Lookups'!$B$76:$AE$78, 3, 0)</f>
        <v>3.4205292496843165</v>
      </c>
      <c r="X94" s="76">
        <f>$R94*HLOOKUP(X$77,'Conversions and Lookups'!$B$76:$AE$78, 3, 0)</f>
        <v>3.2031836163409237</v>
      </c>
      <c r="Y94" s="76">
        <f>$R94*HLOOKUP(Y$77,'Conversions and Lookups'!$B$76:$AE$78, 3, 0)</f>
        <v>3.0025915764866005</v>
      </c>
      <c r="Z94" s="76">
        <f>$R94*HLOOKUP(Z$77,'Conversions and Lookups'!$B$76:$AE$78, 3, 0)</f>
        <v>2.9983754748063416</v>
      </c>
      <c r="AA94" s="76">
        <f>$R94*HLOOKUP(AA$77,'Conversions and Lookups'!$B$76:$AE$78, 3, 0)</f>
        <v>2.9554408681557405</v>
      </c>
      <c r="AB94" s="76">
        <f>$R94*HLOOKUP(AB$77,'Conversions and Lookups'!$B$76:$AE$78, 3, 0)</f>
        <v>2.5596067630301973</v>
      </c>
      <c r="AC94" s="76">
        <f>$R94*HLOOKUP(AC$77,'Conversions and Lookups'!$B$76:$AE$78, 3, 0)</f>
        <v>2.3884735815771916</v>
      </c>
      <c r="AD94" s="76">
        <f>$R94*HLOOKUP(AD$77,'Conversions and Lookups'!$B$76:$AE$78, 3, 0)</f>
        <v>2.3610836303893028</v>
      </c>
      <c r="AE94" s="76">
        <f>$R94*HLOOKUP(AE$77,'Conversions and Lookups'!$B$76:$AE$78, 3, 0)</f>
        <v>2.3573165100248787</v>
      </c>
      <c r="AF94" s="76">
        <v>0</v>
      </c>
      <c r="AG94" s="76">
        <v>0</v>
      </c>
      <c r="AH94" s="76">
        <v>0</v>
      </c>
      <c r="AI94" s="76">
        <v>0</v>
      </c>
      <c r="AJ94" s="76">
        <v>0</v>
      </c>
      <c r="AK94" s="76">
        <v>0</v>
      </c>
      <c r="AL94" s="76">
        <v>0</v>
      </c>
      <c r="AM94" s="76">
        <v>0</v>
      </c>
      <c r="AN94" s="76">
        <v>0</v>
      </c>
      <c r="AO94" s="76">
        <v>0</v>
      </c>
      <c r="AP94" s="76">
        <v>0</v>
      </c>
      <c r="AQ94" s="76">
        <v>0</v>
      </c>
      <c r="AR94" s="77">
        <v>0</v>
      </c>
      <c r="AT94" s="82">
        <f>SUMIFS('Conversions and Lookups'!$F$58:$F$72,'Conversions and Lookups'!$G$58:$G$72,'Measure 2'!AT$77,'Conversions and Lookups'!$C$58:$C$72,'Measure 2'!$C94)*'Measure 2'!$F94</f>
        <v>175811.50896505237</v>
      </c>
      <c r="AU94" s="30">
        <f>SUMIFS('Conversions and Lookups'!$F$58:$F$72,'Conversions and Lookups'!$G$58:$G$72,'Measure 2'!AU$77,'Conversions and Lookups'!$C$58:$C$72,'Measure 2'!$C94)*'Measure 2'!$F94</f>
        <v>4513.3081380818994</v>
      </c>
      <c r="AV94" s="83">
        <f>SUMIFS('Conversions and Lookups'!$F$58:$F$72,'Conversions and Lookups'!$G$58:$G$72,'Measure 2'!AV$77,'Conversions and Lookups'!$C$58:$C$72,'Measure 2'!$C94)*'Measure 2'!$F94</f>
        <v>103.75421007084826</v>
      </c>
    </row>
    <row r="95" spans="2:52" x14ac:dyDescent="0.35">
      <c r="B95" s="57" t="s">
        <v>64</v>
      </c>
      <c r="C95" s="58" t="s">
        <v>222</v>
      </c>
      <c r="D95" s="58">
        <v>2</v>
      </c>
      <c r="E95" s="59">
        <v>9557.5524831531493</v>
      </c>
      <c r="F95" s="59">
        <f t="shared" si="49"/>
        <v>19115.104966306299</v>
      </c>
      <c r="G95" s="58" t="s">
        <v>279</v>
      </c>
      <c r="H95" s="60">
        <f>VLOOKUP($C95,'Conversions and Lookups'!$B$30:$E$36, 3, 0)</f>
        <v>20.9</v>
      </c>
      <c r="I95" s="61">
        <f t="shared" si="50"/>
        <v>914.59832374671294</v>
      </c>
      <c r="J95" s="62">
        <f>I95*VLOOKUP($G95,'Conversions and Lookups'!$B$41:$D$43,3, 0)</f>
        <v>9.3380488854539401</v>
      </c>
      <c r="K95" s="63">
        <f>$F95*VLOOKUP($C95,'Conversions and Lookups'!$C$47:$G$52, 4, 0)</f>
        <v>4.2282612185469528E-3</v>
      </c>
      <c r="L95" s="64">
        <f>$F95*VLOOKUP($C95,'Conversions and Lookups'!$C$47:$G$52, 5, 0)</f>
        <v>6.0786033792854018E-3</v>
      </c>
      <c r="M95" s="62">
        <f t="shared" si="51"/>
        <v>9.3483557500517716</v>
      </c>
      <c r="N95" s="62">
        <f t="shared" si="52"/>
        <v>46.74177875025886</v>
      </c>
      <c r="O95" s="65">
        <f t="shared" si="53"/>
        <v>112.18026900062125</v>
      </c>
      <c r="P95" s="31"/>
      <c r="Q95" s="75">
        <f>VLOOKUP($C95,'Conversions and Lookups'!$B$30:$E$36, 4, 0)</f>
        <v>0.43888523151195957</v>
      </c>
      <c r="R95" s="30">
        <f t="shared" si="54"/>
        <v>8389.3372685127488</v>
      </c>
      <c r="S95">
        <v>0</v>
      </c>
      <c r="T95" s="76">
        <f>$R95*HLOOKUP(T$77,'Conversions and Lookups'!$B$76:$AE$78, 3, 0)</f>
        <v>2.2010680244418261</v>
      </c>
      <c r="U95" s="76">
        <f>$R95*HLOOKUP(U$77,'Conversions and Lookups'!$B$76:$AE$78, 3, 0)</f>
        <v>2.0154264872533023</v>
      </c>
      <c r="V95" s="76">
        <f>$R95*HLOOKUP(V$77,'Conversions and Lookups'!$B$76:$AE$78, 3, 0)</f>
        <v>1.9486957973885153</v>
      </c>
      <c r="W95" s="76">
        <f>$R95*HLOOKUP(W$77,'Conversions and Lookups'!$B$76:$AE$78, 3, 0)</f>
        <v>1.6547570398111056</v>
      </c>
      <c r="X95" s="76">
        <f>$R95*HLOOKUP(X$77,'Conversions and Lookups'!$B$76:$AE$78, 3, 0)</f>
        <v>1.5496112595549141</v>
      </c>
      <c r="Y95" s="76">
        <f>$R95*HLOOKUP(Y$77,'Conversions and Lookups'!$B$76:$AE$78, 3, 0)</f>
        <v>1.4525704024683548</v>
      </c>
      <c r="Z95" s="76">
        <f>$R95*HLOOKUP(Z$77,'Conversions and Lookups'!$B$76:$AE$78, 3, 0)</f>
        <v>1.4505307695850485</v>
      </c>
      <c r="AA95" s="76">
        <f>$R95*HLOOKUP(AA$77,'Conversions and Lookups'!$B$76:$AE$78, 3, 0)</f>
        <v>1.4297601994713269</v>
      </c>
      <c r="AB95" s="76">
        <f>$R95*HLOOKUP(AB$77,'Conversions and Lookups'!$B$76:$AE$78, 3, 0)</f>
        <v>1.238266654396607</v>
      </c>
      <c r="AC95" s="76">
        <f>$R95*HLOOKUP(AC$77,'Conversions and Lookups'!$B$76:$AE$78, 3, 0)</f>
        <v>1.1554771747332573</v>
      </c>
      <c r="AD95" s="76">
        <f>$R95*HLOOKUP(AD$77,'Conversions and Lookups'!$B$76:$AE$78, 3, 0)</f>
        <v>1.1422266771523859</v>
      </c>
      <c r="AE95" s="76">
        <f>$R95*HLOOKUP(AE$77,'Conversions and Lookups'!$B$76:$AE$78, 3, 0)</f>
        <v>1.1404042489584385</v>
      </c>
      <c r="AF95" s="76">
        <v>0</v>
      </c>
      <c r="AG95" s="76">
        <v>0</v>
      </c>
      <c r="AH95" s="76">
        <v>0</v>
      </c>
      <c r="AI95" s="76">
        <v>0</v>
      </c>
      <c r="AJ95" s="76">
        <v>0</v>
      </c>
      <c r="AK95" s="76">
        <v>0</v>
      </c>
      <c r="AL95" s="76">
        <v>0</v>
      </c>
      <c r="AM95" s="76">
        <v>0</v>
      </c>
      <c r="AN95" s="76">
        <v>0</v>
      </c>
      <c r="AO95" s="76">
        <v>0</v>
      </c>
      <c r="AP95" s="76">
        <v>0</v>
      </c>
      <c r="AQ95" s="76">
        <v>0</v>
      </c>
      <c r="AR95" s="77">
        <v>0</v>
      </c>
      <c r="AT95" s="82">
        <f>SUMIFS('Conversions and Lookups'!$F$58:$F$72,'Conversions and Lookups'!$G$58:$G$72,'Measure 2'!AT$77,'Conversions and Lookups'!$C$58:$C$72,'Measure 2'!$C95)*'Measure 2'!$F95</f>
        <v>57937.88315287439</v>
      </c>
      <c r="AU95" s="30">
        <f>SUMIFS('Conversions and Lookups'!$F$58:$F$72,'Conversions and Lookups'!$G$58:$G$72,'Measure 2'!AU$77,'Conversions and Lookups'!$C$58:$C$72,'Measure 2'!$C95)*'Measure 2'!$F95</f>
        <v>2351.1579108556748</v>
      </c>
      <c r="AV95" s="83">
        <f>SUMIFS('Conversions and Lookups'!$F$58:$F$72,'Conversions and Lookups'!$G$58:$G$72,'Measure 2'!AV$77,'Conversions and Lookups'!$C$58:$C$72,'Measure 2'!$C95)*'Measure 2'!$F95</f>
        <v>38.230209932612595</v>
      </c>
    </row>
    <row r="96" spans="2:52" x14ac:dyDescent="0.35">
      <c r="B96" s="57" t="s">
        <v>64</v>
      </c>
      <c r="C96" s="58" t="s">
        <v>219</v>
      </c>
      <c r="D96" s="58">
        <v>1</v>
      </c>
      <c r="E96" s="59">
        <v>11084.519142954545</v>
      </c>
      <c r="F96" s="59">
        <f t="shared" si="49"/>
        <v>11084.519142954545</v>
      </c>
      <c r="G96" s="58" t="s">
        <v>279</v>
      </c>
      <c r="H96" s="60">
        <f>VLOOKUP($C96,'Conversions and Lookups'!$B$30:$E$36, 3, 0)</f>
        <v>10.38961038961039</v>
      </c>
      <c r="I96" s="61">
        <f t="shared" si="50"/>
        <v>1066.884967509375</v>
      </c>
      <c r="J96" s="62">
        <f>I96*VLOOKUP($G96,'Conversions and Lookups'!$B$41:$D$43,3, 0)</f>
        <v>10.892895518270718</v>
      </c>
      <c r="K96" s="63">
        <f>$F96*VLOOKUP($C96,'Conversions and Lookups'!$C$47:$G$52, 4, 0)</f>
        <v>9.0006295440790904E-3</v>
      </c>
      <c r="L96" s="64">
        <f>$F96*VLOOKUP($C96,'Conversions and Lookups'!$C$47:$G$52, 5, 0)</f>
        <v>6.2860308059695225E-2</v>
      </c>
      <c r="M96" s="62">
        <f t="shared" si="51"/>
        <v>10.964756455874493</v>
      </c>
      <c r="N96" s="62">
        <f t="shared" si="52"/>
        <v>54.823782279372466</v>
      </c>
      <c r="O96" s="65">
        <f t="shared" si="53"/>
        <v>131.57707747049392</v>
      </c>
      <c r="P96" s="31"/>
      <c r="Q96" s="75">
        <f>VLOOKUP($C96,'Conversions and Lookups'!$B$30:$E$36, 4, 0)</f>
        <v>0.94046835323991351</v>
      </c>
      <c r="R96" s="30">
        <f t="shared" si="54"/>
        <v>10424.639464830758</v>
      </c>
      <c r="S96">
        <v>0</v>
      </c>
      <c r="T96" s="76">
        <f>$R96*HLOOKUP(T$77,'Conversions and Lookups'!$B$76:$AE$78, 3, 0)</f>
        <v>2.7350599764885901</v>
      </c>
      <c r="U96" s="76">
        <f>$R96*HLOOKUP(U$77,'Conversions and Lookups'!$B$76:$AE$78, 3, 0)</f>
        <v>2.5043807186465212</v>
      </c>
      <c r="V96" s="76">
        <f>$R96*HLOOKUP(V$77,'Conversions and Lookups'!$B$76:$AE$78, 3, 0)</f>
        <v>2.421460773862472</v>
      </c>
      <c r="W96" s="76">
        <f>$R96*HLOOKUP(W$77,'Conversions and Lookups'!$B$76:$AE$78, 3, 0)</f>
        <v>2.0562107577514848</v>
      </c>
      <c r="X96" s="76">
        <f>$R96*HLOOKUP(X$77,'Conversions and Lookups'!$B$76:$AE$78, 3, 0)</f>
        <v>1.925555997388819</v>
      </c>
      <c r="Y96" s="76">
        <f>$R96*HLOOKUP(Y$77,'Conversions and Lookups'!$B$76:$AE$78, 3, 0)</f>
        <v>1.8049724618713723</v>
      </c>
      <c r="Z96" s="76">
        <f>$R96*HLOOKUP(Z$77,'Conversions and Lookups'!$B$76:$AE$78, 3, 0)</f>
        <v>1.8024380021436788</v>
      </c>
      <c r="AA96" s="76">
        <f>$R96*HLOOKUP(AA$77,'Conversions and Lookups'!$B$76:$AE$78, 3, 0)</f>
        <v>1.7766283704666679</v>
      </c>
      <c r="AB96" s="76">
        <f>$R96*HLOOKUP(AB$77,'Conversions and Lookups'!$B$76:$AE$78, 3, 0)</f>
        <v>1.5386773734625665</v>
      </c>
      <c r="AC96" s="76">
        <f>$R96*HLOOKUP(AC$77,'Conversions and Lookups'!$B$76:$AE$78, 3, 0)</f>
        <v>1.4358026827273878</v>
      </c>
      <c r="AD96" s="76">
        <f>$R96*HLOOKUP(AD$77,'Conversions and Lookups'!$B$76:$AE$78, 3, 0)</f>
        <v>1.4193375370801102</v>
      </c>
      <c r="AE96" s="76">
        <f>$R96*HLOOKUP(AE$77,'Conversions and Lookups'!$B$76:$AE$78, 3, 0)</f>
        <v>1.4170729771674042</v>
      </c>
      <c r="AF96" s="76">
        <v>0</v>
      </c>
      <c r="AG96" s="76">
        <v>0</v>
      </c>
      <c r="AH96" s="76">
        <v>0</v>
      </c>
      <c r="AI96" s="76">
        <v>0</v>
      </c>
      <c r="AJ96" s="76">
        <v>0</v>
      </c>
      <c r="AK96" s="76">
        <v>0</v>
      </c>
      <c r="AL96" s="76">
        <v>0</v>
      </c>
      <c r="AM96" s="76">
        <v>0</v>
      </c>
      <c r="AN96" s="76">
        <v>0</v>
      </c>
      <c r="AO96" s="76">
        <v>0</v>
      </c>
      <c r="AP96" s="76">
        <v>0</v>
      </c>
      <c r="AQ96" s="76">
        <v>0</v>
      </c>
      <c r="AR96" s="77">
        <v>0</v>
      </c>
      <c r="AT96" s="82">
        <f>SUMIFS('Conversions and Lookups'!$F$58:$F$72,'Conversions and Lookups'!$G$58:$G$72,'Measure 2'!AT$77,'Conversions and Lookups'!$C$58:$C$72,'Measure 2'!$C96)*'Measure 2'!$F96</f>
        <v>17834.991301013863</v>
      </c>
      <c r="AU96" s="30">
        <f>SUMIFS('Conversions and Lookups'!$F$58:$F$72,'Conversions and Lookups'!$G$58:$G$72,'Measure 2'!AU$77,'Conversions and Lookups'!$C$58:$C$72,'Measure 2'!$C96)*'Measure 2'!$F96</f>
        <v>12802.619610112499</v>
      </c>
      <c r="AV96" s="83">
        <f>SUMIFS('Conversions and Lookups'!$F$58:$F$72,'Conversions and Lookups'!$G$58:$G$72,'Measure 2'!AV$77,'Conversions and Lookups'!$C$58:$C$72,'Measure 2'!$C96)*'Measure 2'!$F96</f>
        <v>576.39499543363627</v>
      </c>
    </row>
    <row r="97" spans="2:48" x14ac:dyDescent="0.35">
      <c r="B97" s="57" t="s">
        <v>64</v>
      </c>
      <c r="C97" s="58" t="s">
        <v>212</v>
      </c>
      <c r="D97" s="58">
        <v>4</v>
      </c>
      <c r="E97" s="59">
        <v>8646.184172570689</v>
      </c>
      <c r="F97" s="59">
        <f t="shared" si="49"/>
        <v>34584.736690282756</v>
      </c>
      <c r="G97" s="58" t="s">
        <v>278</v>
      </c>
      <c r="H97" s="60">
        <f>VLOOKUP($C97,'Conversions and Lookups'!$B$30:$E$36, 3, 0)</f>
        <v>27.5</v>
      </c>
      <c r="I97" s="61">
        <f t="shared" si="50"/>
        <v>1257.6267887375548</v>
      </c>
      <c r="J97" s="62">
        <f>I97*VLOOKUP($G97,'Conversions and Lookups'!$B$41:$D$43,3, 0)</f>
        <v>11.04196320511573</v>
      </c>
      <c r="K97" s="63">
        <f>$F97*VLOOKUP($C97,'Conversions and Lookups'!$C$47:$G$52, 4, 0)</f>
        <v>4.9387003993723779E-3</v>
      </c>
      <c r="L97" s="64">
        <f>$F97*VLOOKUP($C97,'Conversions and Lookups'!$C$47:$G$52, 5, 0)</f>
        <v>1.2830937312094901E-2</v>
      </c>
      <c r="M97" s="62">
        <f t="shared" si="51"/>
        <v>11.059732842827197</v>
      </c>
      <c r="N97" s="62">
        <f t="shared" si="52"/>
        <v>55.298664214135982</v>
      </c>
      <c r="O97" s="65">
        <f t="shared" si="53"/>
        <v>132.71679411392637</v>
      </c>
      <c r="P97" s="31"/>
      <c r="Q97" s="75">
        <f>VLOOKUP($C97,'Conversions and Lookups'!$B$30:$E$36, 4, 0)</f>
        <v>0.33428046130703665</v>
      </c>
      <c r="R97" s="30">
        <f t="shared" si="54"/>
        <v>11561.001735010115</v>
      </c>
      <c r="S97">
        <v>0</v>
      </c>
      <c r="T97" s="76">
        <f>$R97*HLOOKUP(T$77,'Conversions and Lookups'!$B$76:$AE$78, 3, 0)</f>
        <v>3.0332016028196196</v>
      </c>
      <c r="U97" s="76">
        <f>$R97*HLOOKUP(U$77,'Conversions and Lookups'!$B$76:$AE$78, 3, 0)</f>
        <v>2.7773766115438852</v>
      </c>
      <c r="V97" s="76">
        <f>$R97*HLOOKUP(V$77,'Conversions and Lookups'!$B$76:$AE$78, 3, 0)</f>
        <v>2.6854177837350717</v>
      </c>
      <c r="W97" s="76">
        <f>$R97*HLOOKUP(W$77,'Conversions and Lookups'!$B$76:$AE$78, 3, 0)</f>
        <v>2.280352833122878</v>
      </c>
      <c r="X97" s="76">
        <f>$R97*HLOOKUP(X$77,'Conversions and Lookups'!$B$76:$AE$78, 3, 0)</f>
        <v>2.1354557442272828</v>
      </c>
      <c r="Y97" s="76">
        <f>$R97*HLOOKUP(Y$77,'Conversions and Lookups'!$B$76:$AE$78, 3, 0)</f>
        <v>2.0017277176577339</v>
      </c>
      <c r="Z97" s="76">
        <f>$R97*HLOOKUP(Z$77,'Conversions and Lookups'!$B$76:$AE$78, 3, 0)</f>
        <v>1.9989169832042279</v>
      </c>
      <c r="AA97" s="76">
        <f>$R97*HLOOKUP(AA$77,'Conversions and Lookups'!$B$76:$AE$78, 3, 0)</f>
        <v>1.9702939121038272</v>
      </c>
      <c r="AB97" s="76">
        <f>$R97*HLOOKUP(AB$77,'Conversions and Lookups'!$B$76:$AE$78, 3, 0)</f>
        <v>1.7064045086867985</v>
      </c>
      <c r="AC97" s="76">
        <f>$R97*HLOOKUP(AC$77,'Conversions and Lookups'!$B$76:$AE$78, 3, 0)</f>
        <v>1.5923157210514611</v>
      </c>
      <c r="AD97" s="76">
        <f>$R97*HLOOKUP(AD$77,'Conversions and Lookups'!$B$76:$AE$78, 3, 0)</f>
        <v>1.5740557535928688</v>
      </c>
      <c r="AE97" s="76">
        <f>$R97*HLOOKUP(AE$77,'Conversions and Lookups'!$B$76:$AE$78, 3, 0)</f>
        <v>1.5715443400165858</v>
      </c>
      <c r="AF97" s="76">
        <v>0</v>
      </c>
      <c r="AG97" s="76">
        <v>0</v>
      </c>
      <c r="AH97" s="76">
        <v>0</v>
      </c>
      <c r="AI97" s="76">
        <v>0</v>
      </c>
      <c r="AJ97" s="76">
        <v>0</v>
      </c>
      <c r="AK97" s="76">
        <v>0</v>
      </c>
      <c r="AL97" s="76">
        <v>0</v>
      </c>
      <c r="AM97" s="76">
        <v>0</v>
      </c>
      <c r="AN97" s="76">
        <v>0</v>
      </c>
      <c r="AO97" s="76">
        <v>0</v>
      </c>
      <c r="AP97" s="76">
        <v>0</v>
      </c>
      <c r="AQ97" s="76">
        <v>0</v>
      </c>
      <c r="AR97" s="77">
        <v>0</v>
      </c>
      <c r="AT97" s="82">
        <f>SUMIFS('Conversions and Lookups'!$F$58:$F$72,'Conversions and Lookups'!$G$58:$G$72,'Measure 2'!AT$77,'Conversions and Lookups'!$C$58:$C$72,'Measure 2'!$C97)*'Measure 2'!$F97</f>
        <v>117207.67264336825</v>
      </c>
      <c r="AU97" s="30">
        <f>SUMIFS('Conversions and Lookups'!$F$58:$F$72,'Conversions and Lookups'!$G$58:$G$72,'Measure 2'!AU$77,'Conversions and Lookups'!$C$58:$C$72,'Measure 2'!$C97)*'Measure 2'!$F97</f>
        <v>3008.8720920545998</v>
      </c>
      <c r="AV97" s="83">
        <f>SUMIFS('Conversions and Lookups'!$F$58:$F$72,'Conversions and Lookups'!$G$58:$G$72,'Measure 2'!AV$77,'Conversions and Lookups'!$C$58:$C$72,'Measure 2'!$C97)*'Measure 2'!$F97</f>
        <v>69.16947338056552</v>
      </c>
    </row>
    <row r="98" spans="2:48" x14ac:dyDescent="0.35">
      <c r="B98" s="57" t="s">
        <v>64</v>
      </c>
      <c r="C98" s="58" t="s">
        <v>212</v>
      </c>
      <c r="D98" s="58">
        <v>14</v>
      </c>
      <c r="E98" s="59">
        <v>8646.184172570689</v>
      </c>
      <c r="F98" s="59">
        <f t="shared" si="49"/>
        <v>121046.57841598964</v>
      </c>
      <c r="G98" s="58" t="s">
        <v>278</v>
      </c>
      <c r="H98" s="60">
        <f>VLOOKUP($C98,'Conversions and Lookups'!$B$30:$E$36, 3, 0)</f>
        <v>27.5</v>
      </c>
      <c r="I98" s="61">
        <f t="shared" si="50"/>
        <v>4401.6937605814419</v>
      </c>
      <c r="J98" s="62">
        <f>I98*VLOOKUP($G98,'Conversions and Lookups'!$B$41:$D$43,3, 0)</f>
        <v>38.646871217905058</v>
      </c>
      <c r="K98" s="63">
        <f>$F98*VLOOKUP($C98,'Conversions and Lookups'!$C$47:$G$52, 4, 0)</f>
        <v>1.7285451397803322E-2</v>
      </c>
      <c r="L98" s="64">
        <f>$F98*VLOOKUP($C98,'Conversions and Lookups'!$C$47:$G$52, 5, 0)</f>
        <v>4.4908280592332157E-2</v>
      </c>
      <c r="M98" s="62">
        <f t="shared" si="51"/>
        <v>38.709064949895193</v>
      </c>
      <c r="N98" s="62">
        <f t="shared" si="52"/>
        <v>193.54532474947598</v>
      </c>
      <c r="O98" s="65">
        <f t="shared" si="53"/>
        <v>464.50877939874232</v>
      </c>
      <c r="P98" s="31"/>
      <c r="Q98" s="75">
        <f>VLOOKUP($C98,'Conversions and Lookups'!$B$30:$E$36, 4, 0)</f>
        <v>0.33428046130703665</v>
      </c>
      <c r="R98" s="30">
        <f t="shared" si="54"/>
        <v>40463.506072535405</v>
      </c>
      <c r="S98">
        <v>0</v>
      </c>
      <c r="T98" s="76">
        <f>$R98*HLOOKUP(T$77,'Conversions and Lookups'!$B$76:$AE$78, 3, 0)</f>
        <v>10.616205609868668</v>
      </c>
      <c r="U98" s="76">
        <f>$R98*HLOOKUP(U$77,'Conversions and Lookups'!$B$76:$AE$78, 3, 0)</f>
        <v>9.7208181404035976</v>
      </c>
      <c r="V98" s="76">
        <f>$R98*HLOOKUP(V$77,'Conversions and Lookups'!$B$76:$AE$78, 3, 0)</f>
        <v>9.3989622430727504</v>
      </c>
      <c r="W98" s="76">
        <f>$R98*HLOOKUP(W$77,'Conversions and Lookups'!$B$76:$AE$78, 3, 0)</f>
        <v>7.9812349159300737</v>
      </c>
      <c r="X98" s="76">
        <f>$R98*HLOOKUP(X$77,'Conversions and Lookups'!$B$76:$AE$78, 3, 0)</f>
        <v>7.4740951047954907</v>
      </c>
      <c r="Y98" s="76">
        <f>$R98*HLOOKUP(Y$77,'Conversions and Lookups'!$B$76:$AE$78, 3, 0)</f>
        <v>7.0060470118020683</v>
      </c>
      <c r="Z98" s="76">
        <f>$R98*HLOOKUP(Z$77,'Conversions and Lookups'!$B$76:$AE$78, 3, 0)</f>
        <v>6.9962094412147984</v>
      </c>
      <c r="AA98" s="76">
        <f>$R98*HLOOKUP(AA$77,'Conversions and Lookups'!$B$76:$AE$78, 3, 0)</f>
        <v>6.8960286923633953</v>
      </c>
      <c r="AB98" s="76">
        <f>$R98*HLOOKUP(AB$77,'Conversions and Lookups'!$B$76:$AE$78, 3, 0)</f>
        <v>5.9724157804037947</v>
      </c>
      <c r="AC98" s="76">
        <f>$R98*HLOOKUP(AC$77,'Conversions and Lookups'!$B$76:$AE$78, 3, 0)</f>
        <v>5.5731050236801147</v>
      </c>
      <c r="AD98" s="76">
        <f>$R98*HLOOKUP(AD$77,'Conversions and Lookups'!$B$76:$AE$78, 3, 0)</f>
        <v>5.5091951375750403</v>
      </c>
      <c r="AE98" s="76">
        <f>$R98*HLOOKUP(AE$77,'Conversions and Lookups'!$B$76:$AE$78, 3, 0)</f>
        <v>5.5004051900580508</v>
      </c>
      <c r="AF98" s="76">
        <v>0</v>
      </c>
      <c r="AG98" s="76">
        <v>0</v>
      </c>
      <c r="AH98" s="76">
        <v>0</v>
      </c>
      <c r="AI98" s="76">
        <v>0</v>
      </c>
      <c r="AJ98" s="76">
        <v>0</v>
      </c>
      <c r="AK98" s="76">
        <v>0</v>
      </c>
      <c r="AL98" s="76">
        <v>0</v>
      </c>
      <c r="AM98" s="76">
        <v>0</v>
      </c>
      <c r="AN98" s="76">
        <v>0</v>
      </c>
      <c r="AO98" s="76">
        <v>0</v>
      </c>
      <c r="AP98" s="76">
        <v>0</v>
      </c>
      <c r="AQ98" s="76">
        <v>0</v>
      </c>
      <c r="AR98" s="77">
        <v>0</v>
      </c>
      <c r="AT98" s="82">
        <f>SUMIFS('Conversions and Lookups'!$F$58:$F$72,'Conversions and Lookups'!$G$58:$G$72,'Measure 2'!AT$77,'Conversions and Lookups'!$C$58:$C$72,'Measure 2'!$C98)*'Measure 2'!$F98</f>
        <v>410226.85425178887</v>
      </c>
      <c r="AU98" s="30">
        <f>SUMIFS('Conversions and Lookups'!$F$58:$F$72,'Conversions and Lookups'!$G$58:$G$72,'Measure 2'!AU$77,'Conversions and Lookups'!$C$58:$C$72,'Measure 2'!$C98)*'Measure 2'!$F98</f>
        <v>10531.052322191099</v>
      </c>
      <c r="AV98" s="83">
        <f>SUMIFS('Conversions and Lookups'!$F$58:$F$72,'Conversions and Lookups'!$G$58:$G$72,'Measure 2'!AV$77,'Conversions and Lookups'!$C$58:$C$72,'Measure 2'!$C98)*'Measure 2'!$F98</f>
        <v>242.09315683197929</v>
      </c>
    </row>
    <row r="99" spans="2:48" x14ac:dyDescent="0.35">
      <c r="B99" s="57" t="s">
        <v>64</v>
      </c>
      <c r="C99" s="58" t="s">
        <v>222</v>
      </c>
      <c r="D99" s="58">
        <v>5</v>
      </c>
      <c r="E99" s="59">
        <v>9557.5524831531493</v>
      </c>
      <c r="F99" s="59">
        <f t="shared" si="49"/>
        <v>47787.762415765748</v>
      </c>
      <c r="G99" s="58" t="s">
        <v>279</v>
      </c>
      <c r="H99" s="60">
        <f>VLOOKUP($C99,'Conversions and Lookups'!$B$30:$E$36, 3, 0)</f>
        <v>20.9</v>
      </c>
      <c r="I99" s="61">
        <f t="shared" si="50"/>
        <v>2286.4958093667824</v>
      </c>
      <c r="J99" s="62">
        <f>I99*VLOOKUP($G99,'Conversions and Lookups'!$B$41:$D$43,3, 0)</f>
        <v>23.345122213634848</v>
      </c>
      <c r="K99" s="63">
        <f>$F99*VLOOKUP($C99,'Conversions and Lookups'!$C$47:$G$52, 4, 0)</f>
        <v>1.0570653046367383E-2</v>
      </c>
      <c r="L99" s="64">
        <f>$F99*VLOOKUP($C99,'Conversions and Lookups'!$C$47:$G$52, 5, 0)</f>
        <v>1.5196508448213505E-2</v>
      </c>
      <c r="M99" s="62">
        <f t="shared" si="51"/>
        <v>23.37088937512943</v>
      </c>
      <c r="N99" s="62">
        <f t="shared" si="52"/>
        <v>116.85444687564714</v>
      </c>
      <c r="O99" s="65">
        <f t="shared" si="53"/>
        <v>280.45067250155319</v>
      </c>
      <c r="P99" s="31"/>
      <c r="Q99" s="75">
        <f>VLOOKUP($C99,'Conversions and Lookups'!$B$30:$E$36, 4, 0)</f>
        <v>0.43888523151195957</v>
      </c>
      <c r="R99" s="30">
        <f t="shared" si="54"/>
        <v>20973.343171281871</v>
      </c>
      <c r="S99">
        <v>0</v>
      </c>
      <c r="T99" s="76">
        <f>$R99*HLOOKUP(T$77,'Conversions and Lookups'!$B$76:$AE$78, 3, 0)</f>
        <v>5.5026700611045651</v>
      </c>
      <c r="U99" s="76">
        <f>$R99*HLOOKUP(U$77,'Conversions and Lookups'!$B$76:$AE$78, 3, 0)</f>
        <v>5.0385662181332558</v>
      </c>
      <c r="V99" s="76">
        <f>$R99*HLOOKUP(V$77,'Conversions and Lookups'!$B$76:$AE$78, 3, 0)</f>
        <v>4.8717394934712877</v>
      </c>
      <c r="W99" s="76">
        <f>$R99*HLOOKUP(W$77,'Conversions and Lookups'!$B$76:$AE$78, 3, 0)</f>
        <v>4.1368925995277639</v>
      </c>
      <c r="X99" s="76">
        <f>$R99*HLOOKUP(X$77,'Conversions and Lookups'!$B$76:$AE$78, 3, 0)</f>
        <v>3.8740281488872852</v>
      </c>
      <c r="Y99" s="76">
        <f>$R99*HLOOKUP(Y$77,'Conversions and Lookups'!$B$76:$AE$78, 3, 0)</f>
        <v>3.6314260061708867</v>
      </c>
      <c r="Z99" s="76">
        <f>$R99*HLOOKUP(Z$77,'Conversions and Lookups'!$B$76:$AE$78, 3, 0)</f>
        <v>3.6263269239626208</v>
      </c>
      <c r="AA99" s="76">
        <f>$R99*HLOOKUP(AA$77,'Conversions and Lookups'!$B$76:$AE$78, 3, 0)</f>
        <v>3.5744004986783176</v>
      </c>
      <c r="AB99" s="76">
        <f>$R99*HLOOKUP(AB$77,'Conversions and Lookups'!$B$76:$AE$78, 3, 0)</f>
        <v>3.0956666359915177</v>
      </c>
      <c r="AC99" s="76">
        <f>$R99*HLOOKUP(AC$77,'Conversions and Lookups'!$B$76:$AE$78, 3, 0)</f>
        <v>2.8886929368331433</v>
      </c>
      <c r="AD99" s="76">
        <f>$R99*HLOOKUP(AD$77,'Conversions and Lookups'!$B$76:$AE$78, 3, 0)</f>
        <v>2.8555666928809651</v>
      </c>
      <c r="AE99" s="76">
        <f>$R99*HLOOKUP(AE$77,'Conversions and Lookups'!$B$76:$AE$78, 3, 0)</f>
        <v>2.851010622396096</v>
      </c>
      <c r="AF99" s="76">
        <v>0</v>
      </c>
      <c r="AG99" s="76">
        <v>0</v>
      </c>
      <c r="AH99" s="76">
        <v>0</v>
      </c>
      <c r="AI99" s="76">
        <v>0</v>
      </c>
      <c r="AJ99" s="76">
        <v>0</v>
      </c>
      <c r="AK99" s="76">
        <v>0</v>
      </c>
      <c r="AL99" s="76">
        <v>0</v>
      </c>
      <c r="AM99" s="76">
        <v>0</v>
      </c>
      <c r="AN99" s="76">
        <v>0</v>
      </c>
      <c r="AO99" s="76">
        <v>0</v>
      </c>
      <c r="AP99" s="76">
        <v>0</v>
      </c>
      <c r="AQ99" s="76">
        <v>0</v>
      </c>
      <c r="AR99" s="77">
        <v>0</v>
      </c>
      <c r="AT99" s="82">
        <f>SUMIFS('Conversions and Lookups'!$F$58:$F$72,'Conversions and Lookups'!$G$58:$G$72,'Measure 2'!AT$77,'Conversions and Lookups'!$C$58:$C$72,'Measure 2'!$C99)*'Measure 2'!$F99</f>
        <v>144844.70788218599</v>
      </c>
      <c r="AU99" s="30">
        <f>SUMIFS('Conversions and Lookups'!$F$58:$F$72,'Conversions and Lookups'!$G$58:$G$72,'Measure 2'!AU$77,'Conversions and Lookups'!$C$58:$C$72,'Measure 2'!$C99)*'Measure 2'!$F99</f>
        <v>5877.8947771391868</v>
      </c>
      <c r="AV99" s="83">
        <f>SUMIFS('Conversions and Lookups'!$F$58:$F$72,'Conversions and Lookups'!$G$58:$G$72,'Measure 2'!AV$77,'Conversions and Lookups'!$C$58:$C$72,'Measure 2'!$C99)*'Measure 2'!$F99</f>
        <v>95.575524831531496</v>
      </c>
    </row>
    <row r="100" spans="2:48" x14ac:dyDescent="0.35">
      <c r="B100" s="57" t="s">
        <v>64</v>
      </c>
      <c r="C100" s="58" t="s">
        <v>212</v>
      </c>
      <c r="D100" s="58">
        <v>3</v>
      </c>
      <c r="E100" s="59">
        <v>8646.184172570689</v>
      </c>
      <c r="F100" s="59">
        <f t="shared" si="49"/>
        <v>25938.552517712065</v>
      </c>
      <c r="G100" s="58" t="s">
        <v>278</v>
      </c>
      <c r="H100" s="60">
        <f>VLOOKUP($C100,'Conversions and Lookups'!$B$30:$E$36, 3, 0)</f>
        <v>27.5</v>
      </c>
      <c r="I100" s="61">
        <f t="shared" si="50"/>
        <v>943.22009155316596</v>
      </c>
      <c r="J100" s="62">
        <f>I100*VLOOKUP($G100,'Conversions and Lookups'!$B$41:$D$43,3, 0)</f>
        <v>8.2814724038367959</v>
      </c>
      <c r="K100" s="63">
        <f>$F100*VLOOKUP($C100,'Conversions and Lookups'!$C$47:$G$52, 4, 0)</f>
        <v>3.704025299529283E-3</v>
      </c>
      <c r="L100" s="64">
        <f>$F100*VLOOKUP($C100,'Conversions and Lookups'!$C$47:$G$52, 5, 0)</f>
        <v>9.6232029840711761E-3</v>
      </c>
      <c r="M100" s="62">
        <f t="shared" si="51"/>
        <v>8.2947996321203963</v>
      </c>
      <c r="N100" s="62">
        <f t="shared" si="52"/>
        <v>41.47399816060198</v>
      </c>
      <c r="O100" s="65">
        <f t="shared" si="53"/>
        <v>99.537595585444762</v>
      </c>
      <c r="P100" s="31"/>
      <c r="Q100" s="75">
        <f>VLOOKUP($C100,'Conversions and Lookups'!$B$30:$E$36, 4, 0)</f>
        <v>0.33428046130703665</v>
      </c>
      <c r="R100" s="30">
        <f t="shared" si="54"/>
        <v>8670.7513012575855</v>
      </c>
      <c r="S100">
        <v>0</v>
      </c>
      <c r="T100" s="76">
        <f>$R100*HLOOKUP(T$77,'Conversions and Lookups'!$B$76:$AE$78, 3, 0)</f>
        <v>2.2749012021147146</v>
      </c>
      <c r="U100" s="76">
        <f>$R100*HLOOKUP(U$77,'Conversions and Lookups'!$B$76:$AE$78, 3, 0)</f>
        <v>2.0830324586579136</v>
      </c>
      <c r="V100" s="76">
        <f>$R100*HLOOKUP(V$77,'Conversions and Lookups'!$B$76:$AE$78, 3, 0)</f>
        <v>2.0140633378013035</v>
      </c>
      <c r="W100" s="76">
        <f>$R100*HLOOKUP(W$77,'Conversions and Lookups'!$B$76:$AE$78, 3, 0)</f>
        <v>1.7102646248421582</v>
      </c>
      <c r="X100" s="76">
        <f>$R100*HLOOKUP(X$77,'Conversions and Lookups'!$B$76:$AE$78, 3, 0)</f>
        <v>1.6015918081704619</v>
      </c>
      <c r="Y100" s="76">
        <f>$R100*HLOOKUP(Y$77,'Conversions and Lookups'!$B$76:$AE$78, 3, 0)</f>
        <v>1.5012957882433002</v>
      </c>
      <c r="Z100" s="76">
        <f>$R100*HLOOKUP(Z$77,'Conversions and Lookups'!$B$76:$AE$78, 3, 0)</f>
        <v>1.4991877374031708</v>
      </c>
      <c r="AA100" s="76">
        <f>$R100*HLOOKUP(AA$77,'Conversions and Lookups'!$B$76:$AE$78, 3, 0)</f>
        <v>1.4777204340778702</v>
      </c>
      <c r="AB100" s="76">
        <f>$R100*HLOOKUP(AB$77,'Conversions and Lookups'!$B$76:$AE$78, 3, 0)</f>
        <v>1.2798033815150986</v>
      </c>
      <c r="AC100" s="76">
        <f>$R100*HLOOKUP(AC$77,'Conversions and Lookups'!$B$76:$AE$78, 3, 0)</f>
        <v>1.1942367907885958</v>
      </c>
      <c r="AD100" s="76">
        <f>$R100*HLOOKUP(AD$77,'Conversions and Lookups'!$B$76:$AE$78, 3, 0)</f>
        <v>1.1805418151946514</v>
      </c>
      <c r="AE100" s="76">
        <f>$R100*HLOOKUP(AE$77,'Conversions and Lookups'!$B$76:$AE$78, 3, 0)</f>
        <v>1.1786582550124394</v>
      </c>
      <c r="AF100" s="76">
        <v>0</v>
      </c>
      <c r="AG100" s="76">
        <v>0</v>
      </c>
      <c r="AH100" s="76">
        <v>0</v>
      </c>
      <c r="AI100" s="76">
        <v>0</v>
      </c>
      <c r="AJ100" s="76">
        <v>0</v>
      </c>
      <c r="AK100" s="76">
        <v>0</v>
      </c>
      <c r="AL100" s="76">
        <v>0</v>
      </c>
      <c r="AM100" s="76">
        <v>0</v>
      </c>
      <c r="AN100" s="76">
        <v>0</v>
      </c>
      <c r="AO100" s="76">
        <v>0</v>
      </c>
      <c r="AP100" s="76">
        <v>0</v>
      </c>
      <c r="AQ100" s="76">
        <v>0</v>
      </c>
      <c r="AR100" s="77">
        <v>0</v>
      </c>
      <c r="AT100" s="82">
        <f>SUMIFS('Conversions and Lookups'!$F$58:$F$72,'Conversions and Lookups'!$G$58:$G$72,'Measure 2'!AT$77,'Conversions and Lookups'!$C$58:$C$72,'Measure 2'!$C100)*'Measure 2'!$F100</f>
        <v>87905.754482526187</v>
      </c>
      <c r="AU100" s="30">
        <f>SUMIFS('Conversions and Lookups'!$F$58:$F$72,'Conversions and Lookups'!$G$58:$G$72,'Measure 2'!AU$77,'Conversions and Lookups'!$C$58:$C$72,'Measure 2'!$C100)*'Measure 2'!$F100</f>
        <v>2256.6540690409497</v>
      </c>
      <c r="AV100" s="83">
        <f>SUMIFS('Conversions and Lookups'!$F$58:$F$72,'Conversions and Lookups'!$G$58:$G$72,'Measure 2'!AV$77,'Conversions and Lookups'!$C$58:$C$72,'Measure 2'!$C100)*'Measure 2'!$F100</f>
        <v>51.87710503542413</v>
      </c>
    </row>
    <row r="101" spans="2:48" x14ac:dyDescent="0.35">
      <c r="B101" s="57" t="s">
        <v>64</v>
      </c>
      <c r="C101" s="58" t="s">
        <v>212</v>
      </c>
      <c r="D101" s="58">
        <v>1</v>
      </c>
      <c r="E101" s="59">
        <v>8646.184172570689</v>
      </c>
      <c r="F101" s="59">
        <f t="shared" si="49"/>
        <v>8646.184172570689</v>
      </c>
      <c r="G101" s="58" t="s">
        <v>278</v>
      </c>
      <c r="H101" s="60">
        <f>VLOOKUP($C101,'Conversions and Lookups'!$B$30:$E$36, 3, 0)</f>
        <v>27.5</v>
      </c>
      <c r="I101" s="61">
        <f t="shared" si="50"/>
        <v>314.40669718438869</v>
      </c>
      <c r="J101" s="62">
        <f>I101*VLOOKUP($G101,'Conversions and Lookups'!$B$41:$D$43,3, 0)</f>
        <v>2.7604908012789324</v>
      </c>
      <c r="K101" s="63">
        <f>$F101*VLOOKUP($C101,'Conversions and Lookups'!$C$47:$G$52, 4, 0)</f>
        <v>1.2346750998430945E-3</v>
      </c>
      <c r="L101" s="64">
        <f>$F101*VLOOKUP($C101,'Conversions and Lookups'!$C$47:$G$52, 5, 0)</f>
        <v>3.2077343280237252E-3</v>
      </c>
      <c r="M101" s="62">
        <f t="shared" si="51"/>
        <v>2.7649332107067992</v>
      </c>
      <c r="N101" s="62">
        <f t="shared" si="52"/>
        <v>13.824666053533996</v>
      </c>
      <c r="O101" s="65">
        <f t="shared" si="53"/>
        <v>33.179198528481592</v>
      </c>
      <c r="P101" s="31"/>
      <c r="Q101" s="75">
        <f>VLOOKUP($C101,'Conversions and Lookups'!$B$30:$E$36, 4, 0)</f>
        <v>0.33428046130703665</v>
      </c>
      <c r="R101" s="30">
        <f t="shared" si="54"/>
        <v>2890.2504337525288</v>
      </c>
      <c r="S101">
        <v>0</v>
      </c>
      <c r="T101" s="76">
        <f>$R101*HLOOKUP(T$77,'Conversions and Lookups'!$B$76:$AE$78, 3, 0)</f>
        <v>0.7583004007049049</v>
      </c>
      <c r="U101" s="76">
        <f>$R101*HLOOKUP(U$77,'Conversions and Lookups'!$B$76:$AE$78, 3, 0)</f>
        <v>0.69434415288597129</v>
      </c>
      <c r="V101" s="76">
        <f>$R101*HLOOKUP(V$77,'Conversions and Lookups'!$B$76:$AE$78, 3, 0)</f>
        <v>0.67135444593376792</v>
      </c>
      <c r="W101" s="76">
        <f>$R101*HLOOKUP(W$77,'Conversions and Lookups'!$B$76:$AE$78, 3, 0)</f>
        <v>0.57008820828071949</v>
      </c>
      <c r="X101" s="76">
        <f>$R101*HLOOKUP(X$77,'Conversions and Lookups'!$B$76:$AE$78, 3, 0)</f>
        <v>0.5338639360568207</v>
      </c>
      <c r="Y101" s="76">
        <f>$R101*HLOOKUP(Y$77,'Conversions and Lookups'!$B$76:$AE$78, 3, 0)</f>
        <v>0.50043192941443349</v>
      </c>
      <c r="Z101" s="76">
        <f>$R101*HLOOKUP(Z$77,'Conversions and Lookups'!$B$76:$AE$78, 3, 0)</f>
        <v>0.49972924580105699</v>
      </c>
      <c r="AA101" s="76">
        <f>$R101*HLOOKUP(AA$77,'Conversions and Lookups'!$B$76:$AE$78, 3, 0)</f>
        <v>0.4925734780259568</v>
      </c>
      <c r="AB101" s="76">
        <f>$R101*HLOOKUP(AB$77,'Conversions and Lookups'!$B$76:$AE$78, 3, 0)</f>
        <v>0.42660112717169962</v>
      </c>
      <c r="AC101" s="76">
        <f>$R101*HLOOKUP(AC$77,'Conversions and Lookups'!$B$76:$AE$78, 3, 0)</f>
        <v>0.39807893026286528</v>
      </c>
      <c r="AD101" s="76">
        <f>$R101*HLOOKUP(AD$77,'Conversions and Lookups'!$B$76:$AE$78, 3, 0)</f>
        <v>0.39351393839821719</v>
      </c>
      <c r="AE101" s="76">
        <f>$R101*HLOOKUP(AE$77,'Conversions and Lookups'!$B$76:$AE$78, 3, 0)</f>
        <v>0.39288608500414646</v>
      </c>
      <c r="AF101" s="76">
        <v>0</v>
      </c>
      <c r="AG101" s="76">
        <v>0</v>
      </c>
      <c r="AH101" s="76">
        <v>0</v>
      </c>
      <c r="AI101" s="76">
        <v>0</v>
      </c>
      <c r="AJ101" s="76">
        <v>0</v>
      </c>
      <c r="AK101" s="76">
        <v>0</v>
      </c>
      <c r="AL101" s="76">
        <v>0</v>
      </c>
      <c r="AM101" s="76">
        <v>0</v>
      </c>
      <c r="AN101" s="76">
        <v>0</v>
      </c>
      <c r="AO101" s="76">
        <v>0</v>
      </c>
      <c r="AP101" s="76">
        <v>0</v>
      </c>
      <c r="AQ101" s="76">
        <v>0</v>
      </c>
      <c r="AR101" s="77">
        <v>0</v>
      </c>
      <c r="AT101" s="82">
        <f>SUMIFS('Conversions and Lookups'!$F$58:$F$72,'Conversions and Lookups'!$G$58:$G$72,'Measure 2'!AT$77,'Conversions and Lookups'!$C$58:$C$72,'Measure 2'!$C101)*'Measure 2'!$F101</f>
        <v>29301.918160842062</v>
      </c>
      <c r="AU101" s="30">
        <f>SUMIFS('Conversions and Lookups'!$F$58:$F$72,'Conversions and Lookups'!$G$58:$G$72,'Measure 2'!AU$77,'Conversions and Lookups'!$C$58:$C$72,'Measure 2'!$C101)*'Measure 2'!$F101</f>
        <v>752.21802301364994</v>
      </c>
      <c r="AV101" s="83">
        <f>SUMIFS('Conversions and Lookups'!$F$58:$F$72,'Conversions and Lookups'!$G$58:$G$72,'Measure 2'!AV$77,'Conversions and Lookups'!$C$58:$C$72,'Measure 2'!$C101)*'Measure 2'!$F101</f>
        <v>17.29236834514138</v>
      </c>
    </row>
    <row r="102" spans="2:48" x14ac:dyDescent="0.35">
      <c r="B102" s="57" t="s">
        <v>64</v>
      </c>
      <c r="C102" s="58" t="s">
        <v>212</v>
      </c>
      <c r="D102" s="58">
        <v>2</v>
      </c>
      <c r="E102" s="59">
        <v>8646.184172570689</v>
      </c>
      <c r="F102" s="59">
        <f t="shared" si="49"/>
        <v>17292.368345141378</v>
      </c>
      <c r="G102" s="58" t="s">
        <v>278</v>
      </c>
      <c r="H102" s="60">
        <f>VLOOKUP($C102,'Conversions and Lookups'!$B$30:$E$36, 3, 0)</f>
        <v>27.5</v>
      </c>
      <c r="I102" s="61">
        <f t="shared" si="50"/>
        <v>628.81339436877738</v>
      </c>
      <c r="J102" s="62">
        <f>I102*VLOOKUP($G102,'Conversions and Lookups'!$B$41:$D$43,3, 0)</f>
        <v>5.5209816025578649</v>
      </c>
      <c r="K102" s="63">
        <f>$F102*VLOOKUP($C102,'Conversions and Lookups'!$C$47:$G$52, 4, 0)</f>
        <v>2.469350199686189E-3</v>
      </c>
      <c r="L102" s="64">
        <f>$F102*VLOOKUP($C102,'Conversions and Lookups'!$C$47:$G$52, 5, 0)</f>
        <v>6.4154686560474504E-3</v>
      </c>
      <c r="M102" s="62">
        <f t="shared" si="51"/>
        <v>5.5298664214135984</v>
      </c>
      <c r="N102" s="62">
        <f t="shared" si="52"/>
        <v>27.649332107067991</v>
      </c>
      <c r="O102" s="65">
        <f t="shared" si="53"/>
        <v>66.358397056963184</v>
      </c>
      <c r="P102" s="31"/>
      <c r="Q102" s="75">
        <f>VLOOKUP($C102,'Conversions and Lookups'!$B$30:$E$36, 4, 0)</f>
        <v>0.33428046130703665</v>
      </c>
      <c r="R102" s="30">
        <f t="shared" si="54"/>
        <v>5780.5008675050576</v>
      </c>
      <c r="S102">
        <v>0</v>
      </c>
      <c r="T102" s="76">
        <f>$R102*HLOOKUP(T$77,'Conversions and Lookups'!$B$76:$AE$78, 3, 0)</f>
        <v>1.5166008014098098</v>
      </c>
      <c r="U102" s="76">
        <f>$R102*HLOOKUP(U$77,'Conversions and Lookups'!$B$76:$AE$78, 3, 0)</f>
        <v>1.3886883057719426</v>
      </c>
      <c r="V102" s="76">
        <f>$R102*HLOOKUP(V$77,'Conversions and Lookups'!$B$76:$AE$78, 3, 0)</f>
        <v>1.3427088918675358</v>
      </c>
      <c r="W102" s="76">
        <f>$R102*HLOOKUP(W$77,'Conversions and Lookups'!$B$76:$AE$78, 3, 0)</f>
        <v>1.140176416561439</v>
      </c>
      <c r="X102" s="76">
        <f>$R102*HLOOKUP(X$77,'Conversions and Lookups'!$B$76:$AE$78, 3, 0)</f>
        <v>1.0677278721136414</v>
      </c>
      <c r="Y102" s="76">
        <f>$R102*HLOOKUP(Y$77,'Conversions and Lookups'!$B$76:$AE$78, 3, 0)</f>
        <v>1.000863858828867</v>
      </c>
      <c r="Z102" s="76">
        <f>$R102*HLOOKUP(Z$77,'Conversions and Lookups'!$B$76:$AE$78, 3, 0)</f>
        <v>0.99945849160211397</v>
      </c>
      <c r="AA102" s="76">
        <f>$R102*HLOOKUP(AA$77,'Conversions and Lookups'!$B$76:$AE$78, 3, 0)</f>
        <v>0.9851469560519136</v>
      </c>
      <c r="AB102" s="76">
        <f>$R102*HLOOKUP(AB$77,'Conversions and Lookups'!$B$76:$AE$78, 3, 0)</f>
        <v>0.85320225434339925</v>
      </c>
      <c r="AC102" s="76">
        <f>$R102*HLOOKUP(AC$77,'Conversions and Lookups'!$B$76:$AE$78, 3, 0)</f>
        <v>0.79615786052573057</v>
      </c>
      <c r="AD102" s="76">
        <f>$R102*HLOOKUP(AD$77,'Conversions and Lookups'!$B$76:$AE$78, 3, 0)</f>
        <v>0.78702787679643438</v>
      </c>
      <c r="AE102" s="76">
        <f>$R102*HLOOKUP(AE$77,'Conversions and Lookups'!$B$76:$AE$78, 3, 0)</f>
        <v>0.78577217000829291</v>
      </c>
      <c r="AF102" s="76">
        <v>0</v>
      </c>
      <c r="AG102" s="76">
        <v>0</v>
      </c>
      <c r="AH102" s="76">
        <v>0</v>
      </c>
      <c r="AI102" s="76">
        <v>0</v>
      </c>
      <c r="AJ102" s="76">
        <v>0</v>
      </c>
      <c r="AK102" s="76">
        <v>0</v>
      </c>
      <c r="AL102" s="76">
        <v>0</v>
      </c>
      <c r="AM102" s="76">
        <v>0</v>
      </c>
      <c r="AN102" s="76">
        <v>0</v>
      </c>
      <c r="AO102" s="76">
        <v>0</v>
      </c>
      <c r="AP102" s="76">
        <v>0</v>
      </c>
      <c r="AQ102" s="76">
        <v>0</v>
      </c>
      <c r="AR102" s="77">
        <v>0</v>
      </c>
      <c r="AT102" s="82">
        <f>SUMIFS('Conversions and Lookups'!$F$58:$F$72,'Conversions and Lookups'!$G$58:$G$72,'Measure 2'!AT$77,'Conversions and Lookups'!$C$58:$C$72,'Measure 2'!$C102)*'Measure 2'!$F102</f>
        <v>58603.836321684124</v>
      </c>
      <c r="AU102" s="30">
        <f>SUMIFS('Conversions and Lookups'!$F$58:$F$72,'Conversions and Lookups'!$G$58:$G$72,'Measure 2'!AU$77,'Conversions and Lookups'!$C$58:$C$72,'Measure 2'!$C102)*'Measure 2'!$F102</f>
        <v>1504.4360460272999</v>
      </c>
      <c r="AV102" s="83">
        <f>SUMIFS('Conversions and Lookups'!$F$58:$F$72,'Conversions and Lookups'!$G$58:$G$72,'Measure 2'!AV$77,'Conversions and Lookups'!$C$58:$C$72,'Measure 2'!$C102)*'Measure 2'!$F102</f>
        <v>34.58473669028276</v>
      </c>
    </row>
    <row r="103" spans="2:48" x14ac:dyDescent="0.35">
      <c r="B103" s="57" t="s">
        <v>64</v>
      </c>
      <c r="C103" s="58" t="s">
        <v>212</v>
      </c>
      <c r="D103" s="58">
        <v>1</v>
      </c>
      <c r="E103" s="59">
        <v>8646.184172570689</v>
      </c>
      <c r="F103" s="59">
        <f t="shared" si="49"/>
        <v>8646.184172570689</v>
      </c>
      <c r="G103" s="58" t="s">
        <v>278</v>
      </c>
      <c r="H103" s="60">
        <f>VLOOKUP($C103,'Conversions and Lookups'!$B$30:$E$36, 3, 0)</f>
        <v>27.5</v>
      </c>
      <c r="I103" s="61">
        <f t="shared" si="50"/>
        <v>314.40669718438869</v>
      </c>
      <c r="J103" s="62">
        <f>I103*VLOOKUP($G103,'Conversions and Lookups'!$B$41:$D$43,3, 0)</f>
        <v>2.7604908012789324</v>
      </c>
      <c r="K103" s="63">
        <f>$F103*VLOOKUP($C103,'Conversions and Lookups'!$C$47:$G$52, 4, 0)</f>
        <v>1.2346750998430945E-3</v>
      </c>
      <c r="L103" s="64">
        <f>$F103*VLOOKUP($C103,'Conversions and Lookups'!$C$47:$G$52, 5, 0)</f>
        <v>3.2077343280237252E-3</v>
      </c>
      <c r="M103" s="62">
        <f t="shared" si="51"/>
        <v>2.7649332107067992</v>
      </c>
      <c r="N103" s="62">
        <f t="shared" si="52"/>
        <v>13.824666053533996</v>
      </c>
      <c r="O103" s="65">
        <f t="shared" si="53"/>
        <v>33.179198528481592</v>
      </c>
      <c r="P103" s="31"/>
      <c r="Q103" s="75">
        <f>VLOOKUP($C103,'Conversions and Lookups'!$B$30:$E$36, 4, 0)</f>
        <v>0.33428046130703665</v>
      </c>
      <c r="R103" s="30">
        <f t="shared" si="54"/>
        <v>2890.2504337525288</v>
      </c>
      <c r="S103">
        <v>0</v>
      </c>
      <c r="T103" s="76">
        <f>$R103*HLOOKUP(T$77,'Conversions and Lookups'!$B$76:$AE$78, 3, 0)</f>
        <v>0.7583004007049049</v>
      </c>
      <c r="U103" s="76">
        <f>$R103*HLOOKUP(U$77,'Conversions and Lookups'!$B$76:$AE$78, 3, 0)</f>
        <v>0.69434415288597129</v>
      </c>
      <c r="V103" s="76">
        <f>$R103*HLOOKUP(V$77,'Conversions and Lookups'!$B$76:$AE$78, 3, 0)</f>
        <v>0.67135444593376792</v>
      </c>
      <c r="W103" s="76">
        <f>$R103*HLOOKUP(W$77,'Conversions and Lookups'!$B$76:$AE$78, 3, 0)</f>
        <v>0.57008820828071949</v>
      </c>
      <c r="X103" s="76">
        <f>$R103*HLOOKUP(X$77,'Conversions and Lookups'!$B$76:$AE$78, 3, 0)</f>
        <v>0.5338639360568207</v>
      </c>
      <c r="Y103" s="76">
        <f>$R103*HLOOKUP(Y$77,'Conversions and Lookups'!$B$76:$AE$78, 3, 0)</f>
        <v>0.50043192941443349</v>
      </c>
      <c r="Z103" s="76">
        <f>$R103*HLOOKUP(Z$77,'Conversions and Lookups'!$B$76:$AE$78, 3, 0)</f>
        <v>0.49972924580105699</v>
      </c>
      <c r="AA103" s="76">
        <f>$R103*HLOOKUP(AA$77,'Conversions and Lookups'!$B$76:$AE$78, 3, 0)</f>
        <v>0.4925734780259568</v>
      </c>
      <c r="AB103" s="76">
        <f>$R103*HLOOKUP(AB$77,'Conversions and Lookups'!$B$76:$AE$78, 3, 0)</f>
        <v>0.42660112717169962</v>
      </c>
      <c r="AC103" s="76">
        <f>$R103*HLOOKUP(AC$77,'Conversions and Lookups'!$B$76:$AE$78, 3, 0)</f>
        <v>0.39807893026286528</v>
      </c>
      <c r="AD103" s="76">
        <f>$R103*HLOOKUP(AD$77,'Conversions and Lookups'!$B$76:$AE$78, 3, 0)</f>
        <v>0.39351393839821719</v>
      </c>
      <c r="AE103" s="76">
        <f>$R103*HLOOKUP(AE$77,'Conversions and Lookups'!$B$76:$AE$78, 3, 0)</f>
        <v>0.39288608500414646</v>
      </c>
      <c r="AF103" s="76">
        <v>0</v>
      </c>
      <c r="AG103" s="76">
        <v>0</v>
      </c>
      <c r="AH103" s="76">
        <v>0</v>
      </c>
      <c r="AI103" s="76">
        <v>0</v>
      </c>
      <c r="AJ103" s="76">
        <v>0</v>
      </c>
      <c r="AK103" s="76">
        <v>0</v>
      </c>
      <c r="AL103" s="76">
        <v>0</v>
      </c>
      <c r="AM103" s="76">
        <v>0</v>
      </c>
      <c r="AN103" s="76">
        <v>0</v>
      </c>
      <c r="AO103" s="76">
        <v>0</v>
      </c>
      <c r="AP103" s="76">
        <v>0</v>
      </c>
      <c r="AQ103" s="76">
        <v>0</v>
      </c>
      <c r="AR103" s="77">
        <v>0</v>
      </c>
      <c r="AT103" s="82">
        <f>SUMIFS('Conversions and Lookups'!$F$58:$F$72,'Conversions and Lookups'!$G$58:$G$72,'Measure 2'!AT$77,'Conversions and Lookups'!$C$58:$C$72,'Measure 2'!$C103)*'Measure 2'!$F103</f>
        <v>29301.918160842062</v>
      </c>
      <c r="AU103" s="30">
        <f>SUMIFS('Conversions and Lookups'!$F$58:$F$72,'Conversions and Lookups'!$G$58:$G$72,'Measure 2'!AU$77,'Conversions and Lookups'!$C$58:$C$72,'Measure 2'!$C103)*'Measure 2'!$F103</f>
        <v>752.21802301364994</v>
      </c>
      <c r="AV103" s="83">
        <f>SUMIFS('Conversions and Lookups'!$F$58:$F$72,'Conversions and Lookups'!$G$58:$G$72,'Measure 2'!AV$77,'Conversions and Lookups'!$C$58:$C$72,'Measure 2'!$C103)*'Measure 2'!$F103</f>
        <v>17.29236834514138</v>
      </c>
    </row>
    <row r="104" spans="2:48" x14ac:dyDescent="0.35">
      <c r="B104" s="57" t="s">
        <v>64</v>
      </c>
      <c r="C104" s="58" t="s">
        <v>222</v>
      </c>
      <c r="D104" s="58">
        <v>1</v>
      </c>
      <c r="E104" s="59">
        <v>9557.5524831531493</v>
      </c>
      <c r="F104" s="59">
        <f t="shared" si="49"/>
        <v>9557.5524831531493</v>
      </c>
      <c r="G104" s="58" t="s">
        <v>279</v>
      </c>
      <c r="H104" s="60">
        <f>VLOOKUP($C104,'Conversions and Lookups'!$B$30:$E$36, 3, 0)</f>
        <v>20.9</v>
      </c>
      <c r="I104" s="61">
        <f t="shared" si="50"/>
        <v>457.29916187335647</v>
      </c>
      <c r="J104" s="62">
        <f>I104*VLOOKUP($G104,'Conversions and Lookups'!$B$41:$D$43,3, 0)</f>
        <v>4.66902444272697</v>
      </c>
      <c r="K104" s="63">
        <f>$F104*VLOOKUP($C104,'Conversions and Lookups'!$C$47:$G$52, 4, 0)</f>
        <v>2.1141306092734764E-3</v>
      </c>
      <c r="L104" s="64">
        <f>$F104*VLOOKUP($C104,'Conversions and Lookups'!$C$47:$G$52, 5, 0)</f>
        <v>3.0393016896427009E-3</v>
      </c>
      <c r="M104" s="62">
        <f t="shared" si="51"/>
        <v>4.6741778750258858</v>
      </c>
      <c r="N104" s="62">
        <f t="shared" si="52"/>
        <v>23.37088937512943</v>
      </c>
      <c r="O104" s="65">
        <f t="shared" si="53"/>
        <v>56.090134500310626</v>
      </c>
      <c r="P104" s="31"/>
      <c r="Q104" s="75">
        <f>VLOOKUP($C104,'Conversions and Lookups'!$B$30:$E$36, 4, 0)</f>
        <v>0.43888523151195957</v>
      </c>
      <c r="R104" s="30">
        <f t="shared" si="54"/>
        <v>4194.6686342563744</v>
      </c>
      <c r="S104">
        <v>0</v>
      </c>
      <c r="T104" s="76">
        <f>$R104*HLOOKUP(T$77,'Conversions and Lookups'!$B$76:$AE$78, 3, 0)</f>
        <v>1.1005340122209131</v>
      </c>
      <c r="U104" s="76">
        <f>$R104*HLOOKUP(U$77,'Conversions and Lookups'!$B$76:$AE$78, 3, 0)</f>
        <v>1.0077132436266512</v>
      </c>
      <c r="V104" s="76">
        <f>$R104*HLOOKUP(V$77,'Conversions and Lookups'!$B$76:$AE$78, 3, 0)</f>
        <v>0.97434789869425764</v>
      </c>
      <c r="W104" s="76">
        <f>$R104*HLOOKUP(W$77,'Conversions and Lookups'!$B$76:$AE$78, 3, 0)</f>
        <v>0.82737851990555278</v>
      </c>
      <c r="X104" s="76">
        <f>$R104*HLOOKUP(X$77,'Conversions and Lookups'!$B$76:$AE$78, 3, 0)</f>
        <v>0.77480562977745704</v>
      </c>
      <c r="Y104" s="76">
        <f>$R104*HLOOKUP(Y$77,'Conversions and Lookups'!$B$76:$AE$78, 3, 0)</f>
        <v>0.72628520123417739</v>
      </c>
      <c r="Z104" s="76">
        <f>$R104*HLOOKUP(Z$77,'Conversions and Lookups'!$B$76:$AE$78, 3, 0)</f>
        <v>0.72526538479252423</v>
      </c>
      <c r="AA104" s="76">
        <f>$R104*HLOOKUP(AA$77,'Conversions and Lookups'!$B$76:$AE$78, 3, 0)</f>
        <v>0.71488009973566347</v>
      </c>
      <c r="AB104" s="76">
        <f>$R104*HLOOKUP(AB$77,'Conversions and Lookups'!$B$76:$AE$78, 3, 0)</f>
        <v>0.6191333271983035</v>
      </c>
      <c r="AC104" s="76">
        <f>$R104*HLOOKUP(AC$77,'Conversions and Lookups'!$B$76:$AE$78, 3, 0)</f>
        <v>0.57773858736662864</v>
      </c>
      <c r="AD104" s="76">
        <f>$R104*HLOOKUP(AD$77,'Conversions and Lookups'!$B$76:$AE$78, 3, 0)</f>
        <v>0.57111333857619295</v>
      </c>
      <c r="AE104" s="76">
        <f>$R104*HLOOKUP(AE$77,'Conversions and Lookups'!$B$76:$AE$78, 3, 0)</f>
        <v>0.57020212447921925</v>
      </c>
      <c r="AF104" s="76">
        <v>0</v>
      </c>
      <c r="AG104" s="76">
        <v>0</v>
      </c>
      <c r="AH104" s="76">
        <v>0</v>
      </c>
      <c r="AI104" s="76">
        <v>0</v>
      </c>
      <c r="AJ104" s="76">
        <v>0</v>
      </c>
      <c r="AK104" s="76">
        <v>0</v>
      </c>
      <c r="AL104" s="76">
        <v>0</v>
      </c>
      <c r="AM104" s="76">
        <v>0</v>
      </c>
      <c r="AN104" s="76">
        <v>0</v>
      </c>
      <c r="AO104" s="76">
        <v>0</v>
      </c>
      <c r="AP104" s="76">
        <v>0</v>
      </c>
      <c r="AQ104" s="76">
        <v>0</v>
      </c>
      <c r="AR104" s="77">
        <v>0</v>
      </c>
      <c r="AT104" s="82">
        <f>SUMIFS('Conversions and Lookups'!$F$58:$F$72,'Conversions and Lookups'!$G$58:$G$72,'Measure 2'!AT$77,'Conversions and Lookups'!$C$58:$C$72,'Measure 2'!$C104)*'Measure 2'!$F104</f>
        <v>28968.941576437195</v>
      </c>
      <c r="AU104" s="30">
        <f>SUMIFS('Conversions and Lookups'!$F$58:$F$72,'Conversions and Lookups'!$G$58:$G$72,'Measure 2'!AU$77,'Conversions and Lookups'!$C$58:$C$72,'Measure 2'!$C104)*'Measure 2'!$F104</f>
        <v>1175.5789554278374</v>
      </c>
      <c r="AV104" s="83">
        <f>SUMIFS('Conversions and Lookups'!$F$58:$F$72,'Conversions and Lookups'!$G$58:$G$72,'Measure 2'!AV$77,'Conversions and Lookups'!$C$58:$C$72,'Measure 2'!$C104)*'Measure 2'!$F104</f>
        <v>19.115104966306298</v>
      </c>
    </row>
    <row r="105" spans="2:48" x14ac:dyDescent="0.35">
      <c r="B105" s="57" t="s">
        <v>64</v>
      </c>
      <c r="C105" s="58" t="s">
        <v>219</v>
      </c>
      <c r="D105" s="58">
        <v>1</v>
      </c>
      <c r="E105" s="59">
        <v>11084.519142954545</v>
      </c>
      <c r="F105" s="59">
        <f t="shared" si="49"/>
        <v>11084.519142954545</v>
      </c>
      <c r="G105" s="58" t="s">
        <v>279</v>
      </c>
      <c r="H105" s="60">
        <f>VLOOKUP($C105,'Conversions and Lookups'!$B$30:$E$36, 3, 0)</f>
        <v>10.38961038961039</v>
      </c>
      <c r="I105" s="61">
        <f t="shared" si="50"/>
        <v>1066.884967509375</v>
      </c>
      <c r="J105" s="62">
        <f>I105*VLOOKUP($G105,'Conversions and Lookups'!$B$41:$D$43,3, 0)</f>
        <v>10.892895518270718</v>
      </c>
      <c r="K105" s="63">
        <f>$F105*VLOOKUP($C105,'Conversions and Lookups'!$C$47:$G$52, 4, 0)</f>
        <v>9.0006295440790904E-3</v>
      </c>
      <c r="L105" s="64">
        <f>$F105*VLOOKUP($C105,'Conversions and Lookups'!$C$47:$G$52, 5, 0)</f>
        <v>6.2860308059695225E-2</v>
      </c>
      <c r="M105" s="62">
        <f t="shared" si="51"/>
        <v>10.964756455874493</v>
      </c>
      <c r="N105" s="62">
        <f t="shared" si="52"/>
        <v>54.823782279372466</v>
      </c>
      <c r="O105" s="65">
        <f t="shared" si="53"/>
        <v>131.57707747049392</v>
      </c>
      <c r="P105" s="31"/>
      <c r="Q105" s="75">
        <f>VLOOKUP($C105,'Conversions and Lookups'!$B$30:$E$36, 4, 0)</f>
        <v>0.94046835323991351</v>
      </c>
      <c r="R105" s="30">
        <f t="shared" si="54"/>
        <v>10424.639464830758</v>
      </c>
      <c r="S105">
        <v>0</v>
      </c>
      <c r="T105" s="76">
        <f>$R105*HLOOKUP(T$77,'Conversions and Lookups'!$B$76:$AE$78, 3, 0)</f>
        <v>2.7350599764885901</v>
      </c>
      <c r="U105" s="76">
        <f>$R105*HLOOKUP(U$77,'Conversions and Lookups'!$B$76:$AE$78, 3, 0)</f>
        <v>2.5043807186465212</v>
      </c>
      <c r="V105" s="76">
        <f>$R105*HLOOKUP(V$77,'Conversions and Lookups'!$B$76:$AE$78, 3, 0)</f>
        <v>2.421460773862472</v>
      </c>
      <c r="W105" s="76">
        <f>$R105*HLOOKUP(W$77,'Conversions and Lookups'!$B$76:$AE$78, 3, 0)</f>
        <v>2.0562107577514848</v>
      </c>
      <c r="X105" s="76">
        <f>$R105*HLOOKUP(X$77,'Conversions and Lookups'!$B$76:$AE$78, 3, 0)</f>
        <v>1.925555997388819</v>
      </c>
      <c r="Y105" s="76">
        <f>$R105*HLOOKUP(Y$77,'Conversions and Lookups'!$B$76:$AE$78, 3, 0)</f>
        <v>1.8049724618713723</v>
      </c>
      <c r="Z105" s="76">
        <f>$R105*HLOOKUP(Z$77,'Conversions and Lookups'!$B$76:$AE$78, 3, 0)</f>
        <v>1.8024380021436788</v>
      </c>
      <c r="AA105" s="76">
        <f>$R105*HLOOKUP(AA$77,'Conversions and Lookups'!$B$76:$AE$78, 3, 0)</f>
        <v>1.7766283704666679</v>
      </c>
      <c r="AB105" s="76">
        <f>$R105*HLOOKUP(AB$77,'Conversions and Lookups'!$B$76:$AE$78, 3, 0)</f>
        <v>1.5386773734625665</v>
      </c>
      <c r="AC105" s="76">
        <f>$R105*HLOOKUP(AC$77,'Conversions and Lookups'!$B$76:$AE$78, 3, 0)</f>
        <v>1.4358026827273878</v>
      </c>
      <c r="AD105" s="76">
        <f>$R105*HLOOKUP(AD$77,'Conversions and Lookups'!$B$76:$AE$78, 3, 0)</f>
        <v>1.4193375370801102</v>
      </c>
      <c r="AE105" s="76">
        <f>$R105*HLOOKUP(AE$77,'Conversions and Lookups'!$B$76:$AE$78, 3, 0)</f>
        <v>1.4170729771674042</v>
      </c>
      <c r="AF105" s="76">
        <v>0</v>
      </c>
      <c r="AG105" s="76">
        <v>0</v>
      </c>
      <c r="AH105" s="76">
        <v>0</v>
      </c>
      <c r="AI105" s="76">
        <v>0</v>
      </c>
      <c r="AJ105" s="76">
        <v>0</v>
      </c>
      <c r="AK105" s="76">
        <v>0</v>
      </c>
      <c r="AL105" s="76">
        <v>0</v>
      </c>
      <c r="AM105" s="76">
        <v>0</v>
      </c>
      <c r="AN105" s="76">
        <v>0</v>
      </c>
      <c r="AO105" s="76">
        <v>0</v>
      </c>
      <c r="AP105" s="76">
        <v>0</v>
      </c>
      <c r="AQ105" s="76">
        <v>0</v>
      </c>
      <c r="AR105" s="77">
        <v>0</v>
      </c>
      <c r="AT105" s="82">
        <f>SUMIFS('Conversions and Lookups'!$F$58:$F$72,'Conversions and Lookups'!$G$58:$G$72,'Measure 2'!AT$77,'Conversions and Lookups'!$C$58:$C$72,'Measure 2'!$C105)*'Measure 2'!$F105</f>
        <v>17834.991301013863</v>
      </c>
      <c r="AU105" s="30">
        <f>SUMIFS('Conversions and Lookups'!$F$58:$F$72,'Conversions and Lookups'!$G$58:$G$72,'Measure 2'!AU$77,'Conversions and Lookups'!$C$58:$C$72,'Measure 2'!$C105)*'Measure 2'!$F105</f>
        <v>12802.619610112499</v>
      </c>
      <c r="AV105" s="83">
        <f>SUMIFS('Conversions and Lookups'!$F$58:$F$72,'Conversions and Lookups'!$G$58:$G$72,'Measure 2'!AV$77,'Conversions and Lookups'!$C$58:$C$72,'Measure 2'!$C105)*'Measure 2'!$F105</f>
        <v>576.39499543363627</v>
      </c>
    </row>
    <row r="106" spans="2:48" x14ac:dyDescent="0.35">
      <c r="B106" s="57" t="s">
        <v>64</v>
      </c>
      <c r="C106" s="58" t="s">
        <v>219</v>
      </c>
      <c r="D106" s="58">
        <v>1</v>
      </c>
      <c r="E106" s="59">
        <v>11084.519142954545</v>
      </c>
      <c r="F106" s="59">
        <f t="shared" si="49"/>
        <v>11084.519142954545</v>
      </c>
      <c r="G106" s="58" t="s">
        <v>279</v>
      </c>
      <c r="H106" s="60">
        <f>VLOOKUP($C106,'Conversions and Lookups'!$B$30:$E$36, 3, 0)</f>
        <v>10.38961038961039</v>
      </c>
      <c r="I106" s="61">
        <f t="shared" si="50"/>
        <v>1066.884967509375</v>
      </c>
      <c r="J106" s="62">
        <f>I106*VLOOKUP($G106,'Conversions and Lookups'!$B$41:$D$43,3, 0)</f>
        <v>10.892895518270718</v>
      </c>
      <c r="K106" s="63">
        <f>$F106*VLOOKUP($C106,'Conversions and Lookups'!$C$47:$G$52, 4, 0)</f>
        <v>9.0006295440790904E-3</v>
      </c>
      <c r="L106" s="64">
        <f>$F106*VLOOKUP($C106,'Conversions and Lookups'!$C$47:$G$52, 5, 0)</f>
        <v>6.2860308059695225E-2</v>
      </c>
      <c r="M106" s="62">
        <f t="shared" si="51"/>
        <v>10.964756455874493</v>
      </c>
      <c r="N106" s="62">
        <f t="shared" si="52"/>
        <v>54.823782279372466</v>
      </c>
      <c r="O106" s="65">
        <f t="shared" si="53"/>
        <v>131.57707747049392</v>
      </c>
      <c r="P106" s="31"/>
      <c r="Q106" s="75">
        <f>VLOOKUP($C106,'Conversions and Lookups'!$B$30:$E$36, 4, 0)</f>
        <v>0.94046835323991351</v>
      </c>
      <c r="R106" s="30">
        <f t="shared" si="54"/>
        <v>10424.639464830758</v>
      </c>
      <c r="S106">
        <v>0</v>
      </c>
      <c r="T106" s="76">
        <f>$R106*HLOOKUP(T$77,'Conversions and Lookups'!$B$76:$AE$78, 3, 0)</f>
        <v>2.7350599764885901</v>
      </c>
      <c r="U106" s="76">
        <f>$R106*HLOOKUP(U$77,'Conversions and Lookups'!$B$76:$AE$78, 3, 0)</f>
        <v>2.5043807186465212</v>
      </c>
      <c r="V106" s="76">
        <f>$R106*HLOOKUP(V$77,'Conversions and Lookups'!$B$76:$AE$78, 3, 0)</f>
        <v>2.421460773862472</v>
      </c>
      <c r="W106" s="76">
        <f>$R106*HLOOKUP(W$77,'Conversions and Lookups'!$B$76:$AE$78, 3, 0)</f>
        <v>2.0562107577514848</v>
      </c>
      <c r="X106" s="76">
        <f>$R106*HLOOKUP(X$77,'Conversions and Lookups'!$B$76:$AE$78, 3, 0)</f>
        <v>1.925555997388819</v>
      </c>
      <c r="Y106" s="76">
        <f>$R106*HLOOKUP(Y$77,'Conversions and Lookups'!$B$76:$AE$78, 3, 0)</f>
        <v>1.8049724618713723</v>
      </c>
      <c r="Z106" s="76">
        <f>$R106*HLOOKUP(Z$77,'Conversions and Lookups'!$B$76:$AE$78, 3, 0)</f>
        <v>1.8024380021436788</v>
      </c>
      <c r="AA106" s="76">
        <f>$R106*HLOOKUP(AA$77,'Conversions and Lookups'!$B$76:$AE$78, 3, 0)</f>
        <v>1.7766283704666679</v>
      </c>
      <c r="AB106" s="76">
        <f>$R106*HLOOKUP(AB$77,'Conversions and Lookups'!$B$76:$AE$78, 3, 0)</f>
        <v>1.5386773734625665</v>
      </c>
      <c r="AC106" s="76">
        <f>$R106*HLOOKUP(AC$77,'Conversions and Lookups'!$B$76:$AE$78, 3, 0)</f>
        <v>1.4358026827273878</v>
      </c>
      <c r="AD106" s="76">
        <f>$R106*HLOOKUP(AD$77,'Conversions and Lookups'!$B$76:$AE$78, 3, 0)</f>
        <v>1.4193375370801102</v>
      </c>
      <c r="AE106" s="76">
        <f>$R106*HLOOKUP(AE$77,'Conversions and Lookups'!$B$76:$AE$78, 3, 0)</f>
        <v>1.4170729771674042</v>
      </c>
      <c r="AF106" s="76">
        <v>0</v>
      </c>
      <c r="AG106" s="76">
        <v>0</v>
      </c>
      <c r="AH106" s="76">
        <v>0</v>
      </c>
      <c r="AI106" s="76">
        <v>0</v>
      </c>
      <c r="AJ106" s="76">
        <v>0</v>
      </c>
      <c r="AK106" s="76">
        <v>0</v>
      </c>
      <c r="AL106" s="76">
        <v>0</v>
      </c>
      <c r="AM106" s="76">
        <v>0</v>
      </c>
      <c r="AN106" s="76">
        <v>0</v>
      </c>
      <c r="AO106" s="76">
        <v>0</v>
      </c>
      <c r="AP106" s="76">
        <v>0</v>
      </c>
      <c r="AQ106" s="76">
        <v>0</v>
      </c>
      <c r="AR106" s="77">
        <v>0</v>
      </c>
      <c r="AT106" s="82">
        <f>SUMIFS('Conversions and Lookups'!$F$58:$F$72,'Conversions and Lookups'!$G$58:$G$72,'Measure 2'!AT$77,'Conversions and Lookups'!$C$58:$C$72,'Measure 2'!$C106)*'Measure 2'!$F106</f>
        <v>17834.991301013863</v>
      </c>
      <c r="AU106" s="30">
        <f>SUMIFS('Conversions and Lookups'!$F$58:$F$72,'Conversions and Lookups'!$G$58:$G$72,'Measure 2'!AU$77,'Conversions and Lookups'!$C$58:$C$72,'Measure 2'!$C106)*'Measure 2'!$F106</f>
        <v>12802.619610112499</v>
      </c>
      <c r="AV106" s="83">
        <f>SUMIFS('Conversions and Lookups'!$F$58:$F$72,'Conversions and Lookups'!$G$58:$G$72,'Measure 2'!AV$77,'Conversions and Lookups'!$C$58:$C$72,'Measure 2'!$C106)*'Measure 2'!$F106</f>
        <v>576.39499543363627</v>
      </c>
    </row>
    <row r="107" spans="2:48" x14ac:dyDescent="0.35">
      <c r="B107" s="57" t="s">
        <v>64</v>
      </c>
      <c r="C107" s="58" t="s">
        <v>214</v>
      </c>
      <c r="D107" s="58">
        <v>4</v>
      </c>
      <c r="E107" s="59">
        <v>5745.0145382258061</v>
      </c>
      <c r="F107" s="59">
        <f t="shared" si="49"/>
        <v>22980.058152903224</v>
      </c>
      <c r="G107" s="58" t="s">
        <v>278</v>
      </c>
      <c r="H107" s="60">
        <f>VLOOKUP($C107,'Conversions and Lookups'!$B$30:$E$36, 3, 0)</f>
        <v>15.064935064935064</v>
      </c>
      <c r="I107" s="61">
        <f t="shared" si="50"/>
        <v>1525.4004118737487</v>
      </c>
      <c r="J107" s="62">
        <f>I107*VLOOKUP($G107,'Conversions and Lookups'!$B$41:$D$43,3, 0)</f>
        <v>13.393015616251512</v>
      </c>
      <c r="K107" s="63">
        <f>$F107*VLOOKUP($C107,'Conversions and Lookups'!$C$47:$G$52, 4, 0)</f>
        <v>1.8659807220157417E-2</v>
      </c>
      <c r="L107" s="64">
        <f>$F107*VLOOKUP($C107,'Conversions and Lookups'!$C$47:$G$52, 5, 0)</f>
        <v>0.13031990978511418</v>
      </c>
      <c r="M107" s="62">
        <f t="shared" si="51"/>
        <v>13.541995333256784</v>
      </c>
      <c r="N107" s="62">
        <f t="shared" si="52"/>
        <v>67.709976666283922</v>
      </c>
      <c r="O107" s="65">
        <f t="shared" si="53"/>
        <v>162.5039439990814</v>
      </c>
      <c r="P107" s="31"/>
      <c r="Q107" s="75">
        <f>VLOOKUP($C107,'Conversions and Lookups'!$B$30:$E$36, 4, 0)</f>
        <v>0.64775229952066338</v>
      </c>
      <c r="R107" s="30">
        <f t="shared" si="54"/>
        <v>14885.385511661632</v>
      </c>
      <c r="S107">
        <v>0</v>
      </c>
      <c r="T107" s="76">
        <f>$R107*HLOOKUP(T$77,'Conversions and Lookups'!$B$76:$AE$78, 3, 0)</f>
        <v>3.9054033748504149</v>
      </c>
      <c r="U107" s="76">
        <f>$R107*HLOOKUP(U$77,'Conversions and Lookups'!$B$76:$AE$78, 3, 0)</f>
        <v>3.5760155150488826</v>
      </c>
      <c r="V107" s="76">
        <f>$R107*HLOOKUP(V$77,'Conversions and Lookups'!$B$76:$AE$78, 3, 0)</f>
        <v>3.457613785293109</v>
      </c>
      <c r="W107" s="76">
        <f>$R107*HLOOKUP(W$77,'Conversions and Lookups'!$B$76:$AE$78, 3, 0)</f>
        <v>2.9360717870019544</v>
      </c>
      <c r="X107" s="76">
        <f>$R107*HLOOKUP(X$77,'Conversions and Lookups'!$B$76:$AE$78, 3, 0)</f>
        <v>2.7495093180078647</v>
      </c>
      <c r="Y107" s="76">
        <f>$R107*HLOOKUP(Y$77,'Conversions and Lookups'!$B$76:$AE$78, 3, 0)</f>
        <v>2.5773275923384218</v>
      </c>
      <c r="Z107" s="76">
        <f>$R107*HLOOKUP(Z$77,'Conversions and Lookups'!$B$76:$AE$78, 3, 0)</f>
        <v>2.5737086268828038</v>
      </c>
      <c r="AA107" s="76">
        <f>$R107*HLOOKUP(AA$77,'Conversions and Lookups'!$B$76:$AE$78, 3, 0)</f>
        <v>2.5368549477965949</v>
      </c>
      <c r="AB107" s="76">
        <f>$R107*HLOOKUP(AB$77,'Conversions and Lookups'!$B$76:$AE$78, 3, 0)</f>
        <v>2.1970837417764932</v>
      </c>
      <c r="AC107" s="76">
        <f>$R107*HLOOKUP(AC$77,'Conversions and Lookups'!$B$76:$AE$78, 3, 0)</f>
        <v>2.0501885483117892</v>
      </c>
      <c r="AD107" s="76">
        <f>$R107*HLOOKUP(AD$77,'Conversions and Lookups'!$B$76:$AE$78, 3, 0)</f>
        <v>2.0266778992104717</v>
      </c>
      <c r="AE107" s="76">
        <f>$R107*HLOOKUP(AE$77,'Conversions and Lookups'!$B$76:$AE$78, 3, 0)</f>
        <v>2.0234443248093035</v>
      </c>
      <c r="AF107" s="76">
        <v>0</v>
      </c>
      <c r="AG107" s="76">
        <v>0</v>
      </c>
      <c r="AH107" s="76">
        <v>0</v>
      </c>
      <c r="AI107" s="76">
        <v>0</v>
      </c>
      <c r="AJ107" s="76">
        <v>0</v>
      </c>
      <c r="AK107" s="76">
        <v>0</v>
      </c>
      <c r="AL107" s="76">
        <v>0</v>
      </c>
      <c r="AM107" s="76">
        <v>0</v>
      </c>
      <c r="AN107" s="76">
        <v>0</v>
      </c>
      <c r="AO107" s="76">
        <v>0</v>
      </c>
      <c r="AP107" s="76">
        <v>0</v>
      </c>
      <c r="AQ107" s="76">
        <v>0</v>
      </c>
      <c r="AR107" s="77">
        <v>0</v>
      </c>
      <c r="AT107" s="82">
        <f>SUMIFS('Conversions and Lookups'!$F$58:$F$72,'Conversions and Lookups'!$G$58:$G$72,'Measure 2'!AT$77,'Conversions and Lookups'!$C$58:$C$72,'Measure 2'!$C107)*'Measure 2'!$F107</f>
        <v>36974.913568021286</v>
      </c>
      <c r="AU107" s="30">
        <f>SUMIFS('Conversions and Lookups'!$F$58:$F$72,'Conversions and Lookups'!$G$58:$G$72,'Measure 2'!AU$77,'Conversions and Lookups'!$C$58:$C$72,'Measure 2'!$C107)*'Measure 2'!$F107</f>
        <v>26541.967166603226</v>
      </c>
      <c r="AV107" s="83">
        <f>SUMIFS('Conversions and Lookups'!$F$58:$F$72,'Conversions and Lookups'!$G$58:$G$72,'Measure 2'!AV$77,'Conversions and Lookups'!$C$58:$C$72,'Measure 2'!$C107)*'Measure 2'!$F107</f>
        <v>1194.9630239509677</v>
      </c>
    </row>
    <row r="108" spans="2:48" x14ac:dyDescent="0.35">
      <c r="B108" s="57" t="s">
        <v>64</v>
      </c>
      <c r="C108" s="58" t="s">
        <v>212</v>
      </c>
      <c r="D108" s="58">
        <v>6</v>
      </c>
      <c r="E108" s="59">
        <v>8646.184172570689</v>
      </c>
      <c r="F108" s="59">
        <f t="shared" si="49"/>
        <v>51877.105035424131</v>
      </c>
      <c r="G108" s="58" t="s">
        <v>278</v>
      </c>
      <c r="H108" s="60">
        <f>VLOOKUP($C108,'Conversions and Lookups'!$B$30:$E$36, 3, 0)</f>
        <v>27.5</v>
      </c>
      <c r="I108" s="61">
        <f t="shared" si="50"/>
        <v>1886.4401831063319</v>
      </c>
      <c r="J108" s="62">
        <f>I108*VLOOKUP($G108,'Conversions and Lookups'!$B$41:$D$43,3, 0)</f>
        <v>16.562944807673592</v>
      </c>
      <c r="K108" s="63">
        <f>$F108*VLOOKUP($C108,'Conversions and Lookups'!$C$47:$G$52, 4, 0)</f>
        <v>7.408050599058566E-3</v>
      </c>
      <c r="L108" s="64">
        <f>$F108*VLOOKUP($C108,'Conversions and Lookups'!$C$47:$G$52, 5, 0)</f>
        <v>1.9246405968142352E-2</v>
      </c>
      <c r="M108" s="62">
        <f t="shared" si="51"/>
        <v>16.589599264240793</v>
      </c>
      <c r="N108" s="62">
        <f t="shared" si="52"/>
        <v>82.947996321203959</v>
      </c>
      <c r="O108" s="65">
        <f t="shared" si="53"/>
        <v>199.07519117088952</v>
      </c>
      <c r="P108" s="31"/>
      <c r="Q108" s="75">
        <f>VLOOKUP($C108,'Conversions and Lookups'!$B$30:$E$36, 4, 0)</f>
        <v>0.33428046130703665</v>
      </c>
      <c r="R108" s="30">
        <f t="shared" si="54"/>
        <v>17341.502602515171</v>
      </c>
      <c r="S108">
        <v>0</v>
      </c>
      <c r="T108" s="76">
        <f>$R108*HLOOKUP(T$77,'Conversions and Lookups'!$B$76:$AE$78, 3, 0)</f>
        <v>4.5498024042294292</v>
      </c>
      <c r="U108" s="76">
        <f>$R108*HLOOKUP(U$77,'Conversions and Lookups'!$B$76:$AE$78, 3, 0)</f>
        <v>4.1660649173158273</v>
      </c>
      <c r="V108" s="76">
        <f>$R108*HLOOKUP(V$77,'Conversions and Lookups'!$B$76:$AE$78, 3, 0)</f>
        <v>4.0281266756026071</v>
      </c>
      <c r="W108" s="76">
        <f>$R108*HLOOKUP(W$77,'Conversions and Lookups'!$B$76:$AE$78, 3, 0)</f>
        <v>3.4205292496843165</v>
      </c>
      <c r="X108" s="76">
        <f>$R108*HLOOKUP(X$77,'Conversions and Lookups'!$B$76:$AE$78, 3, 0)</f>
        <v>3.2031836163409237</v>
      </c>
      <c r="Y108" s="76">
        <f>$R108*HLOOKUP(Y$77,'Conversions and Lookups'!$B$76:$AE$78, 3, 0)</f>
        <v>3.0025915764866005</v>
      </c>
      <c r="Z108" s="76">
        <f>$R108*HLOOKUP(Z$77,'Conversions and Lookups'!$B$76:$AE$78, 3, 0)</f>
        <v>2.9983754748063416</v>
      </c>
      <c r="AA108" s="76">
        <f>$R108*HLOOKUP(AA$77,'Conversions and Lookups'!$B$76:$AE$78, 3, 0)</f>
        <v>2.9554408681557405</v>
      </c>
      <c r="AB108" s="76">
        <f>$R108*HLOOKUP(AB$77,'Conversions and Lookups'!$B$76:$AE$78, 3, 0)</f>
        <v>2.5596067630301973</v>
      </c>
      <c r="AC108" s="76">
        <f>$R108*HLOOKUP(AC$77,'Conversions and Lookups'!$B$76:$AE$78, 3, 0)</f>
        <v>2.3884735815771916</v>
      </c>
      <c r="AD108" s="76">
        <f>$R108*HLOOKUP(AD$77,'Conversions and Lookups'!$B$76:$AE$78, 3, 0)</f>
        <v>2.3610836303893028</v>
      </c>
      <c r="AE108" s="76">
        <f>$R108*HLOOKUP(AE$77,'Conversions and Lookups'!$B$76:$AE$78, 3, 0)</f>
        <v>2.3573165100248787</v>
      </c>
      <c r="AF108" s="76">
        <v>0</v>
      </c>
      <c r="AG108" s="76">
        <v>0</v>
      </c>
      <c r="AH108" s="76">
        <v>0</v>
      </c>
      <c r="AI108" s="76">
        <v>0</v>
      </c>
      <c r="AJ108" s="76">
        <v>0</v>
      </c>
      <c r="AK108" s="76">
        <v>0</v>
      </c>
      <c r="AL108" s="76">
        <v>0</v>
      </c>
      <c r="AM108" s="76">
        <v>0</v>
      </c>
      <c r="AN108" s="76">
        <v>0</v>
      </c>
      <c r="AO108" s="76">
        <v>0</v>
      </c>
      <c r="AP108" s="76">
        <v>0</v>
      </c>
      <c r="AQ108" s="76">
        <v>0</v>
      </c>
      <c r="AR108" s="77">
        <v>0</v>
      </c>
      <c r="AT108" s="82">
        <f>SUMIFS('Conversions and Lookups'!$F$58:$F$72,'Conversions and Lookups'!$G$58:$G$72,'Measure 2'!AT$77,'Conversions and Lookups'!$C$58:$C$72,'Measure 2'!$C108)*'Measure 2'!$F108</f>
        <v>175811.50896505237</v>
      </c>
      <c r="AU108" s="30">
        <f>SUMIFS('Conversions and Lookups'!$F$58:$F$72,'Conversions and Lookups'!$G$58:$G$72,'Measure 2'!AU$77,'Conversions and Lookups'!$C$58:$C$72,'Measure 2'!$C108)*'Measure 2'!$F108</f>
        <v>4513.3081380818994</v>
      </c>
      <c r="AV108" s="83">
        <f>SUMIFS('Conversions and Lookups'!$F$58:$F$72,'Conversions and Lookups'!$G$58:$G$72,'Measure 2'!AV$77,'Conversions and Lookups'!$C$58:$C$72,'Measure 2'!$C108)*'Measure 2'!$F108</f>
        <v>103.75421007084826</v>
      </c>
    </row>
    <row r="109" spans="2:48" x14ac:dyDescent="0.35">
      <c r="B109" s="57" t="s">
        <v>64</v>
      </c>
      <c r="C109" s="58" t="s">
        <v>212</v>
      </c>
      <c r="D109" s="58">
        <v>2</v>
      </c>
      <c r="E109" s="59">
        <v>8646.184172570689</v>
      </c>
      <c r="F109" s="59">
        <f t="shared" si="49"/>
        <v>17292.368345141378</v>
      </c>
      <c r="G109" s="58" t="s">
        <v>278</v>
      </c>
      <c r="H109" s="60">
        <f>VLOOKUP($C109,'Conversions and Lookups'!$B$30:$E$36, 3, 0)</f>
        <v>27.5</v>
      </c>
      <c r="I109" s="61">
        <f t="shared" si="50"/>
        <v>628.81339436877738</v>
      </c>
      <c r="J109" s="62">
        <f>I109*VLOOKUP($G109,'Conversions and Lookups'!$B$41:$D$43,3, 0)</f>
        <v>5.5209816025578649</v>
      </c>
      <c r="K109" s="63">
        <f>$F109*VLOOKUP($C109,'Conversions and Lookups'!$C$47:$G$52, 4, 0)</f>
        <v>2.469350199686189E-3</v>
      </c>
      <c r="L109" s="64">
        <f>$F109*VLOOKUP($C109,'Conversions and Lookups'!$C$47:$G$52, 5, 0)</f>
        <v>6.4154686560474504E-3</v>
      </c>
      <c r="M109" s="62">
        <f t="shared" si="51"/>
        <v>5.5298664214135984</v>
      </c>
      <c r="N109" s="62">
        <f t="shared" si="52"/>
        <v>27.649332107067991</v>
      </c>
      <c r="O109" s="65">
        <f t="shared" si="53"/>
        <v>66.358397056963184</v>
      </c>
      <c r="P109" s="31"/>
      <c r="Q109" s="75">
        <f>VLOOKUP($C109,'Conversions and Lookups'!$B$30:$E$36, 4, 0)</f>
        <v>0.33428046130703665</v>
      </c>
      <c r="R109" s="30">
        <f t="shared" si="54"/>
        <v>5780.5008675050576</v>
      </c>
      <c r="S109">
        <v>0</v>
      </c>
      <c r="T109" s="76">
        <f>$R109*HLOOKUP(T$77,'Conversions and Lookups'!$B$76:$AE$78, 3, 0)</f>
        <v>1.5166008014098098</v>
      </c>
      <c r="U109" s="76">
        <f>$R109*HLOOKUP(U$77,'Conversions and Lookups'!$B$76:$AE$78, 3, 0)</f>
        <v>1.3886883057719426</v>
      </c>
      <c r="V109" s="76">
        <f>$R109*HLOOKUP(V$77,'Conversions and Lookups'!$B$76:$AE$78, 3, 0)</f>
        <v>1.3427088918675358</v>
      </c>
      <c r="W109" s="76">
        <f>$R109*HLOOKUP(W$77,'Conversions and Lookups'!$B$76:$AE$78, 3, 0)</f>
        <v>1.140176416561439</v>
      </c>
      <c r="X109" s="76">
        <f>$R109*HLOOKUP(X$77,'Conversions and Lookups'!$B$76:$AE$78, 3, 0)</f>
        <v>1.0677278721136414</v>
      </c>
      <c r="Y109" s="76">
        <f>$R109*HLOOKUP(Y$77,'Conversions and Lookups'!$B$76:$AE$78, 3, 0)</f>
        <v>1.000863858828867</v>
      </c>
      <c r="Z109" s="76">
        <f>$R109*HLOOKUP(Z$77,'Conversions and Lookups'!$B$76:$AE$78, 3, 0)</f>
        <v>0.99945849160211397</v>
      </c>
      <c r="AA109" s="76">
        <f>$R109*HLOOKUP(AA$77,'Conversions and Lookups'!$B$76:$AE$78, 3, 0)</f>
        <v>0.9851469560519136</v>
      </c>
      <c r="AB109" s="76">
        <f>$R109*HLOOKUP(AB$77,'Conversions and Lookups'!$B$76:$AE$78, 3, 0)</f>
        <v>0.85320225434339925</v>
      </c>
      <c r="AC109" s="76">
        <f>$R109*HLOOKUP(AC$77,'Conversions and Lookups'!$B$76:$AE$78, 3, 0)</f>
        <v>0.79615786052573057</v>
      </c>
      <c r="AD109" s="76">
        <f>$R109*HLOOKUP(AD$77,'Conversions and Lookups'!$B$76:$AE$78, 3, 0)</f>
        <v>0.78702787679643438</v>
      </c>
      <c r="AE109" s="76">
        <f>$R109*HLOOKUP(AE$77,'Conversions and Lookups'!$B$76:$AE$78, 3, 0)</f>
        <v>0.78577217000829291</v>
      </c>
      <c r="AF109" s="76">
        <v>0</v>
      </c>
      <c r="AG109" s="76">
        <v>0</v>
      </c>
      <c r="AH109" s="76">
        <v>0</v>
      </c>
      <c r="AI109" s="76">
        <v>0</v>
      </c>
      <c r="AJ109" s="76">
        <v>0</v>
      </c>
      <c r="AK109" s="76">
        <v>0</v>
      </c>
      <c r="AL109" s="76">
        <v>0</v>
      </c>
      <c r="AM109" s="76">
        <v>0</v>
      </c>
      <c r="AN109" s="76">
        <v>0</v>
      </c>
      <c r="AO109" s="76">
        <v>0</v>
      </c>
      <c r="AP109" s="76">
        <v>0</v>
      </c>
      <c r="AQ109" s="76">
        <v>0</v>
      </c>
      <c r="AR109" s="77">
        <v>0</v>
      </c>
      <c r="AT109" s="82">
        <f>SUMIFS('Conversions and Lookups'!$F$58:$F$72,'Conversions and Lookups'!$G$58:$G$72,'Measure 2'!AT$77,'Conversions and Lookups'!$C$58:$C$72,'Measure 2'!$C109)*'Measure 2'!$F109</f>
        <v>58603.836321684124</v>
      </c>
      <c r="AU109" s="30">
        <f>SUMIFS('Conversions and Lookups'!$F$58:$F$72,'Conversions and Lookups'!$G$58:$G$72,'Measure 2'!AU$77,'Conversions and Lookups'!$C$58:$C$72,'Measure 2'!$C109)*'Measure 2'!$F109</f>
        <v>1504.4360460272999</v>
      </c>
      <c r="AV109" s="83">
        <f>SUMIFS('Conversions and Lookups'!$F$58:$F$72,'Conversions and Lookups'!$G$58:$G$72,'Measure 2'!AV$77,'Conversions and Lookups'!$C$58:$C$72,'Measure 2'!$C109)*'Measure 2'!$F109</f>
        <v>34.58473669028276</v>
      </c>
    </row>
    <row r="110" spans="2:48" x14ac:dyDescent="0.35">
      <c r="B110" s="57" t="s">
        <v>64</v>
      </c>
      <c r="C110" s="58" t="s">
        <v>212</v>
      </c>
      <c r="D110" s="58">
        <v>12</v>
      </c>
      <c r="E110" s="59">
        <v>8646.184172570689</v>
      </c>
      <c r="F110" s="59">
        <f t="shared" si="49"/>
        <v>103754.21007084826</v>
      </c>
      <c r="G110" s="58" t="s">
        <v>278</v>
      </c>
      <c r="H110" s="60">
        <f>VLOOKUP($C110,'Conversions and Lookups'!$B$30:$E$36, 3, 0)</f>
        <v>27.5</v>
      </c>
      <c r="I110" s="61">
        <f t="shared" si="50"/>
        <v>3772.8803662126638</v>
      </c>
      <c r="J110" s="62">
        <f>I110*VLOOKUP($G110,'Conversions and Lookups'!$B$41:$D$43,3, 0)</f>
        <v>33.125889615347184</v>
      </c>
      <c r="K110" s="63">
        <f>$F110*VLOOKUP($C110,'Conversions and Lookups'!$C$47:$G$52, 4, 0)</f>
        <v>1.4816101198117132E-2</v>
      </c>
      <c r="L110" s="64">
        <f>$F110*VLOOKUP($C110,'Conversions and Lookups'!$C$47:$G$52, 5, 0)</f>
        <v>3.8492811936284704E-2</v>
      </c>
      <c r="M110" s="62">
        <f t="shared" si="51"/>
        <v>33.179198528481585</v>
      </c>
      <c r="N110" s="62">
        <f t="shared" si="52"/>
        <v>165.89599264240792</v>
      </c>
      <c r="O110" s="65">
        <f t="shared" si="53"/>
        <v>398.15038234177905</v>
      </c>
      <c r="P110" s="31"/>
      <c r="Q110" s="75">
        <f>VLOOKUP($C110,'Conversions and Lookups'!$B$30:$E$36, 4, 0)</f>
        <v>0.33428046130703665</v>
      </c>
      <c r="R110" s="30">
        <f t="shared" si="54"/>
        <v>34683.005205030342</v>
      </c>
      <c r="S110">
        <v>0</v>
      </c>
      <c r="T110" s="76">
        <f>$R110*HLOOKUP(T$77,'Conversions and Lookups'!$B$76:$AE$78, 3, 0)</f>
        <v>9.0996048084588583</v>
      </c>
      <c r="U110" s="76">
        <f>$R110*HLOOKUP(U$77,'Conversions and Lookups'!$B$76:$AE$78, 3, 0)</f>
        <v>8.3321298346316546</v>
      </c>
      <c r="V110" s="76">
        <f>$R110*HLOOKUP(V$77,'Conversions and Lookups'!$B$76:$AE$78, 3, 0)</f>
        <v>8.0562533512052141</v>
      </c>
      <c r="W110" s="76">
        <f>$R110*HLOOKUP(W$77,'Conversions and Lookups'!$B$76:$AE$78, 3, 0)</f>
        <v>6.841058499368633</v>
      </c>
      <c r="X110" s="76">
        <f>$R110*HLOOKUP(X$77,'Conversions and Lookups'!$B$76:$AE$78, 3, 0)</f>
        <v>6.4063672326818475</v>
      </c>
      <c r="Y110" s="76">
        <f>$R110*HLOOKUP(Y$77,'Conversions and Lookups'!$B$76:$AE$78, 3, 0)</f>
        <v>6.0051831529732009</v>
      </c>
      <c r="Z110" s="76">
        <f>$R110*HLOOKUP(Z$77,'Conversions and Lookups'!$B$76:$AE$78, 3, 0)</f>
        <v>5.9967509496126832</v>
      </c>
      <c r="AA110" s="76">
        <f>$R110*HLOOKUP(AA$77,'Conversions and Lookups'!$B$76:$AE$78, 3, 0)</f>
        <v>5.9108817363114809</v>
      </c>
      <c r="AB110" s="76">
        <f>$R110*HLOOKUP(AB$77,'Conversions and Lookups'!$B$76:$AE$78, 3, 0)</f>
        <v>5.1192135260603946</v>
      </c>
      <c r="AC110" s="76">
        <f>$R110*HLOOKUP(AC$77,'Conversions and Lookups'!$B$76:$AE$78, 3, 0)</f>
        <v>4.7769471631543832</v>
      </c>
      <c r="AD110" s="76">
        <f>$R110*HLOOKUP(AD$77,'Conversions and Lookups'!$B$76:$AE$78, 3, 0)</f>
        <v>4.7221672607786056</v>
      </c>
      <c r="AE110" s="76">
        <f>$R110*HLOOKUP(AE$77,'Conversions and Lookups'!$B$76:$AE$78, 3, 0)</f>
        <v>4.7146330200497575</v>
      </c>
      <c r="AF110" s="76">
        <v>0</v>
      </c>
      <c r="AG110" s="76">
        <v>0</v>
      </c>
      <c r="AH110" s="76">
        <v>0</v>
      </c>
      <c r="AI110" s="76">
        <v>0</v>
      </c>
      <c r="AJ110" s="76">
        <v>0</v>
      </c>
      <c r="AK110" s="76">
        <v>0</v>
      </c>
      <c r="AL110" s="76">
        <v>0</v>
      </c>
      <c r="AM110" s="76">
        <v>0</v>
      </c>
      <c r="AN110" s="76">
        <v>0</v>
      </c>
      <c r="AO110" s="76">
        <v>0</v>
      </c>
      <c r="AP110" s="76">
        <v>0</v>
      </c>
      <c r="AQ110" s="76">
        <v>0</v>
      </c>
      <c r="AR110" s="77">
        <v>0</v>
      </c>
      <c r="AT110" s="82">
        <f>SUMIFS('Conversions and Lookups'!$F$58:$F$72,'Conversions and Lookups'!$G$58:$G$72,'Measure 2'!AT$77,'Conversions and Lookups'!$C$58:$C$72,'Measure 2'!$C110)*'Measure 2'!$F110</f>
        <v>351623.01793010475</v>
      </c>
      <c r="AU110" s="30">
        <f>SUMIFS('Conversions and Lookups'!$F$58:$F$72,'Conversions and Lookups'!$G$58:$G$72,'Measure 2'!AU$77,'Conversions and Lookups'!$C$58:$C$72,'Measure 2'!$C110)*'Measure 2'!$F110</f>
        <v>9026.6162761637988</v>
      </c>
      <c r="AV110" s="83">
        <f>SUMIFS('Conversions and Lookups'!$F$58:$F$72,'Conversions and Lookups'!$G$58:$G$72,'Measure 2'!AV$77,'Conversions and Lookups'!$C$58:$C$72,'Measure 2'!$C110)*'Measure 2'!$F110</f>
        <v>207.50842014169652</v>
      </c>
    </row>
    <row r="111" spans="2:48" x14ac:dyDescent="0.35">
      <c r="B111" s="57" t="s">
        <v>64</v>
      </c>
      <c r="C111" s="58" t="s">
        <v>212</v>
      </c>
      <c r="D111" s="58">
        <v>3</v>
      </c>
      <c r="E111" s="59">
        <v>8646.184172570689</v>
      </c>
      <c r="F111" s="59">
        <f t="shared" si="49"/>
        <v>25938.552517712065</v>
      </c>
      <c r="G111" s="58" t="s">
        <v>278</v>
      </c>
      <c r="H111" s="60">
        <f>VLOOKUP($C111,'Conversions and Lookups'!$B$30:$E$36, 3, 0)</f>
        <v>27.5</v>
      </c>
      <c r="I111" s="61">
        <f t="shared" si="50"/>
        <v>943.22009155316596</v>
      </c>
      <c r="J111" s="62">
        <f>I111*VLOOKUP($G111,'Conversions and Lookups'!$B$41:$D$43,3, 0)</f>
        <v>8.2814724038367959</v>
      </c>
      <c r="K111" s="63">
        <f>$F111*VLOOKUP($C111,'Conversions and Lookups'!$C$47:$G$52, 4, 0)</f>
        <v>3.704025299529283E-3</v>
      </c>
      <c r="L111" s="64">
        <f>$F111*VLOOKUP($C111,'Conversions and Lookups'!$C$47:$G$52, 5, 0)</f>
        <v>9.6232029840711761E-3</v>
      </c>
      <c r="M111" s="62">
        <f t="shared" si="51"/>
        <v>8.2947996321203963</v>
      </c>
      <c r="N111" s="62">
        <f t="shared" si="52"/>
        <v>41.47399816060198</v>
      </c>
      <c r="O111" s="65">
        <f t="shared" si="53"/>
        <v>99.537595585444762</v>
      </c>
      <c r="P111" s="31"/>
      <c r="Q111" s="75">
        <f>VLOOKUP($C111,'Conversions and Lookups'!$B$30:$E$36, 4, 0)</f>
        <v>0.33428046130703665</v>
      </c>
      <c r="R111" s="30">
        <f t="shared" si="54"/>
        <v>8670.7513012575855</v>
      </c>
      <c r="S111">
        <v>0</v>
      </c>
      <c r="T111" s="76">
        <f>$R111*HLOOKUP(T$77,'Conversions and Lookups'!$B$76:$AE$78, 3, 0)</f>
        <v>2.2749012021147146</v>
      </c>
      <c r="U111" s="76">
        <f>$R111*HLOOKUP(U$77,'Conversions and Lookups'!$B$76:$AE$78, 3, 0)</f>
        <v>2.0830324586579136</v>
      </c>
      <c r="V111" s="76">
        <f>$R111*HLOOKUP(V$77,'Conversions and Lookups'!$B$76:$AE$78, 3, 0)</f>
        <v>2.0140633378013035</v>
      </c>
      <c r="W111" s="76">
        <f>$R111*HLOOKUP(W$77,'Conversions and Lookups'!$B$76:$AE$78, 3, 0)</f>
        <v>1.7102646248421582</v>
      </c>
      <c r="X111" s="76">
        <f>$R111*HLOOKUP(X$77,'Conversions and Lookups'!$B$76:$AE$78, 3, 0)</f>
        <v>1.6015918081704619</v>
      </c>
      <c r="Y111" s="76">
        <f>$R111*HLOOKUP(Y$77,'Conversions and Lookups'!$B$76:$AE$78, 3, 0)</f>
        <v>1.5012957882433002</v>
      </c>
      <c r="Z111" s="76">
        <f>$R111*HLOOKUP(Z$77,'Conversions and Lookups'!$B$76:$AE$78, 3, 0)</f>
        <v>1.4991877374031708</v>
      </c>
      <c r="AA111" s="76">
        <f>$R111*HLOOKUP(AA$77,'Conversions and Lookups'!$B$76:$AE$78, 3, 0)</f>
        <v>1.4777204340778702</v>
      </c>
      <c r="AB111" s="76">
        <f>$R111*HLOOKUP(AB$77,'Conversions and Lookups'!$B$76:$AE$78, 3, 0)</f>
        <v>1.2798033815150986</v>
      </c>
      <c r="AC111" s="76">
        <f>$R111*HLOOKUP(AC$77,'Conversions and Lookups'!$B$76:$AE$78, 3, 0)</f>
        <v>1.1942367907885958</v>
      </c>
      <c r="AD111" s="76">
        <f>$R111*HLOOKUP(AD$77,'Conversions and Lookups'!$B$76:$AE$78, 3, 0)</f>
        <v>1.1805418151946514</v>
      </c>
      <c r="AE111" s="76">
        <f>$R111*HLOOKUP(AE$77,'Conversions and Lookups'!$B$76:$AE$78, 3, 0)</f>
        <v>1.1786582550124394</v>
      </c>
      <c r="AF111" s="76">
        <v>0</v>
      </c>
      <c r="AG111" s="76">
        <v>0</v>
      </c>
      <c r="AH111" s="76">
        <v>0</v>
      </c>
      <c r="AI111" s="76">
        <v>0</v>
      </c>
      <c r="AJ111" s="76">
        <v>0</v>
      </c>
      <c r="AK111" s="76">
        <v>0</v>
      </c>
      <c r="AL111" s="76">
        <v>0</v>
      </c>
      <c r="AM111" s="76">
        <v>0</v>
      </c>
      <c r="AN111" s="76">
        <v>0</v>
      </c>
      <c r="AO111" s="76">
        <v>0</v>
      </c>
      <c r="AP111" s="76">
        <v>0</v>
      </c>
      <c r="AQ111" s="76">
        <v>0</v>
      </c>
      <c r="AR111" s="77">
        <v>0</v>
      </c>
      <c r="AT111" s="82">
        <f>SUMIFS('Conversions and Lookups'!$F$58:$F$72,'Conversions and Lookups'!$G$58:$G$72,'Measure 2'!AT$77,'Conversions and Lookups'!$C$58:$C$72,'Measure 2'!$C111)*'Measure 2'!$F111</f>
        <v>87905.754482526187</v>
      </c>
      <c r="AU111" s="30">
        <f>SUMIFS('Conversions and Lookups'!$F$58:$F$72,'Conversions and Lookups'!$G$58:$G$72,'Measure 2'!AU$77,'Conversions and Lookups'!$C$58:$C$72,'Measure 2'!$C111)*'Measure 2'!$F111</f>
        <v>2256.6540690409497</v>
      </c>
      <c r="AV111" s="83">
        <f>SUMIFS('Conversions and Lookups'!$F$58:$F$72,'Conversions and Lookups'!$G$58:$G$72,'Measure 2'!AV$77,'Conversions and Lookups'!$C$58:$C$72,'Measure 2'!$C111)*'Measure 2'!$F111</f>
        <v>51.87710503542413</v>
      </c>
    </row>
    <row r="112" spans="2:48" x14ac:dyDescent="0.35">
      <c r="B112" s="57" t="s">
        <v>64</v>
      </c>
      <c r="C112" s="58" t="s">
        <v>214</v>
      </c>
      <c r="D112" s="58">
        <v>1</v>
      </c>
      <c r="E112" s="59">
        <v>5745.0145382258061</v>
      </c>
      <c r="F112" s="59">
        <f t="shared" si="49"/>
        <v>5745.0145382258061</v>
      </c>
      <c r="G112" s="58" t="s">
        <v>279</v>
      </c>
      <c r="H112" s="60">
        <f>VLOOKUP($C112,'Conversions and Lookups'!$B$30:$E$36, 3, 0)</f>
        <v>15.064935064935064</v>
      </c>
      <c r="I112" s="61">
        <f t="shared" si="50"/>
        <v>381.35010296843717</v>
      </c>
      <c r="J112" s="62">
        <f>I112*VLOOKUP($G112,'Conversions and Lookups'!$B$41:$D$43,3, 0)</f>
        <v>3.8935845513077436</v>
      </c>
      <c r="K112" s="63">
        <f>$F112*VLOOKUP($C112,'Conversions and Lookups'!$C$47:$G$52, 4, 0)</f>
        <v>4.6649518050393543E-3</v>
      </c>
      <c r="L112" s="64">
        <f>$F112*VLOOKUP($C112,'Conversions and Lookups'!$C$47:$G$52, 5, 0)</f>
        <v>3.2579977446278545E-2</v>
      </c>
      <c r="M112" s="62">
        <f t="shared" si="51"/>
        <v>3.9308294805590616</v>
      </c>
      <c r="N112" s="62">
        <f t="shared" si="52"/>
        <v>19.654147402795306</v>
      </c>
      <c r="O112" s="65">
        <f t="shared" si="53"/>
        <v>47.169953766708737</v>
      </c>
      <c r="P112" s="31"/>
      <c r="Q112" s="75">
        <f>VLOOKUP($C112,'Conversions and Lookups'!$B$30:$E$36, 4, 0)</f>
        <v>0.64775229952066338</v>
      </c>
      <c r="R112" s="30">
        <f t="shared" si="54"/>
        <v>3721.3463779154081</v>
      </c>
      <c r="S112">
        <v>0</v>
      </c>
      <c r="T112" s="76">
        <f>$R112*HLOOKUP(T$77,'Conversions and Lookups'!$B$76:$AE$78, 3, 0)</f>
        <v>0.97635084371260372</v>
      </c>
      <c r="U112" s="76">
        <f>$R112*HLOOKUP(U$77,'Conversions and Lookups'!$B$76:$AE$78, 3, 0)</f>
        <v>0.89400387876222065</v>
      </c>
      <c r="V112" s="76">
        <f>$R112*HLOOKUP(V$77,'Conversions and Lookups'!$B$76:$AE$78, 3, 0)</f>
        <v>0.86440344632327726</v>
      </c>
      <c r="W112" s="76">
        <f>$R112*HLOOKUP(W$77,'Conversions and Lookups'!$B$76:$AE$78, 3, 0)</f>
        <v>0.73401794675048859</v>
      </c>
      <c r="X112" s="76">
        <f>$R112*HLOOKUP(X$77,'Conversions and Lookups'!$B$76:$AE$78, 3, 0)</f>
        <v>0.68737732950196617</v>
      </c>
      <c r="Y112" s="76">
        <f>$R112*HLOOKUP(Y$77,'Conversions and Lookups'!$B$76:$AE$78, 3, 0)</f>
        <v>0.64433189808460545</v>
      </c>
      <c r="Z112" s="76">
        <f>$R112*HLOOKUP(Z$77,'Conversions and Lookups'!$B$76:$AE$78, 3, 0)</f>
        <v>0.64342715672070094</v>
      </c>
      <c r="AA112" s="76">
        <f>$R112*HLOOKUP(AA$77,'Conversions and Lookups'!$B$76:$AE$78, 3, 0)</f>
        <v>0.63421373694914873</v>
      </c>
      <c r="AB112" s="76">
        <f>$R112*HLOOKUP(AB$77,'Conversions and Lookups'!$B$76:$AE$78, 3, 0)</f>
        <v>0.54927093544412331</v>
      </c>
      <c r="AC112" s="76">
        <f>$R112*HLOOKUP(AC$77,'Conversions and Lookups'!$B$76:$AE$78, 3, 0)</f>
        <v>0.5125471370779473</v>
      </c>
      <c r="AD112" s="76">
        <f>$R112*HLOOKUP(AD$77,'Conversions and Lookups'!$B$76:$AE$78, 3, 0)</f>
        <v>0.50666947480261793</v>
      </c>
      <c r="AE112" s="76">
        <f>$R112*HLOOKUP(AE$77,'Conversions and Lookups'!$B$76:$AE$78, 3, 0)</f>
        <v>0.50586108120232587</v>
      </c>
      <c r="AF112" s="76">
        <v>0</v>
      </c>
      <c r="AG112" s="76">
        <v>0</v>
      </c>
      <c r="AH112" s="76">
        <v>0</v>
      </c>
      <c r="AI112" s="76">
        <v>0</v>
      </c>
      <c r="AJ112" s="76">
        <v>0</v>
      </c>
      <c r="AK112" s="76">
        <v>0</v>
      </c>
      <c r="AL112" s="76">
        <v>0</v>
      </c>
      <c r="AM112" s="76">
        <v>0</v>
      </c>
      <c r="AN112" s="76">
        <v>0</v>
      </c>
      <c r="AO112" s="76">
        <v>0</v>
      </c>
      <c r="AP112" s="76">
        <v>0</v>
      </c>
      <c r="AQ112" s="76">
        <v>0</v>
      </c>
      <c r="AR112" s="77">
        <v>0</v>
      </c>
      <c r="AT112" s="82">
        <f>SUMIFS('Conversions and Lookups'!$F$58:$F$72,'Conversions and Lookups'!$G$58:$G$72,'Measure 2'!AT$77,'Conversions and Lookups'!$C$58:$C$72,'Measure 2'!$C112)*'Measure 2'!$F112</f>
        <v>9243.7283920053214</v>
      </c>
      <c r="AU112" s="30">
        <f>SUMIFS('Conversions and Lookups'!$F$58:$F$72,'Conversions and Lookups'!$G$58:$G$72,'Measure 2'!AU$77,'Conversions and Lookups'!$C$58:$C$72,'Measure 2'!$C112)*'Measure 2'!$F112</f>
        <v>6635.4917916508066</v>
      </c>
      <c r="AV112" s="83">
        <f>SUMIFS('Conversions and Lookups'!$F$58:$F$72,'Conversions and Lookups'!$G$58:$G$72,'Measure 2'!AV$77,'Conversions and Lookups'!$C$58:$C$72,'Measure 2'!$C112)*'Measure 2'!$F112</f>
        <v>298.74075598774192</v>
      </c>
    </row>
    <row r="113" spans="2:48" x14ac:dyDescent="0.35">
      <c r="B113" s="57" t="s">
        <v>64</v>
      </c>
      <c r="C113" s="58" t="s">
        <v>214</v>
      </c>
      <c r="D113" s="58">
        <v>1</v>
      </c>
      <c r="E113" s="59">
        <v>5745.0145382258061</v>
      </c>
      <c r="F113" s="59">
        <f t="shared" si="49"/>
        <v>5745.0145382258061</v>
      </c>
      <c r="G113" s="58" t="s">
        <v>279</v>
      </c>
      <c r="H113" s="60">
        <f>VLOOKUP($C113,'Conversions and Lookups'!$B$30:$E$36, 3, 0)</f>
        <v>15.064935064935064</v>
      </c>
      <c r="I113" s="61">
        <f t="shared" si="50"/>
        <v>381.35010296843717</v>
      </c>
      <c r="J113" s="62">
        <f>I113*VLOOKUP($G113,'Conversions and Lookups'!$B$41:$D$43,3, 0)</f>
        <v>3.8935845513077436</v>
      </c>
      <c r="K113" s="63">
        <f>$F113*VLOOKUP($C113,'Conversions and Lookups'!$C$47:$G$52, 4, 0)</f>
        <v>4.6649518050393543E-3</v>
      </c>
      <c r="L113" s="64">
        <f>$F113*VLOOKUP($C113,'Conversions and Lookups'!$C$47:$G$52, 5, 0)</f>
        <v>3.2579977446278545E-2</v>
      </c>
      <c r="M113" s="62">
        <f t="shared" si="51"/>
        <v>3.9308294805590616</v>
      </c>
      <c r="N113" s="62">
        <f t="shared" si="52"/>
        <v>19.654147402795306</v>
      </c>
      <c r="O113" s="65">
        <f t="shared" si="53"/>
        <v>47.169953766708737</v>
      </c>
      <c r="P113" s="31"/>
      <c r="Q113" s="75">
        <f>VLOOKUP($C113,'Conversions and Lookups'!$B$30:$E$36, 4, 0)</f>
        <v>0.64775229952066338</v>
      </c>
      <c r="R113" s="30">
        <f t="shared" si="54"/>
        <v>3721.3463779154081</v>
      </c>
      <c r="S113">
        <v>0</v>
      </c>
      <c r="T113" s="76">
        <f>$R113*HLOOKUP(T$77,'Conversions and Lookups'!$B$76:$AE$78, 3, 0)</f>
        <v>0.97635084371260372</v>
      </c>
      <c r="U113" s="76">
        <f>$R113*HLOOKUP(U$77,'Conversions and Lookups'!$B$76:$AE$78, 3, 0)</f>
        <v>0.89400387876222065</v>
      </c>
      <c r="V113" s="76">
        <f>$R113*HLOOKUP(V$77,'Conversions and Lookups'!$B$76:$AE$78, 3, 0)</f>
        <v>0.86440344632327726</v>
      </c>
      <c r="W113" s="76">
        <f>$R113*HLOOKUP(W$77,'Conversions and Lookups'!$B$76:$AE$78, 3, 0)</f>
        <v>0.73401794675048859</v>
      </c>
      <c r="X113" s="76">
        <f>$R113*HLOOKUP(X$77,'Conversions and Lookups'!$B$76:$AE$78, 3, 0)</f>
        <v>0.68737732950196617</v>
      </c>
      <c r="Y113" s="76">
        <f>$R113*HLOOKUP(Y$77,'Conversions and Lookups'!$B$76:$AE$78, 3, 0)</f>
        <v>0.64433189808460545</v>
      </c>
      <c r="Z113" s="76">
        <f>$R113*HLOOKUP(Z$77,'Conversions and Lookups'!$B$76:$AE$78, 3, 0)</f>
        <v>0.64342715672070094</v>
      </c>
      <c r="AA113" s="76">
        <f>$R113*HLOOKUP(AA$77,'Conversions and Lookups'!$B$76:$AE$78, 3, 0)</f>
        <v>0.63421373694914873</v>
      </c>
      <c r="AB113" s="76">
        <f>$R113*HLOOKUP(AB$77,'Conversions and Lookups'!$B$76:$AE$78, 3, 0)</f>
        <v>0.54927093544412331</v>
      </c>
      <c r="AC113" s="76">
        <f>$R113*HLOOKUP(AC$77,'Conversions and Lookups'!$B$76:$AE$78, 3, 0)</f>
        <v>0.5125471370779473</v>
      </c>
      <c r="AD113" s="76">
        <f>$R113*HLOOKUP(AD$77,'Conversions and Lookups'!$B$76:$AE$78, 3, 0)</f>
        <v>0.50666947480261793</v>
      </c>
      <c r="AE113" s="76">
        <f>$R113*HLOOKUP(AE$77,'Conversions and Lookups'!$B$76:$AE$78, 3, 0)</f>
        <v>0.50586108120232587</v>
      </c>
      <c r="AF113" s="76">
        <v>0</v>
      </c>
      <c r="AG113" s="76">
        <v>0</v>
      </c>
      <c r="AH113" s="76">
        <v>0</v>
      </c>
      <c r="AI113" s="76">
        <v>0</v>
      </c>
      <c r="AJ113" s="76">
        <v>0</v>
      </c>
      <c r="AK113" s="76">
        <v>0</v>
      </c>
      <c r="AL113" s="76">
        <v>0</v>
      </c>
      <c r="AM113" s="76">
        <v>0</v>
      </c>
      <c r="AN113" s="76">
        <v>0</v>
      </c>
      <c r="AO113" s="76">
        <v>0</v>
      </c>
      <c r="AP113" s="76">
        <v>0</v>
      </c>
      <c r="AQ113" s="76">
        <v>0</v>
      </c>
      <c r="AR113" s="77">
        <v>0</v>
      </c>
      <c r="AT113" s="82">
        <f>SUMIFS('Conversions and Lookups'!$F$58:$F$72,'Conversions and Lookups'!$G$58:$G$72,'Measure 2'!AT$77,'Conversions and Lookups'!$C$58:$C$72,'Measure 2'!$C113)*'Measure 2'!$F113</f>
        <v>9243.7283920053214</v>
      </c>
      <c r="AU113" s="30">
        <f>SUMIFS('Conversions and Lookups'!$F$58:$F$72,'Conversions and Lookups'!$G$58:$G$72,'Measure 2'!AU$77,'Conversions and Lookups'!$C$58:$C$72,'Measure 2'!$C113)*'Measure 2'!$F113</f>
        <v>6635.4917916508066</v>
      </c>
      <c r="AV113" s="83">
        <f>SUMIFS('Conversions and Lookups'!$F$58:$F$72,'Conversions and Lookups'!$G$58:$G$72,'Measure 2'!AV$77,'Conversions and Lookups'!$C$58:$C$72,'Measure 2'!$C113)*'Measure 2'!$F113</f>
        <v>298.74075598774192</v>
      </c>
    </row>
    <row r="114" spans="2:48" x14ac:dyDescent="0.35">
      <c r="B114" s="57" t="s">
        <v>215</v>
      </c>
      <c r="C114" s="58" t="s">
        <v>212</v>
      </c>
      <c r="D114" s="58">
        <v>6</v>
      </c>
      <c r="E114" s="59">
        <v>44082.5</v>
      </c>
      <c r="F114" s="59">
        <f>E114*D114</f>
        <v>264495</v>
      </c>
      <c r="G114" s="58" t="s">
        <v>278</v>
      </c>
      <c r="H114" s="60">
        <f>VLOOKUP($C114,'Conversions and Lookups'!$B$30:$E$36, 3, 0)</f>
        <v>27.5</v>
      </c>
      <c r="I114" s="61">
        <f t="shared" si="50"/>
        <v>9618</v>
      </c>
      <c r="J114" s="62">
        <f>I114*VLOOKUP($G114,'Conversions and Lookups'!$B$41:$D$43,3, 0)</f>
        <v>84.446039999999996</v>
      </c>
      <c r="K114" s="63">
        <f>$F114*VLOOKUP($C114,'Conversions and Lookups'!$C$47:$G$52, 4, 0)</f>
        <v>3.7769886000000003E-2</v>
      </c>
      <c r="L114" s="64">
        <f>$F114*VLOOKUP($C114,'Conversions and Lookups'!$C$47:$G$52, 5, 0)</f>
        <v>9.8127644999999999E-2</v>
      </c>
      <c r="M114" s="62">
        <f t="shared" si="51"/>
        <v>84.581937531000008</v>
      </c>
      <c r="N114" s="62">
        <f t="shared" si="52"/>
        <v>422.90968765500003</v>
      </c>
      <c r="O114" s="65">
        <f t="shared" si="53"/>
        <v>1014.9832503720002</v>
      </c>
      <c r="P114" s="31"/>
      <c r="Q114" s="75">
        <f>VLOOKUP($C114,'Conversions and Lookups'!$B$30:$E$36, 4, 0)</f>
        <v>0.33428046130703665</v>
      </c>
      <c r="R114" s="30">
        <f t="shared" si="54"/>
        <v>88415.510613404651</v>
      </c>
      <c r="S114">
        <v>0</v>
      </c>
      <c r="T114" s="76">
        <f>$R114*HLOOKUP(T$77,'Conversions and Lookups'!$B$76:$AE$78, 3, 0)</f>
        <v>23.197130720477261</v>
      </c>
      <c r="U114" s="76">
        <f>$R114*HLOOKUP(U$77,'Conversions and Lookups'!$B$76:$AE$78, 3, 0)</f>
        <v>21.240648250379781</v>
      </c>
      <c r="V114" s="76">
        <f>$R114*HLOOKUP(V$77,'Conversions and Lookups'!$B$76:$AE$78, 3, 0)</f>
        <v>20.537371241822246</v>
      </c>
      <c r="W114" s="76">
        <f>$R114*HLOOKUP(W$77,'Conversions and Lookups'!$B$76:$AE$78, 3, 0)</f>
        <v>17.439540685191911</v>
      </c>
      <c r="X114" s="76">
        <f>$R114*HLOOKUP(X$77,'Conversions and Lookups'!$B$76:$AE$78, 3, 0)</f>
        <v>16.331405733330087</v>
      </c>
      <c r="Y114" s="76">
        <f>$R114*HLOOKUP(Y$77,'Conversions and Lookups'!$B$76:$AE$78, 3, 0)</f>
        <v>15.308688842226767</v>
      </c>
      <c r="Z114" s="76">
        <f>$R114*HLOOKUP(Z$77,'Conversions and Lookups'!$B$76:$AE$78, 3, 0)</f>
        <v>15.287193081945645</v>
      </c>
      <c r="AA114" s="76">
        <f>$R114*HLOOKUP(AA$77,'Conversions and Lookups'!$B$76:$AE$78, 3, 0)</f>
        <v>15.068291337557705</v>
      </c>
      <c r="AB114" s="76">
        <f>$R114*HLOOKUP(AB$77,'Conversions and Lookups'!$B$76:$AE$78, 3, 0)</f>
        <v>13.05013435744694</v>
      </c>
      <c r="AC114" s="76">
        <f>$R114*HLOOKUP(AC$77,'Conversions and Lookups'!$B$76:$AE$78, 3, 0)</f>
        <v>12.177613217389018</v>
      </c>
      <c r="AD114" s="76">
        <f>$R114*HLOOKUP(AD$77,'Conversions and Lookups'!$B$76:$AE$78, 3, 0)</f>
        <v>12.037965773020375</v>
      </c>
      <c r="AE114" s="76">
        <f>$R114*HLOOKUP(AE$77,'Conversions and Lookups'!$B$76:$AE$78, 3, 0)</f>
        <v>12.018759140342858</v>
      </c>
      <c r="AF114" s="76">
        <v>0</v>
      </c>
      <c r="AG114" s="76">
        <v>0</v>
      </c>
      <c r="AH114" s="76">
        <v>0</v>
      </c>
      <c r="AI114" s="76">
        <v>0</v>
      </c>
      <c r="AJ114" s="76">
        <v>0</v>
      </c>
      <c r="AK114" s="76">
        <v>0</v>
      </c>
      <c r="AL114" s="76">
        <v>0</v>
      </c>
      <c r="AM114" s="76">
        <v>0</v>
      </c>
      <c r="AN114" s="76">
        <v>0</v>
      </c>
      <c r="AO114" s="76">
        <v>0</v>
      </c>
      <c r="AP114" s="76">
        <v>0</v>
      </c>
      <c r="AQ114" s="76">
        <v>0</v>
      </c>
      <c r="AR114" s="77">
        <v>0</v>
      </c>
      <c r="AT114" s="82">
        <f>SUMIFS('Conversions and Lookups'!$F$58:$F$72,'Conversions and Lookups'!$G$58:$G$72,'Measure 2'!AT$77,'Conversions and Lookups'!$C$58:$C$72,'Measure 2'!$C114)*'Measure 2'!$F114</f>
        <v>896373.55499999993</v>
      </c>
      <c r="AU114" s="30">
        <f>SUMIFS('Conversions and Lookups'!$F$58:$F$72,'Conversions and Lookups'!$G$58:$G$72,'Measure 2'!AU$77,'Conversions and Lookups'!$C$58:$C$72,'Measure 2'!$C114)*'Measure 2'!$F114</f>
        <v>23011.064999999999</v>
      </c>
      <c r="AV114" s="83">
        <f>SUMIFS('Conversions and Lookups'!$F$58:$F$72,'Conversions and Lookups'!$G$58:$G$72,'Measure 2'!AV$77,'Conversions and Lookups'!$C$58:$C$72,'Measure 2'!$C114)*'Measure 2'!$F114</f>
        <v>528.99</v>
      </c>
    </row>
    <row r="115" spans="2:48" x14ac:dyDescent="0.35">
      <c r="B115" s="57" t="s">
        <v>215</v>
      </c>
      <c r="C115" s="58" t="s">
        <v>212</v>
      </c>
      <c r="D115" s="58">
        <v>4</v>
      </c>
      <c r="E115" s="59">
        <v>3685</v>
      </c>
      <c r="F115" s="59">
        <f>E115*D115</f>
        <v>14740</v>
      </c>
      <c r="G115" s="58" t="s">
        <v>278</v>
      </c>
      <c r="H115" s="60">
        <f>VLOOKUP($C115,'Conversions and Lookups'!$B$30:$E$36, 3, 0)</f>
        <v>27.5</v>
      </c>
      <c r="I115" s="61">
        <f t="shared" si="50"/>
        <v>536</v>
      </c>
      <c r="J115" s="62">
        <f>I115*VLOOKUP($G115,'Conversions and Lookups'!$B$41:$D$43,3, 0)</f>
        <v>4.70608</v>
      </c>
      <c r="K115" s="63">
        <f>$F115*VLOOKUP($C115,'Conversions and Lookups'!$C$47:$G$52, 4, 0)</f>
        <v>2.1048720000000003E-3</v>
      </c>
      <c r="L115" s="64">
        <f>$F115*VLOOKUP($C115,'Conversions and Lookups'!$C$47:$G$52, 5, 0)</f>
        <v>5.46854E-3</v>
      </c>
      <c r="M115" s="62">
        <f t="shared" si="51"/>
        <v>4.7136534120000002</v>
      </c>
      <c r="N115" s="62">
        <f t="shared" si="52"/>
        <v>23.56826706</v>
      </c>
      <c r="O115" s="65">
        <f t="shared" si="53"/>
        <v>56.563840944000006</v>
      </c>
      <c r="P115" s="31"/>
      <c r="Q115" s="75">
        <f>VLOOKUP($C115,'Conversions and Lookups'!$B$30:$E$36, 4, 0)</f>
        <v>0.33428046130703665</v>
      </c>
      <c r="R115" s="30">
        <f t="shared" si="54"/>
        <v>4927.2939996657205</v>
      </c>
      <c r="S115">
        <v>0</v>
      </c>
      <c r="T115" s="76">
        <f>$R115*HLOOKUP(T$77,'Conversions and Lookups'!$B$76:$AE$78, 3, 0)</f>
        <v>1.2927492270925156</v>
      </c>
      <c r="U115" s="76">
        <f>$R115*HLOOKUP(U$77,'Conversions and Lookups'!$B$76:$AE$78, 3, 0)</f>
        <v>1.1837167251199381</v>
      </c>
      <c r="V115" s="76">
        <f>$R115*HLOOKUP(V$77,'Conversions and Lookups'!$B$76:$AE$78, 3, 0)</f>
        <v>1.1445239120000754</v>
      </c>
      <c r="W115" s="76">
        <f>$R115*HLOOKUP(W$77,'Conversions and Lookups'!$B$76:$AE$78, 3, 0)</f>
        <v>0.97188540312568794</v>
      </c>
      <c r="X115" s="76">
        <f>$R115*HLOOKUP(X$77,'Conversions and Lookups'!$B$76:$AE$78, 3, 0)</f>
        <v>0.91013032575014841</v>
      </c>
      <c r="Y115" s="76">
        <f>$R115*HLOOKUP(Y$77,'Conversions and Lookups'!$B$76:$AE$78, 3, 0)</f>
        <v>0.85313549796564236</v>
      </c>
      <c r="Z115" s="76">
        <f>$R115*HLOOKUP(Z$77,'Conversions and Lookups'!$B$76:$AE$78, 3, 0)</f>
        <v>0.85193756414253141</v>
      </c>
      <c r="AA115" s="76">
        <f>$R115*HLOOKUP(AA$77,'Conversions and Lookups'!$B$76:$AE$78, 3, 0)</f>
        <v>0.83973842346963301</v>
      </c>
      <c r="AB115" s="76">
        <f>$R115*HLOOKUP(AB$77,'Conversions and Lookups'!$B$76:$AE$78, 3, 0)</f>
        <v>0.72726887248820549</v>
      </c>
      <c r="AC115" s="76">
        <f>$R115*HLOOKUP(AC$77,'Conversions and Lookups'!$B$76:$AE$78, 3, 0)</f>
        <v>0.67864427994598819</v>
      </c>
      <c r="AD115" s="76">
        <f>$R115*HLOOKUP(AD$77,'Conversions and Lookups'!$B$76:$AE$78, 3, 0)</f>
        <v>0.670861889617272</v>
      </c>
      <c r="AE115" s="76">
        <f>$R115*HLOOKUP(AE$77,'Conversions and Lookups'!$B$76:$AE$78, 3, 0)</f>
        <v>0.6697915262241394</v>
      </c>
      <c r="AF115" s="76">
        <v>0</v>
      </c>
      <c r="AG115" s="76">
        <v>0</v>
      </c>
      <c r="AH115" s="76">
        <v>0</v>
      </c>
      <c r="AI115" s="76">
        <v>0</v>
      </c>
      <c r="AJ115" s="76">
        <v>0</v>
      </c>
      <c r="AK115" s="76">
        <v>0</v>
      </c>
      <c r="AL115" s="76">
        <v>0</v>
      </c>
      <c r="AM115" s="76">
        <v>0</v>
      </c>
      <c r="AN115" s="76">
        <v>0</v>
      </c>
      <c r="AO115" s="76">
        <v>0</v>
      </c>
      <c r="AP115" s="76">
        <v>0</v>
      </c>
      <c r="AQ115" s="76">
        <v>0</v>
      </c>
      <c r="AR115" s="77">
        <v>0</v>
      </c>
      <c r="AT115" s="82">
        <f>SUMIFS('Conversions and Lookups'!$F$58:$F$72,'Conversions and Lookups'!$G$58:$G$72,'Measure 2'!AT$77,'Conversions and Lookups'!$C$58:$C$72,'Measure 2'!$C115)*'Measure 2'!$F115</f>
        <v>49953.859999999993</v>
      </c>
      <c r="AU115" s="30">
        <f>SUMIFS('Conversions and Lookups'!$F$58:$F$72,'Conversions and Lookups'!$G$58:$G$72,'Measure 2'!AU$77,'Conversions and Lookups'!$C$58:$C$72,'Measure 2'!$C115)*'Measure 2'!$F115</f>
        <v>1282.3799999999999</v>
      </c>
      <c r="AV115" s="83">
        <f>SUMIFS('Conversions and Lookups'!$F$58:$F$72,'Conversions and Lookups'!$G$58:$G$72,'Measure 2'!AV$77,'Conversions and Lookups'!$C$58:$C$72,'Measure 2'!$C115)*'Measure 2'!$F115</f>
        <v>29.48</v>
      </c>
    </row>
    <row r="116" spans="2:48" x14ac:dyDescent="0.35">
      <c r="B116" s="57" t="s">
        <v>217</v>
      </c>
      <c r="C116" s="58" t="s">
        <v>214</v>
      </c>
      <c r="D116" s="58">
        <v>2</v>
      </c>
      <c r="E116" s="59">
        <v>5745.0145382258061</v>
      </c>
      <c r="F116" s="59">
        <f t="shared" si="49"/>
        <v>11490.029076451612</v>
      </c>
      <c r="G116" s="58" t="s">
        <v>279</v>
      </c>
      <c r="H116" s="60">
        <f>VLOOKUP($C116,'Conversions and Lookups'!$B$30:$E$36, 3, 0)</f>
        <v>15.064935064935064</v>
      </c>
      <c r="I116" s="61">
        <f t="shared" si="50"/>
        <v>762.70020593687434</v>
      </c>
      <c r="J116" s="62">
        <f>I116*VLOOKUP($G116,'Conversions and Lookups'!$B$41:$D$43,3, 0)</f>
        <v>7.7871691026154872</v>
      </c>
      <c r="K116" s="63">
        <f>$F116*VLOOKUP($C116,'Conversions and Lookups'!$C$47:$G$52, 4, 0)</f>
        <v>9.3299036100787085E-3</v>
      </c>
      <c r="L116" s="64">
        <f>$F116*VLOOKUP($C116,'Conversions and Lookups'!$C$47:$G$52, 5, 0)</f>
        <v>6.515995489255709E-2</v>
      </c>
      <c r="M116" s="62">
        <f t="shared" si="51"/>
        <v>7.8616589611181231</v>
      </c>
      <c r="N116" s="62">
        <f t="shared" si="52"/>
        <v>39.308294805590613</v>
      </c>
      <c r="O116" s="65">
        <f t="shared" si="53"/>
        <v>94.339907533417474</v>
      </c>
      <c r="P116" s="31"/>
      <c r="Q116" s="75">
        <f>VLOOKUP($C116,'Conversions and Lookups'!$B$30:$E$36, 4, 0)</f>
        <v>0.64775229952066338</v>
      </c>
      <c r="R116" s="30">
        <f t="shared" si="54"/>
        <v>7442.6927558308162</v>
      </c>
      <c r="S116">
        <v>0</v>
      </c>
      <c r="T116" s="76">
        <f>$R116*HLOOKUP(T$77,'Conversions and Lookups'!$B$76:$AE$78, 3, 0)</f>
        <v>1.9527016874252074</v>
      </c>
      <c r="U116" s="76">
        <f>$R116*HLOOKUP(U$77,'Conversions and Lookups'!$B$76:$AE$78, 3, 0)</f>
        <v>1.7880077575244413</v>
      </c>
      <c r="V116" s="76">
        <f>$R116*HLOOKUP(V$77,'Conversions and Lookups'!$B$76:$AE$78, 3, 0)</f>
        <v>1.7288068926465545</v>
      </c>
      <c r="W116" s="76">
        <f>$R116*HLOOKUP(W$77,'Conversions and Lookups'!$B$76:$AE$78, 3, 0)</f>
        <v>1.4680358935009772</v>
      </c>
      <c r="X116" s="76">
        <f>$R116*HLOOKUP(X$77,'Conversions and Lookups'!$B$76:$AE$78, 3, 0)</f>
        <v>1.3747546590039323</v>
      </c>
      <c r="Y116" s="76">
        <f>$R116*HLOOKUP(Y$77,'Conversions and Lookups'!$B$76:$AE$78, 3, 0)</f>
        <v>1.2886637961692109</v>
      </c>
      <c r="Z116" s="76">
        <f>$R116*HLOOKUP(Z$77,'Conversions and Lookups'!$B$76:$AE$78, 3, 0)</f>
        <v>1.2868543134414019</v>
      </c>
      <c r="AA116" s="76">
        <f>$R116*HLOOKUP(AA$77,'Conversions and Lookups'!$B$76:$AE$78, 3, 0)</f>
        <v>1.2684274738982975</v>
      </c>
      <c r="AB116" s="76">
        <f>$R116*HLOOKUP(AB$77,'Conversions and Lookups'!$B$76:$AE$78, 3, 0)</f>
        <v>1.0985418708882466</v>
      </c>
      <c r="AC116" s="76">
        <f>$R116*HLOOKUP(AC$77,'Conversions and Lookups'!$B$76:$AE$78, 3, 0)</f>
        <v>1.0250942741558946</v>
      </c>
      <c r="AD116" s="76">
        <f>$R116*HLOOKUP(AD$77,'Conversions and Lookups'!$B$76:$AE$78, 3, 0)</f>
        <v>1.0133389496052359</v>
      </c>
      <c r="AE116" s="76">
        <f>$R116*HLOOKUP(AE$77,'Conversions and Lookups'!$B$76:$AE$78, 3, 0)</f>
        <v>1.0117221624046517</v>
      </c>
      <c r="AF116" s="76">
        <v>0</v>
      </c>
      <c r="AG116" s="76">
        <v>0</v>
      </c>
      <c r="AH116" s="76">
        <v>0</v>
      </c>
      <c r="AI116" s="76">
        <v>0</v>
      </c>
      <c r="AJ116" s="76">
        <v>0</v>
      </c>
      <c r="AK116" s="76">
        <v>0</v>
      </c>
      <c r="AL116" s="76">
        <v>0</v>
      </c>
      <c r="AM116" s="76">
        <v>0</v>
      </c>
      <c r="AN116" s="76">
        <v>0</v>
      </c>
      <c r="AO116" s="76">
        <v>0</v>
      </c>
      <c r="AP116" s="76">
        <v>0</v>
      </c>
      <c r="AQ116" s="76">
        <v>0</v>
      </c>
      <c r="AR116" s="77">
        <v>0</v>
      </c>
      <c r="AT116" s="82">
        <f>SUMIFS('Conversions and Lookups'!$F$58:$F$72,'Conversions and Lookups'!$G$58:$G$72,'Measure 2'!AT$77,'Conversions and Lookups'!$C$58:$C$72,'Measure 2'!$C116)*'Measure 2'!$F116</f>
        <v>18487.456784010643</v>
      </c>
      <c r="AU116" s="30">
        <f>SUMIFS('Conversions and Lookups'!$F$58:$F$72,'Conversions and Lookups'!$G$58:$G$72,'Measure 2'!AU$77,'Conversions and Lookups'!$C$58:$C$72,'Measure 2'!$C116)*'Measure 2'!$F116</f>
        <v>13270.983583301613</v>
      </c>
      <c r="AV116" s="83">
        <f>SUMIFS('Conversions and Lookups'!$F$58:$F$72,'Conversions and Lookups'!$G$58:$G$72,'Measure 2'!AV$77,'Conversions and Lookups'!$C$58:$C$72,'Measure 2'!$C116)*'Measure 2'!$F116</f>
        <v>597.48151197548384</v>
      </c>
    </row>
    <row r="117" spans="2:48" x14ac:dyDescent="0.35">
      <c r="B117" s="57" t="s">
        <v>217</v>
      </c>
      <c r="C117" s="58" t="s">
        <v>212</v>
      </c>
      <c r="D117" s="58">
        <v>2</v>
      </c>
      <c r="E117" s="59">
        <v>8646.184172570689</v>
      </c>
      <c r="F117" s="59">
        <f t="shared" si="49"/>
        <v>17292.368345141378</v>
      </c>
      <c r="G117" s="58" t="s">
        <v>278</v>
      </c>
      <c r="H117" s="60">
        <f>VLOOKUP($C117,'Conversions and Lookups'!$B$30:$E$36, 3, 0)</f>
        <v>27.5</v>
      </c>
      <c r="I117" s="61">
        <f t="shared" si="50"/>
        <v>628.81339436877738</v>
      </c>
      <c r="J117" s="62">
        <f>I117*VLOOKUP($G117,'Conversions and Lookups'!$B$41:$D$43,3, 0)</f>
        <v>5.5209816025578649</v>
      </c>
      <c r="K117" s="63">
        <f>$F117*VLOOKUP($C117,'Conversions and Lookups'!$C$47:$G$52, 4, 0)</f>
        <v>2.469350199686189E-3</v>
      </c>
      <c r="L117" s="64">
        <f>$F117*VLOOKUP($C117,'Conversions and Lookups'!$C$47:$G$52, 5, 0)</f>
        <v>6.4154686560474504E-3</v>
      </c>
      <c r="M117" s="62">
        <f t="shared" si="51"/>
        <v>5.5298664214135984</v>
      </c>
      <c r="N117" s="62">
        <f t="shared" si="52"/>
        <v>27.649332107067991</v>
      </c>
      <c r="O117" s="65">
        <f t="shared" si="53"/>
        <v>66.358397056963184</v>
      </c>
      <c r="P117" s="31"/>
      <c r="Q117" s="75">
        <f>VLOOKUP($C117,'Conversions and Lookups'!$B$30:$E$36, 4, 0)</f>
        <v>0.33428046130703665</v>
      </c>
      <c r="R117" s="30">
        <f t="shared" si="54"/>
        <v>5780.5008675050576</v>
      </c>
      <c r="S117">
        <v>0</v>
      </c>
      <c r="T117" s="76">
        <f>$R117*HLOOKUP(T$77,'Conversions and Lookups'!$B$76:$AE$78, 3, 0)</f>
        <v>1.5166008014098098</v>
      </c>
      <c r="U117" s="76">
        <f>$R117*HLOOKUP(U$77,'Conversions and Lookups'!$B$76:$AE$78, 3, 0)</f>
        <v>1.3886883057719426</v>
      </c>
      <c r="V117" s="76">
        <f>$R117*HLOOKUP(V$77,'Conversions and Lookups'!$B$76:$AE$78, 3, 0)</f>
        <v>1.3427088918675358</v>
      </c>
      <c r="W117" s="76">
        <f>$R117*HLOOKUP(W$77,'Conversions and Lookups'!$B$76:$AE$78, 3, 0)</f>
        <v>1.140176416561439</v>
      </c>
      <c r="X117" s="76">
        <f>$R117*HLOOKUP(X$77,'Conversions and Lookups'!$B$76:$AE$78, 3, 0)</f>
        <v>1.0677278721136414</v>
      </c>
      <c r="Y117" s="76">
        <f>$R117*HLOOKUP(Y$77,'Conversions and Lookups'!$B$76:$AE$78, 3, 0)</f>
        <v>1.000863858828867</v>
      </c>
      <c r="Z117" s="76">
        <f>$R117*HLOOKUP(Z$77,'Conversions and Lookups'!$B$76:$AE$78, 3, 0)</f>
        <v>0.99945849160211397</v>
      </c>
      <c r="AA117" s="76">
        <f>$R117*HLOOKUP(AA$77,'Conversions and Lookups'!$B$76:$AE$78, 3, 0)</f>
        <v>0.9851469560519136</v>
      </c>
      <c r="AB117" s="76">
        <f>$R117*HLOOKUP(AB$77,'Conversions and Lookups'!$B$76:$AE$78, 3, 0)</f>
        <v>0.85320225434339925</v>
      </c>
      <c r="AC117" s="76">
        <f>$R117*HLOOKUP(AC$77,'Conversions and Lookups'!$B$76:$AE$78, 3, 0)</f>
        <v>0.79615786052573057</v>
      </c>
      <c r="AD117" s="76">
        <f>$R117*HLOOKUP(AD$77,'Conversions and Lookups'!$B$76:$AE$78, 3, 0)</f>
        <v>0.78702787679643438</v>
      </c>
      <c r="AE117" s="76">
        <f>$R117*HLOOKUP(AE$77,'Conversions and Lookups'!$B$76:$AE$78, 3, 0)</f>
        <v>0.78577217000829291</v>
      </c>
      <c r="AF117" s="76">
        <v>0</v>
      </c>
      <c r="AG117" s="76">
        <v>0</v>
      </c>
      <c r="AH117" s="76">
        <v>0</v>
      </c>
      <c r="AI117" s="76">
        <v>0</v>
      </c>
      <c r="AJ117" s="76">
        <v>0</v>
      </c>
      <c r="AK117" s="76">
        <v>0</v>
      </c>
      <c r="AL117" s="76">
        <v>0</v>
      </c>
      <c r="AM117" s="76">
        <v>0</v>
      </c>
      <c r="AN117" s="76">
        <v>0</v>
      </c>
      <c r="AO117" s="76">
        <v>0</v>
      </c>
      <c r="AP117" s="76">
        <v>0</v>
      </c>
      <c r="AQ117" s="76">
        <v>0</v>
      </c>
      <c r="AR117" s="77">
        <v>0</v>
      </c>
      <c r="AT117" s="82">
        <f>SUMIFS('Conversions and Lookups'!$F$58:$F$72,'Conversions and Lookups'!$G$58:$G$72,'Measure 2'!AT$77,'Conversions and Lookups'!$C$58:$C$72,'Measure 2'!$C117)*'Measure 2'!$F117</f>
        <v>58603.836321684124</v>
      </c>
      <c r="AU117" s="30">
        <f>SUMIFS('Conversions and Lookups'!$F$58:$F$72,'Conversions and Lookups'!$G$58:$G$72,'Measure 2'!AU$77,'Conversions and Lookups'!$C$58:$C$72,'Measure 2'!$C117)*'Measure 2'!$F117</f>
        <v>1504.4360460272999</v>
      </c>
      <c r="AV117" s="83">
        <f>SUMIFS('Conversions and Lookups'!$F$58:$F$72,'Conversions and Lookups'!$G$58:$G$72,'Measure 2'!AV$77,'Conversions and Lookups'!$C$58:$C$72,'Measure 2'!$C117)*'Measure 2'!$F117</f>
        <v>34.58473669028276</v>
      </c>
    </row>
    <row r="118" spans="2:48" x14ac:dyDescent="0.35">
      <c r="B118" s="57" t="s">
        <v>217</v>
      </c>
      <c r="C118" s="58" t="s">
        <v>214</v>
      </c>
      <c r="D118" s="58">
        <v>4</v>
      </c>
      <c r="E118" s="59">
        <v>5745.0145382258061</v>
      </c>
      <c r="F118" s="59">
        <f t="shared" si="49"/>
        <v>22980.058152903224</v>
      </c>
      <c r="G118" s="58" t="s">
        <v>279</v>
      </c>
      <c r="H118" s="60">
        <f>VLOOKUP($C118,'Conversions and Lookups'!$B$30:$E$36, 3, 0)</f>
        <v>15.064935064935064</v>
      </c>
      <c r="I118" s="61">
        <f t="shared" si="50"/>
        <v>1525.4004118737487</v>
      </c>
      <c r="J118" s="62">
        <f>I118*VLOOKUP($G118,'Conversions and Lookups'!$B$41:$D$43,3, 0)</f>
        <v>15.574338205230974</v>
      </c>
      <c r="K118" s="63">
        <f>$F118*VLOOKUP($C118,'Conversions and Lookups'!$C$47:$G$52, 4, 0)</f>
        <v>1.8659807220157417E-2</v>
      </c>
      <c r="L118" s="64">
        <f>$F118*VLOOKUP($C118,'Conversions and Lookups'!$C$47:$G$52, 5, 0)</f>
        <v>0.13031990978511418</v>
      </c>
      <c r="M118" s="62">
        <f t="shared" si="51"/>
        <v>15.723317922236246</v>
      </c>
      <c r="N118" s="62">
        <f t="shared" si="52"/>
        <v>78.616589611181226</v>
      </c>
      <c r="O118" s="65">
        <f t="shared" si="53"/>
        <v>188.67981506683495</v>
      </c>
      <c r="P118" s="31"/>
      <c r="Q118" s="75">
        <f>VLOOKUP($C118,'Conversions and Lookups'!$B$30:$E$36, 4, 0)</f>
        <v>0.64775229952066338</v>
      </c>
      <c r="R118" s="30">
        <f t="shared" si="54"/>
        <v>14885.385511661632</v>
      </c>
      <c r="S118">
        <v>0</v>
      </c>
      <c r="T118" s="76">
        <f>$R118*HLOOKUP(T$77,'Conversions and Lookups'!$B$76:$AE$78, 3, 0)</f>
        <v>3.9054033748504149</v>
      </c>
      <c r="U118" s="76">
        <f>$R118*HLOOKUP(U$77,'Conversions and Lookups'!$B$76:$AE$78, 3, 0)</f>
        <v>3.5760155150488826</v>
      </c>
      <c r="V118" s="76">
        <f>$R118*HLOOKUP(V$77,'Conversions and Lookups'!$B$76:$AE$78, 3, 0)</f>
        <v>3.457613785293109</v>
      </c>
      <c r="W118" s="76">
        <f>$R118*HLOOKUP(W$77,'Conversions and Lookups'!$B$76:$AE$78, 3, 0)</f>
        <v>2.9360717870019544</v>
      </c>
      <c r="X118" s="76">
        <f>$R118*HLOOKUP(X$77,'Conversions and Lookups'!$B$76:$AE$78, 3, 0)</f>
        <v>2.7495093180078647</v>
      </c>
      <c r="Y118" s="76">
        <f>$R118*HLOOKUP(Y$77,'Conversions and Lookups'!$B$76:$AE$78, 3, 0)</f>
        <v>2.5773275923384218</v>
      </c>
      <c r="Z118" s="76">
        <f>$R118*HLOOKUP(Z$77,'Conversions and Lookups'!$B$76:$AE$78, 3, 0)</f>
        <v>2.5737086268828038</v>
      </c>
      <c r="AA118" s="76">
        <f>$R118*HLOOKUP(AA$77,'Conversions and Lookups'!$B$76:$AE$78, 3, 0)</f>
        <v>2.5368549477965949</v>
      </c>
      <c r="AB118" s="76">
        <f>$R118*HLOOKUP(AB$77,'Conversions and Lookups'!$B$76:$AE$78, 3, 0)</f>
        <v>2.1970837417764932</v>
      </c>
      <c r="AC118" s="76">
        <f>$R118*HLOOKUP(AC$77,'Conversions and Lookups'!$B$76:$AE$78, 3, 0)</f>
        <v>2.0501885483117892</v>
      </c>
      <c r="AD118" s="76">
        <f>$R118*HLOOKUP(AD$77,'Conversions and Lookups'!$B$76:$AE$78, 3, 0)</f>
        <v>2.0266778992104717</v>
      </c>
      <c r="AE118" s="76">
        <f>$R118*HLOOKUP(AE$77,'Conversions and Lookups'!$B$76:$AE$78, 3, 0)</f>
        <v>2.0234443248093035</v>
      </c>
      <c r="AF118" s="76">
        <v>0</v>
      </c>
      <c r="AG118" s="76">
        <v>0</v>
      </c>
      <c r="AH118" s="76">
        <v>0</v>
      </c>
      <c r="AI118" s="76">
        <v>0</v>
      </c>
      <c r="AJ118" s="76">
        <v>0</v>
      </c>
      <c r="AK118" s="76">
        <v>0</v>
      </c>
      <c r="AL118" s="76">
        <v>0</v>
      </c>
      <c r="AM118" s="76">
        <v>0</v>
      </c>
      <c r="AN118" s="76">
        <v>0</v>
      </c>
      <c r="AO118" s="76">
        <v>0</v>
      </c>
      <c r="AP118" s="76">
        <v>0</v>
      </c>
      <c r="AQ118" s="76">
        <v>0</v>
      </c>
      <c r="AR118" s="77">
        <v>0</v>
      </c>
      <c r="AT118" s="82">
        <f>SUMIFS('Conversions and Lookups'!$F$58:$F$72,'Conversions and Lookups'!$G$58:$G$72,'Measure 2'!AT$77,'Conversions and Lookups'!$C$58:$C$72,'Measure 2'!$C118)*'Measure 2'!$F118</f>
        <v>36974.913568021286</v>
      </c>
      <c r="AU118" s="30">
        <f>SUMIFS('Conversions and Lookups'!$F$58:$F$72,'Conversions and Lookups'!$G$58:$G$72,'Measure 2'!AU$77,'Conversions and Lookups'!$C$58:$C$72,'Measure 2'!$C118)*'Measure 2'!$F118</f>
        <v>26541.967166603226</v>
      </c>
      <c r="AV118" s="83">
        <f>SUMIFS('Conversions and Lookups'!$F$58:$F$72,'Conversions and Lookups'!$G$58:$G$72,'Measure 2'!AV$77,'Conversions and Lookups'!$C$58:$C$72,'Measure 2'!$C118)*'Measure 2'!$F118</f>
        <v>1194.9630239509677</v>
      </c>
    </row>
    <row r="119" spans="2:48" x14ac:dyDescent="0.35">
      <c r="B119" s="57" t="s">
        <v>217</v>
      </c>
      <c r="C119" s="58" t="s">
        <v>219</v>
      </c>
      <c r="D119" s="58">
        <v>4</v>
      </c>
      <c r="E119" s="59">
        <v>11084.519142954545</v>
      </c>
      <c r="F119" s="59">
        <f t="shared" si="49"/>
        <v>44338.076571818179</v>
      </c>
      <c r="G119" s="58" t="s">
        <v>279</v>
      </c>
      <c r="H119" s="60">
        <f>VLOOKUP($C119,'Conversions and Lookups'!$B$30:$E$36, 3, 0)</f>
        <v>10.38961038961039</v>
      </c>
      <c r="I119" s="61">
        <f t="shared" si="50"/>
        <v>4267.5398700374999</v>
      </c>
      <c r="J119" s="62">
        <f>I119*VLOOKUP($G119,'Conversions and Lookups'!$B$41:$D$43,3, 0)</f>
        <v>43.571582073082872</v>
      </c>
      <c r="K119" s="63">
        <f>$F119*VLOOKUP($C119,'Conversions and Lookups'!$C$47:$G$52, 4, 0)</f>
        <v>3.6002518176316362E-2</v>
      </c>
      <c r="L119" s="64">
        <f>$F119*VLOOKUP($C119,'Conversions and Lookups'!$C$47:$G$52, 5, 0)</f>
        <v>0.2514412322387809</v>
      </c>
      <c r="M119" s="62">
        <f t="shared" si="51"/>
        <v>43.859025823497973</v>
      </c>
      <c r="N119" s="62">
        <f t="shared" si="52"/>
        <v>219.29512911748986</v>
      </c>
      <c r="O119" s="65">
        <f t="shared" si="53"/>
        <v>526.30830988197567</v>
      </c>
      <c r="P119" s="31"/>
      <c r="Q119" s="75">
        <f>VLOOKUP($C119,'Conversions and Lookups'!$B$30:$E$36, 4, 0)</f>
        <v>0.94046835323991351</v>
      </c>
      <c r="R119" s="30">
        <f t="shared" si="54"/>
        <v>41698.557859323031</v>
      </c>
      <c r="S119">
        <v>0</v>
      </c>
      <c r="T119" s="76">
        <f>$R119*HLOOKUP(T$77,'Conversions and Lookups'!$B$76:$AE$78, 3, 0)</f>
        <v>10.94023990595436</v>
      </c>
      <c r="U119" s="76">
        <f>$R119*HLOOKUP(U$77,'Conversions and Lookups'!$B$76:$AE$78, 3, 0)</f>
        <v>10.017522874586085</v>
      </c>
      <c r="V119" s="76">
        <f>$R119*HLOOKUP(V$77,'Conversions and Lookups'!$B$76:$AE$78, 3, 0)</f>
        <v>9.6858430954498882</v>
      </c>
      <c r="W119" s="76">
        <f>$R119*HLOOKUP(W$77,'Conversions and Lookups'!$B$76:$AE$78, 3, 0)</f>
        <v>8.2248430310059391</v>
      </c>
      <c r="X119" s="76">
        <f>$R119*HLOOKUP(X$77,'Conversions and Lookups'!$B$76:$AE$78, 3, 0)</f>
        <v>7.702223989555276</v>
      </c>
      <c r="Y119" s="76">
        <f>$R119*HLOOKUP(Y$77,'Conversions and Lookups'!$B$76:$AE$78, 3, 0)</f>
        <v>7.2198898474854891</v>
      </c>
      <c r="Z119" s="76">
        <f>$R119*HLOOKUP(Z$77,'Conversions and Lookups'!$B$76:$AE$78, 3, 0)</f>
        <v>7.2097520085747151</v>
      </c>
      <c r="AA119" s="76">
        <f>$R119*HLOOKUP(AA$77,'Conversions and Lookups'!$B$76:$AE$78, 3, 0)</f>
        <v>7.1065134818666715</v>
      </c>
      <c r="AB119" s="76">
        <f>$R119*HLOOKUP(AB$77,'Conversions and Lookups'!$B$76:$AE$78, 3, 0)</f>
        <v>6.154709493850266</v>
      </c>
      <c r="AC119" s="76">
        <f>$R119*HLOOKUP(AC$77,'Conversions and Lookups'!$B$76:$AE$78, 3, 0)</f>
        <v>5.743210730909551</v>
      </c>
      <c r="AD119" s="76">
        <f>$R119*HLOOKUP(AD$77,'Conversions and Lookups'!$B$76:$AE$78, 3, 0)</f>
        <v>5.6773501483204409</v>
      </c>
      <c r="AE119" s="76">
        <f>$R119*HLOOKUP(AE$77,'Conversions and Lookups'!$B$76:$AE$78, 3, 0)</f>
        <v>5.6682919086696169</v>
      </c>
      <c r="AF119" s="76">
        <v>0</v>
      </c>
      <c r="AG119" s="76">
        <v>0</v>
      </c>
      <c r="AH119" s="76">
        <v>0</v>
      </c>
      <c r="AI119" s="76">
        <v>0</v>
      </c>
      <c r="AJ119" s="76">
        <v>0</v>
      </c>
      <c r="AK119" s="76">
        <v>0</v>
      </c>
      <c r="AL119" s="76">
        <v>0</v>
      </c>
      <c r="AM119" s="76">
        <v>0</v>
      </c>
      <c r="AN119" s="76">
        <v>0</v>
      </c>
      <c r="AO119" s="76">
        <v>0</v>
      </c>
      <c r="AP119" s="76">
        <v>0</v>
      </c>
      <c r="AQ119" s="76">
        <v>0</v>
      </c>
      <c r="AR119" s="77">
        <v>0</v>
      </c>
      <c r="AT119" s="82">
        <f>SUMIFS('Conversions and Lookups'!$F$58:$F$72,'Conversions and Lookups'!$G$58:$G$72,'Measure 2'!AT$77,'Conversions and Lookups'!$C$58:$C$72,'Measure 2'!$C119)*'Measure 2'!$F119</f>
        <v>71339.96520405545</v>
      </c>
      <c r="AU119" s="30">
        <f>SUMIFS('Conversions and Lookups'!$F$58:$F$72,'Conversions and Lookups'!$G$58:$G$72,'Measure 2'!AU$77,'Conversions and Lookups'!$C$58:$C$72,'Measure 2'!$C119)*'Measure 2'!$F119</f>
        <v>51210.478440449995</v>
      </c>
      <c r="AV119" s="83">
        <f>SUMIFS('Conversions and Lookups'!$F$58:$F$72,'Conversions and Lookups'!$G$58:$G$72,'Measure 2'!AV$77,'Conversions and Lookups'!$C$58:$C$72,'Measure 2'!$C119)*'Measure 2'!$F119</f>
        <v>2305.5799817345451</v>
      </c>
    </row>
    <row r="120" spans="2:48" x14ac:dyDescent="0.35">
      <c r="B120" s="57" t="s">
        <v>217</v>
      </c>
      <c r="C120" s="58" t="s">
        <v>222</v>
      </c>
      <c r="D120" s="58">
        <v>2</v>
      </c>
      <c r="E120" s="59">
        <v>9557.5524831531493</v>
      </c>
      <c r="F120" s="59">
        <f t="shared" si="49"/>
        <v>19115.104966306299</v>
      </c>
      <c r="G120" s="58" t="s">
        <v>279</v>
      </c>
      <c r="H120" s="60">
        <f>VLOOKUP($C120,'Conversions and Lookups'!$B$30:$E$36, 3, 0)</f>
        <v>20.9</v>
      </c>
      <c r="I120" s="61">
        <f t="shared" si="50"/>
        <v>914.59832374671294</v>
      </c>
      <c r="J120" s="62">
        <f>I120*VLOOKUP($G120,'Conversions and Lookups'!$B$41:$D$43,3, 0)</f>
        <v>9.3380488854539401</v>
      </c>
      <c r="K120" s="63">
        <f>$F120*VLOOKUP($C120,'Conversions and Lookups'!$C$47:$G$52, 4, 0)</f>
        <v>4.2282612185469528E-3</v>
      </c>
      <c r="L120" s="64">
        <f>$F120*VLOOKUP($C120,'Conversions and Lookups'!$C$47:$G$52, 5, 0)</f>
        <v>6.0786033792854018E-3</v>
      </c>
      <c r="M120" s="62">
        <f t="shared" si="51"/>
        <v>9.3483557500517716</v>
      </c>
      <c r="N120" s="62">
        <f t="shared" si="52"/>
        <v>46.74177875025886</v>
      </c>
      <c r="O120" s="65">
        <f t="shared" si="53"/>
        <v>112.18026900062125</v>
      </c>
      <c r="P120" s="31"/>
      <c r="Q120" s="75">
        <f>VLOOKUP($C120,'Conversions and Lookups'!$B$30:$E$36, 4, 0)</f>
        <v>0.43888523151195957</v>
      </c>
      <c r="R120" s="30">
        <f t="shared" si="54"/>
        <v>8389.3372685127488</v>
      </c>
      <c r="S120">
        <v>0</v>
      </c>
      <c r="T120" s="76">
        <f>$R120*HLOOKUP(T$77,'Conversions and Lookups'!$B$76:$AE$78, 3, 0)</f>
        <v>2.2010680244418261</v>
      </c>
      <c r="U120" s="76">
        <f>$R120*HLOOKUP(U$77,'Conversions and Lookups'!$B$76:$AE$78, 3, 0)</f>
        <v>2.0154264872533023</v>
      </c>
      <c r="V120" s="76">
        <f>$R120*HLOOKUP(V$77,'Conversions and Lookups'!$B$76:$AE$78, 3, 0)</f>
        <v>1.9486957973885153</v>
      </c>
      <c r="W120" s="76">
        <f>$R120*HLOOKUP(W$77,'Conversions and Lookups'!$B$76:$AE$78, 3, 0)</f>
        <v>1.6547570398111056</v>
      </c>
      <c r="X120" s="76">
        <f>$R120*HLOOKUP(X$77,'Conversions and Lookups'!$B$76:$AE$78, 3, 0)</f>
        <v>1.5496112595549141</v>
      </c>
      <c r="Y120" s="76">
        <f>$R120*HLOOKUP(Y$77,'Conversions and Lookups'!$B$76:$AE$78, 3, 0)</f>
        <v>1.4525704024683548</v>
      </c>
      <c r="Z120" s="76">
        <f>$R120*HLOOKUP(Z$77,'Conversions and Lookups'!$B$76:$AE$78, 3, 0)</f>
        <v>1.4505307695850485</v>
      </c>
      <c r="AA120" s="76">
        <f>$R120*HLOOKUP(AA$77,'Conversions and Lookups'!$B$76:$AE$78, 3, 0)</f>
        <v>1.4297601994713269</v>
      </c>
      <c r="AB120" s="76">
        <f>$R120*HLOOKUP(AB$77,'Conversions and Lookups'!$B$76:$AE$78, 3, 0)</f>
        <v>1.238266654396607</v>
      </c>
      <c r="AC120" s="76">
        <f>$R120*HLOOKUP(AC$77,'Conversions and Lookups'!$B$76:$AE$78, 3, 0)</f>
        <v>1.1554771747332573</v>
      </c>
      <c r="AD120" s="76">
        <f>$R120*HLOOKUP(AD$77,'Conversions and Lookups'!$B$76:$AE$78, 3, 0)</f>
        <v>1.1422266771523859</v>
      </c>
      <c r="AE120" s="76">
        <f>$R120*HLOOKUP(AE$77,'Conversions and Lookups'!$B$76:$AE$78, 3, 0)</f>
        <v>1.1404042489584385</v>
      </c>
      <c r="AF120" s="76">
        <v>0</v>
      </c>
      <c r="AG120" s="76">
        <v>0</v>
      </c>
      <c r="AH120" s="76">
        <v>0</v>
      </c>
      <c r="AI120" s="76">
        <v>0</v>
      </c>
      <c r="AJ120" s="76">
        <v>0</v>
      </c>
      <c r="AK120" s="76">
        <v>0</v>
      </c>
      <c r="AL120" s="76">
        <v>0</v>
      </c>
      <c r="AM120" s="76">
        <v>0</v>
      </c>
      <c r="AN120" s="76">
        <v>0</v>
      </c>
      <c r="AO120" s="76">
        <v>0</v>
      </c>
      <c r="AP120" s="76">
        <v>0</v>
      </c>
      <c r="AQ120" s="76">
        <v>0</v>
      </c>
      <c r="AR120" s="77">
        <v>0</v>
      </c>
      <c r="AT120" s="82">
        <f>SUMIFS('Conversions and Lookups'!$F$58:$F$72,'Conversions and Lookups'!$G$58:$G$72,'Measure 2'!AT$77,'Conversions and Lookups'!$C$58:$C$72,'Measure 2'!$C120)*'Measure 2'!$F120</f>
        <v>57937.88315287439</v>
      </c>
      <c r="AU120" s="30">
        <f>SUMIFS('Conversions and Lookups'!$F$58:$F$72,'Conversions and Lookups'!$G$58:$G$72,'Measure 2'!AU$77,'Conversions and Lookups'!$C$58:$C$72,'Measure 2'!$C120)*'Measure 2'!$F120</f>
        <v>2351.1579108556748</v>
      </c>
      <c r="AV120" s="83">
        <f>SUMIFS('Conversions and Lookups'!$F$58:$F$72,'Conversions and Lookups'!$G$58:$G$72,'Measure 2'!AV$77,'Conversions and Lookups'!$C$58:$C$72,'Measure 2'!$C120)*'Measure 2'!$F120</f>
        <v>38.230209932612595</v>
      </c>
    </row>
    <row r="121" spans="2:48" x14ac:dyDescent="0.35">
      <c r="B121" s="57" t="s">
        <v>217</v>
      </c>
      <c r="C121" s="58" t="s">
        <v>212</v>
      </c>
      <c r="D121" s="58">
        <v>6</v>
      </c>
      <c r="E121" s="59">
        <v>8646.184172570689</v>
      </c>
      <c r="F121" s="59">
        <f t="shared" si="49"/>
        <v>51877.105035424131</v>
      </c>
      <c r="G121" s="58" t="s">
        <v>278</v>
      </c>
      <c r="H121" s="60">
        <f>VLOOKUP($C121,'Conversions and Lookups'!$B$30:$E$36, 3, 0)</f>
        <v>27.5</v>
      </c>
      <c r="I121" s="61">
        <f t="shared" si="50"/>
        <v>1886.4401831063319</v>
      </c>
      <c r="J121" s="62">
        <f>I121*VLOOKUP($G121,'Conversions and Lookups'!$B$41:$D$43,3, 0)</f>
        <v>16.562944807673592</v>
      </c>
      <c r="K121" s="63">
        <f>$F121*VLOOKUP($C121,'Conversions and Lookups'!$C$47:$G$52, 4, 0)</f>
        <v>7.408050599058566E-3</v>
      </c>
      <c r="L121" s="64">
        <f>$F121*VLOOKUP($C121,'Conversions and Lookups'!$C$47:$G$52, 5, 0)</f>
        <v>1.9246405968142352E-2</v>
      </c>
      <c r="M121" s="62">
        <f t="shared" si="51"/>
        <v>16.589599264240793</v>
      </c>
      <c r="N121" s="62">
        <f t="shared" si="52"/>
        <v>82.947996321203959</v>
      </c>
      <c r="O121" s="65">
        <f t="shared" si="53"/>
        <v>199.07519117088952</v>
      </c>
      <c r="P121" s="31"/>
      <c r="Q121" s="75">
        <f>VLOOKUP($C121,'Conversions and Lookups'!$B$30:$E$36, 4, 0)</f>
        <v>0.33428046130703665</v>
      </c>
      <c r="R121" s="30">
        <f t="shared" si="54"/>
        <v>17341.502602515171</v>
      </c>
      <c r="S121">
        <v>0</v>
      </c>
      <c r="T121" s="76">
        <f>$R121*HLOOKUP(T$77,'Conversions and Lookups'!$B$76:$AE$78, 3, 0)</f>
        <v>4.5498024042294292</v>
      </c>
      <c r="U121" s="76">
        <f>$R121*HLOOKUP(U$77,'Conversions and Lookups'!$B$76:$AE$78, 3, 0)</f>
        <v>4.1660649173158273</v>
      </c>
      <c r="V121" s="76">
        <f>$R121*HLOOKUP(V$77,'Conversions and Lookups'!$B$76:$AE$78, 3, 0)</f>
        <v>4.0281266756026071</v>
      </c>
      <c r="W121" s="76">
        <f>$R121*HLOOKUP(W$77,'Conversions and Lookups'!$B$76:$AE$78, 3, 0)</f>
        <v>3.4205292496843165</v>
      </c>
      <c r="X121" s="76">
        <f>$R121*HLOOKUP(X$77,'Conversions and Lookups'!$B$76:$AE$78, 3, 0)</f>
        <v>3.2031836163409237</v>
      </c>
      <c r="Y121" s="76">
        <f>$R121*HLOOKUP(Y$77,'Conversions and Lookups'!$B$76:$AE$78, 3, 0)</f>
        <v>3.0025915764866005</v>
      </c>
      <c r="Z121" s="76">
        <f>$R121*HLOOKUP(Z$77,'Conversions and Lookups'!$B$76:$AE$78, 3, 0)</f>
        <v>2.9983754748063416</v>
      </c>
      <c r="AA121" s="76">
        <f>$R121*HLOOKUP(AA$77,'Conversions and Lookups'!$B$76:$AE$78, 3, 0)</f>
        <v>2.9554408681557405</v>
      </c>
      <c r="AB121" s="76">
        <f>$R121*HLOOKUP(AB$77,'Conversions and Lookups'!$B$76:$AE$78, 3, 0)</f>
        <v>2.5596067630301973</v>
      </c>
      <c r="AC121" s="76">
        <f>$R121*HLOOKUP(AC$77,'Conversions and Lookups'!$B$76:$AE$78, 3, 0)</f>
        <v>2.3884735815771916</v>
      </c>
      <c r="AD121" s="76">
        <f>$R121*HLOOKUP(AD$77,'Conversions and Lookups'!$B$76:$AE$78, 3, 0)</f>
        <v>2.3610836303893028</v>
      </c>
      <c r="AE121" s="76">
        <f>$R121*HLOOKUP(AE$77,'Conversions and Lookups'!$B$76:$AE$78, 3, 0)</f>
        <v>2.3573165100248787</v>
      </c>
      <c r="AF121" s="76">
        <v>0</v>
      </c>
      <c r="AG121" s="76">
        <v>0</v>
      </c>
      <c r="AH121" s="76">
        <v>0</v>
      </c>
      <c r="AI121" s="76">
        <v>0</v>
      </c>
      <c r="AJ121" s="76">
        <v>0</v>
      </c>
      <c r="AK121" s="76">
        <v>0</v>
      </c>
      <c r="AL121" s="76">
        <v>0</v>
      </c>
      <c r="AM121" s="76">
        <v>0</v>
      </c>
      <c r="AN121" s="76">
        <v>0</v>
      </c>
      <c r="AO121" s="76">
        <v>0</v>
      </c>
      <c r="AP121" s="76">
        <v>0</v>
      </c>
      <c r="AQ121" s="76">
        <v>0</v>
      </c>
      <c r="AR121" s="77">
        <v>0</v>
      </c>
      <c r="AT121" s="82">
        <f>SUMIFS('Conversions and Lookups'!$F$58:$F$72,'Conversions and Lookups'!$G$58:$G$72,'Measure 2'!AT$77,'Conversions and Lookups'!$C$58:$C$72,'Measure 2'!$C121)*'Measure 2'!$F121</f>
        <v>175811.50896505237</v>
      </c>
      <c r="AU121" s="30">
        <f>SUMIFS('Conversions and Lookups'!$F$58:$F$72,'Conversions and Lookups'!$G$58:$G$72,'Measure 2'!AU$77,'Conversions and Lookups'!$C$58:$C$72,'Measure 2'!$C121)*'Measure 2'!$F121</f>
        <v>4513.3081380818994</v>
      </c>
      <c r="AV121" s="83">
        <f>SUMIFS('Conversions and Lookups'!$F$58:$F$72,'Conversions and Lookups'!$G$58:$G$72,'Measure 2'!AV$77,'Conversions and Lookups'!$C$58:$C$72,'Measure 2'!$C121)*'Measure 2'!$F121</f>
        <v>103.75421007084826</v>
      </c>
    </row>
    <row r="122" spans="2:48" x14ac:dyDescent="0.35">
      <c r="B122" s="57" t="s">
        <v>220</v>
      </c>
      <c r="C122" s="58" t="s">
        <v>212</v>
      </c>
      <c r="D122" s="58">
        <v>1</v>
      </c>
      <c r="E122" s="59">
        <v>3100</v>
      </c>
      <c r="F122" s="59">
        <f t="shared" si="49"/>
        <v>3100</v>
      </c>
      <c r="G122" s="58" t="s">
        <v>278</v>
      </c>
      <c r="H122" s="60">
        <f>VLOOKUP($C122,'Conversions and Lookups'!$B$30:$E$36, 3, 0)</f>
        <v>27.5</v>
      </c>
      <c r="I122" s="61">
        <f t="shared" si="50"/>
        <v>112.72727272727273</v>
      </c>
      <c r="J122" s="62">
        <f>I122*VLOOKUP($G122,'Conversions and Lookups'!$B$41:$D$43,3, 0)</f>
        <v>0.98974545454545459</v>
      </c>
      <c r="K122" s="63">
        <f>$F122*VLOOKUP($C122,'Conversions and Lookups'!$C$47:$G$52, 4, 0)</f>
        <v>4.4268000000000004E-4</v>
      </c>
      <c r="L122" s="64">
        <f>$F122*VLOOKUP($C122,'Conversions and Lookups'!$C$47:$G$52, 5, 0)</f>
        <v>1.1500999999999998E-3</v>
      </c>
      <c r="M122" s="62">
        <f t="shared" si="51"/>
        <v>0.99133823454545467</v>
      </c>
      <c r="N122" s="62">
        <f t="shared" si="52"/>
        <v>4.9566911727272736</v>
      </c>
      <c r="O122" s="65">
        <f t="shared" si="53"/>
        <v>11.896058814545455</v>
      </c>
      <c r="P122" s="31"/>
      <c r="Q122" s="75">
        <f>VLOOKUP($C122,'Conversions and Lookups'!$B$30:$E$36, 4, 0)</f>
        <v>0.33428046130703665</v>
      </c>
      <c r="R122" s="30">
        <f t="shared" si="54"/>
        <v>1036.2694300518135</v>
      </c>
      <c r="S122">
        <v>0</v>
      </c>
      <c r="T122" s="76">
        <f>$R122*HLOOKUP(T$77,'Conversions and Lookups'!$B$76:$AE$78, 3, 0)</f>
        <v>0.27188077367617353</v>
      </c>
      <c r="U122" s="76">
        <f>$R122*HLOOKUP(U$77,'Conversions and Lookups'!$B$76:$AE$78, 3, 0)</f>
        <v>0.24894992183662193</v>
      </c>
      <c r="V122" s="76">
        <f>$R122*HLOOKUP(V$77,'Conversions and Lookups'!$B$76:$AE$78, 3, 0)</f>
        <v>0.24070719994574172</v>
      </c>
      <c r="W122" s="76">
        <f>$R122*HLOOKUP(W$77,'Conversions and Lookups'!$B$76:$AE$78, 3, 0)</f>
        <v>0.20439923674963581</v>
      </c>
      <c r="X122" s="76">
        <f>$R122*HLOOKUP(X$77,'Conversions and Lookups'!$B$76:$AE$78, 3, 0)</f>
        <v>0.19141139822425099</v>
      </c>
      <c r="Y122" s="76">
        <f>$R122*HLOOKUP(Y$77,'Conversions and Lookups'!$B$76:$AE$78, 3, 0)</f>
        <v>0.17942469767255703</v>
      </c>
      <c r="Z122" s="76">
        <f>$R122*HLOOKUP(Z$77,'Conversions and Lookups'!$B$76:$AE$78, 3, 0)</f>
        <v>0.17917275772332747</v>
      </c>
      <c r="AA122" s="76">
        <f>$R122*HLOOKUP(AA$77,'Conversions and Lookups'!$B$76:$AE$78, 3, 0)</f>
        <v>0.17660713112319282</v>
      </c>
      <c r="AB122" s="76">
        <f>$R122*HLOOKUP(AB$77,'Conversions and Lookups'!$B$76:$AE$78, 3, 0)</f>
        <v>0.15295342637133222</v>
      </c>
      <c r="AC122" s="76">
        <f>$R122*HLOOKUP(AC$77,'Conversions and Lookups'!$B$76:$AE$78, 3, 0)</f>
        <v>0.1427270873699161</v>
      </c>
      <c r="AD122" s="76">
        <f>$R122*HLOOKUP(AD$77,'Conversions and Lookups'!$B$76:$AE$78, 3, 0)</f>
        <v>0.14109035670376818</v>
      </c>
      <c r="AE122" s="76">
        <f>$R122*HLOOKUP(AE$77,'Conversions and Lookups'!$B$76:$AE$78, 3, 0)</f>
        <v>0.14086524635650147</v>
      </c>
      <c r="AF122" s="76">
        <v>0</v>
      </c>
      <c r="AG122" s="76">
        <v>0</v>
      </c>
      <c r="AH122" s="76">
        <v>0</v>
      </c>
      <c r="AI122" s="76">
        <v>0</v>
      </c>
      <c r="AJ122" s="76">
        <v>0</v>
      </c>
      <c r="AK122" s="76">
        <v>0</v>
      </c>
      <c r="AL122" s="76">
        <v>0</v>
      </c>
      <c r="AM122" s="76">
        <v>0</v>
      </c>
      <c r="AN122" s="76">
        <v>0</v>
      </c>
      <c r="AO122" s="76">
        <v>0</v>
      </c>
      <c r="AP122" s="76">
        <v>0</v>
      </c>
      <c r="AQ122" s="76">
        <v>0</v>
      </c>
      <c r="AR122" s="77">
        <v>0</v>
      </c>
      <c r="AT122" s="82">
        <f>SUMIFS('Conversions and Lookups'!$F$58:$F$72,'Conversions and Lookups'!$G$58:$G$72,'Measure 2'!AT$77,'Conversions and Lookups'!$C$58:$C$72,'Measure 2'!$C122)*'Measure 2'!$F122</f>
        <v>10505.9</v>
      </c>
      <c r="AU122" s="30">
        <f>SUMIFS('Conversions and Lookups'!$F$58:$F$72,'Conversions and Lookups'!$G$58:$G$72,'Measure 2'!AU$77,'Conversions and Lookups'!$C$58:$C$72,'Measure 2'!$C122)*'Measure 2'!$F122</f>
        <v>269.7</v>
      </c>
      <c r="AV122" s="83">
        <f>SUMIFS('Conversions and Lookups'!$F$58:$F$72,'Conversions and Lookups'!$G$58:$G$72,'Measure 2'!AV$77,'Conversions and Lookups'!$C$58:$C$72,'Measure 2'!$C122)*'Measure 2'!$F122</f>
        <v>6.2</v>
      </c>
    </row>
    <row r="123" spans="2:48" x14ac:dyDescent="0.35">
      <c r="B123" s="57" t="s">
        <v>220</v>
      </c>
      <c r="C123" s="58" t="s">
        <v>212</v>
      </c>
      <c r="D123" s="58">
        <v>1</v>
      </c>
      <c r="E123" s="59">
        <v>15322</v>
      </c>
      <c r="F123" s="59">
        <f t="shared" si="49"/>
        <v>15322</v>
      </c>
      <c r="G123" s="58" t="s">
        <v>278</v>
      </c>
      <c r="H123" s="60">
        <f>VLOOKUP($C123,'Conversions and Lookups'!$B$30:$E$36, 3, 0)</f>
        <v>27.5</v>
      </c>
      <c r="I123" s="61">
        <f t="shared" si="50"/>
        <v>557.16363636363633</v>
      </c>
      <c r="J123" s="62">
        <f>I123*VLOOKUP($G123,'Conversions and Lookups'!$B$41:$D$43,3, 0)</f>
        <v>4.8918967272727265</v>
      </c>
      <c r="K123" s="63">
        <f>$F123*VLOOKUP($C123,'Conversions and Lookups'!$C$47:$G$52, 4, 0)</f>
        <v>2.1879816000000001E-3</v>
      </c>
      <c r="L123" s="64">
        <f>$F123*VLOOKUP($C123,'Conversions and Lookups'!$C$47:$G$52, 5, 0)</f>
        <v>5.6844619999999995E-3</v>
      </c>
      <c r="M123" s="62">
        <f t="shared" si="51"/>
        <v>4.8997691708727258</v>
      </c>
      <c r="N123" s="62">
        <f t="shared" si="52"/>
        <v>24.49884585436363</v>
      </c>
      <c r="O123" s="65">
        <f t="shared" si="53"/>
        <v>58.797230050472706</v>
      </c>
      <c r="P123" s="31"/>
      <c r="Q123" s="75">
        <f>VLOOKUP($C123,'Conversions and Lookups'!$B$30:$E$36, 4, 0)</f>
        <v>0.33428046130703665</v>
      </c>
      <c r="R123" s="30">
        <f t="shared" si="54"/>
        <v>5121.8452281464151</v>
      </c>
      <c r="S123">
        <v>0</v>
      </c>
      <c r="T123" s="76">
        <f>$R123*HLOOKUP(T$77,'Conversions and Lookups'!$B$76:$AE$78, 3, 0)</f>
        <v>1.3437926497633323</v>
      </c>
      <c r="U123" s="76">
        <f>$R123*HLOOKUP(U$77,'Conversions and Lookups'!$B$76:$AE$78, 3, 0)</f>
        <v>1.2304550652841038</v>
      </c>
      <c r="V123" s="76">
        <f>$R123*HLOOKUP(V$77,'Conversions and Lookups'!$B$76:$AE$78, 3, 0)</f>
        <v>1.1897147476027918</v>
      </c>
      <c r="W123" s="76">
        <f>$R123*HLOOKUP(W$77,'Conversions and Lookups'!$B$76:$AE$78, 3, 0)</f>
        <v>1.0102597114444904</v>
      </c>
      <c r="X123" s="76">
        <f>$R123*HLOOKUP(X$77,'Conversions and Lookups'!$B$76:$AE$78, 3, 0)</f>
        <v>0.94606627212644312</v>
      </c>
      <c r="Y123" s="76">
        <f>$R123*HLOOKUP(Y$77,'Conversions and Lookups'!$B$76:$AE$78, 3, 0)</f>
        <v>0.88682103798029643</v>
      </c>
      <c r="Z123" s="76">
        <f>$R123*HLOOKUP(Z$77,'Conversions and Lookups'!$B$76:$AE$78, 3, 0)</f>
        <v>0.88557580446349149</v>
      </c>
      <c r="AA123" s="76">
        <f>$R123*HLOOKUP(AA$77,'Conversions and Lookups'!$B$76:$AE$78, 3, 0)</f>
        <v>0.87289498808695498</v>
      </c>
      <c r="AB123" s="76">
        <f>$R123*HLOOKUP(AB$77,'Conversions and Lookups'!$B$76:$AE$78, 3, 0)</f>
        <v>0.75598464479404903</v>
      </c>
      <c r="AC123" s="76">
        <f>$R123*HLOOKUP(AC$77,'Conversions and Lookups'!$B$76:$AE$78, 3, 0)</f>
        <v>0.70544013957479168</v>
      </c>
      <c r="AD123" s="76">
        <f>$R123*HLOOKUP(AD$77,'Conversions and Lookups'!$B$76:$AE$78, 3, 0)</f>
        <v>0.69735046626294706</v>
      </c>
      <c r="AE123" s="76">
        <f>$R123*HLOOKUP(AE$77,'Conversions and Lookups'!$B$76:$AE$78, 3, 0)</f>
        <v>0.69623784021752122</v>
      </c>
      <c r="AF123" s="76">
        <v>0</v>
      </c>
      <c r="AG123" s="76">
        <v>0</v>
      </c>
      <c r="AH123" s="76">
        <v>0</v>
      </c>
      <c r="AI123" s="76">
        <v>0</v>
      </c>
      <c r="AJ123" s="76">
        <v>0</v>
      </c>
      <c r="AK123" s="76">
        <v>0</v>
      </c>
      <c r="AL123" s="76">
        <v>0</v>
      </c>
      <c r="AM123" s="76">
        <v>0</v>
      </c>
      <c r="AN123" s="76">
        <v>0</v>
      </c>
      <c r="AO123" s="76">
        <v>0</v>
      </c>
      <c r="AP123" s="76">
        <v>0</v>
      </c>
      <c r="AQ123" s="76">
        <v>0</v>
      </c>
      <c r="AR123" s="77">
        <v>0</v>
      </c>
      <c r="AT123" s="82">
        <f>SUMIFS('Conversions and Lookups'!$F$58:$F$72,'Conversions and Lookups'!$G$58:$G$72,'Measure 2'!AT$77,'Conversions and Lookups'!$C$58:$C$72,'Measure 2'!$C123)*'Measure 2'!$F123</f>
        <v>51926.257999999994</v>
      </c>
      <c r="AU123" s="30">
        <f>SUMIFS('Conversions and Lookups'!$F$58:$F$72,'Conversions and Lookups'!$G$58:$G$72,'Measure 2'!AU$77,'Conversions and Lookups'!$C$58:$C$72,'Measure 2'!$C123)*'Measure 2'!$F123</f>
        <v>1333.0139999999999</v>
      </c>
      <c r="AV123" s="83">
        <f>SUMIFS('Conversions and Lookups'!$F$58:$F$72,'Conversions and Lookups'!$G$58:$G$72,'Measure 2'!AV$77,'Conversions and Lookups'!$C$58:$C$72,'Measure 2'!$C123)*'Measure 2'!$F123</f>
        <v>30.644000000000002</v>
      </c>
    </row>
    <row r="124" spans="2:48" x14ac:dyDescent="0.35">
      <c r="B124" s="57" t="s">
        <v>220</v>
      </c>
      <c r="C124" s="58" t="s">
        <v>212</v>
      </c>
      <c r="D124" s="58">
        <v>1</v>
      </c>
      <c r="E124" s="59">
        <v>15325</v>
      </c>
      <c r="F124" s="59">
        <f t="shared" si="49"/>
        <v>15325</v>
      </c>
      <c r="G124" s="58" t="s">
        <v>278</v>
      </c>
      <c r="H124" s="60">
        <f>VLOOKUP($C124,'Conversions and Lookups'!$B$30:$E$36, 3, 0)</f>
        <v>27.5</v>
      </c>
      <c r="I124" s="61">
        <f t="shared" si="50"/>
        <v>557.27272727272725</v>
      </c>
      <c r="J124" s="62">
        <f>I124*VLOOKUP($G124,'Conversions and Lookups'!$B$41:$D$43,3, 0)</f>
        <v>4.8928545454545453</v>
      </c>
      <c r="K124" s="63">
        <f>$F124*VLOOKUP($C124,'Conversions and Lookups'!$C$47:$G$52, 4, 0)</f>
        <v>2.18841E-3</v>
      </c>
      <c r="L124" s="64">
        <f>$F124*VLOOKUP($C124,'Conversions and Lookups'!$C$47:$G$52, 5, 0)</f>
        <v>5.685575E-3</v>
      </c>
      <c r="M124" s="62">
        <f t="shared" si="51"/>
        <v>4.9007285304545452</v>
      </c>
      <c r="N124" s="62">
        <f t="shared" si="52"/>
        <v>24.503642652272724</v>
      </c>
      <c r="O124" s="65">
        <f t="shared" si="53"/>
        <v>58.808742365454542</v>
      </c>
      <c r="P124" s="31"/>
      <c r="Q124" s="75">
        <f>VLOOKUP($C124,'Conversions and Lookups'!$B$30:$E$36, 4, 0)</f>
        <v>0.33428046130703665</v>
      </c>
      <c r="R124" s="30">
        <f t="shared" si="54"/>
        <v>5122.8480695303369</v>
      </c>
      <c r="S124">
        <v>0</v>
      </c>
      <c r="T124" s="76">
        <f>$R124*HLOOKUP(T$77,'Conversions and Lookups'!$B$76:$AE$78, 3, 0)</f>
        <v>1.3440557601894709</v>
      </c>
      <c r="U124" s="76">
        <f>$R124*HLOOKUP(U$77,'Conversions and Lookups'!$B$76:$AE$78, 3, 0)</f>
        <v>1.2306959845633005</v>
      </c>
      <c r="V124" s="76">
        <f>$R124*HLOOKUP(V$77,'Conversions and Lookups'!$B$76:$AE$78, 3, 0)</f>
        <v>1.1899476900543524</v>
      </c>
      <c r="W124" s="76">
        <f>$R124*HLOOKUP(W$77,'Conversions and Lookups'!$B$76:$AE$78, 3, 0)</f>
        <v>1.0104575171574741</v>
      </c>
      <c r="X124" s="76">
        <f>$R124*HLOOKUP(X$77,'Conversions and Lookups'!$B$76:$AE$78, 3, 0)</f>
        <v>0.94625150896343446</v>
      </c>
      <c r="Y124" s="76">
        <f>$R124*HLOOKUP(Y$77,'Conversions and Lookups'!$B$76:$AE$78, 3, 0)</f>
        <v>0.88699467478449578</v>
      </c>
      <c r="Z124" s="76">
        <f>$R124*HLOOKUP(Z$77,'Conversions and Lookups'!$B$76:$AE$78, 3, 0)</f>
        <v>0.88574919745483671</v>
      </c>
      <c r="AA124" s="76">
        <f>$R124*HLOOKUP(AA$77,'Conversions and Lookups'!$B$76:$AE$78, 3, 0)</f>
        <v>0.8730658982138485</v>
      </c>
      <c r="AB124" s="76">
        <f>$R124*HLOOKUP(AB$77,'Conversions and Lookups'!$B$76:$AE$78, 3, 0)</f>
        <v>0.75613266423892467</v>
      </c>
      <c r="AC124" s="76">
        <f>$R124*HLOOKUP(AC$77,'Conversions and Lookups'!$B$76:$AE$78, 3, 0)</f>
        <v>0.70557826256256917</v>
      </c>
      <c r="AD124" s="76">
        <f>$R124*HLOOKUP(AD$77,'Conversions and Lookups'!$B$76:$AE$78, 3, 0)</f>
        <v>0.69748700531782182</v>
      </c>
      <c r="AE124" s="76">
        <f>$R124*HLOOKUP(AE$77,'Conversions and Lookups'!$B$76:$AE$78, 3, 0)</f>
        <v>0.6963741614236727</v>
      </c>
      <c r="AF124" s="76">
        <v>0</v>
      </c>
      <c r="AG124" s="76">
        <v>0</v>
      </c>
      <c r="AH124" s="76">
        <v>0</v>
      </c>
      <c r="AI124" s="76">
        <v>0</v>
      </c>
      <c r="AJ124" s="76">
        <v>0</v>
      </c>
      <c r="AK124" s="76">
        <v>0</v>
      </c>
      <c r="AL124" s="76">
        <v>0</v>
      </c>
      <c r="AM124" s="76">
        <v>0</v>
      </c>
      <c r="AN124" s="76">
        <v>0</v>
      </c>
      <c r="AO124" s="76">
        <v>0</v>
      </c>
      <c r="AP124" s="76">
        <v>0</v>
      </c>
      <c r="AQ124" s="76">
        <v>0</v>
      </c>
      <c r="AR124" s="77">
        <v>0</v>
      </c>
      <c r="AT124" s="82">
        <f>SUMIFS('Conversions and Lookups'!$F$58:$F$72,'Conversions and Lookups'!$G$58:$G$72,'Measure 2'!AT$77,'Conversions and Lookups'!$C$58:$C$72,'Measure 2'!$C124)*'Measure 2'!$F124</f>
        <v>51936.424999999996</v>
      </c>
      <c r="AU124" s="30">
        <f>SUMIFS('Conversions and Lookups'!$F$58:$F$72,'Conversions and Lookups'!$G$58:$G$72,'Measure 2'!AU$77,'Conversions and Lookups'!$C$58:$C$72,'Measure 2'!$C124)*'Measure 2'!$F124</f>
        <v>1333.2749999999999</v>
      </c>
      <c r="AV124" s="83">
        <f>SUMIFS('Conversions and Lookups'!$F$58:$F$72,'Conversions and Lookups'!$G$58:$G$72,'Measure 2'!AV$77,'Conversions and Lookups'!$C$58:$C$72,'Measure 2'!$C124)*'Measure 2'!$F124</f>
        <v>30.650000000000002</v>
      </c>
    </row>
    <row r="125" spans="2:48" x14ac:dyDescent="0.35">
      <c r="B125" s="57" t="s">
        <v>220</v>
      </c>
      <c r="C125" s="58" t="s">
        <v>212</v>
      </c>
      <c r="D125" s="58">
        <v>1</v>
      </c>
      <c r="E125" s="59">
        <v>18910</v>
      </c>
      <c r="F125" s="59">
        <f t="shared" si="49"/>
        <v>18910</v>
      </c>
      <c r="G125" s="58" t="s">
        <v>278</v>
      </c>
      <c r="H125" s="60">
        <f>VLOOKUP($C125,'Conversions and Lookups'!$B$30:$E$36, 3, 0)</f>
        <v>27.5</v>
      </c>
      <c r="I125" s="61">
        <f t="shared" si="50"/>
        <v>687.63636363636363</v>
      </c>
      <c r="J125" s="62">
        <f>I125*VLOOKUP($G125,'Conversions and Lookups'!$B$41:$D$43,3, 0)</f>
        <v>6.0374472727272721</v>
      </c>
      <c r="K125" s="63">
        <f>$F125*VLOOKUP($C125,'Conversions and Lookups'!$C$47:$G$52, 4, 0)</f>
        <v>2.700348E-3</v>
      </c>
      <c r="L125" s="64">
        <f>$F125*VLOOKUP($C125,'Conversions and Lookups'!$C$47:$G$52, 5, 0)</f>
        <v>7.0156099999999994E-3</v>
      </c>
      <c r="M125" s="62">
        <f t="shared" si="51"/>
        <v>6.0471632307272722</v>
      </c>
      <c r="N125" s="62">
        <f t="shared" si="52"/>
        <v>30.23581615363636</v>
      </c>
      <c r="O125" s="65">
        <f t="shared" si="53"/>
        <v>72.56595876872727</v>
      </c>
      <c r="P125" s="31"/>
      <c r="Q125" s="75">
        <f>VLOOKUP($C125,'Conversions and Lookups'!$B$30:$E$36, 4, 0)</f>
        <v>0.33428046130703665</v>
      </c>
      <c r="R125" s="30">
        <f t="shared" si="54"/>
        <v>6321.2435233160631</v>
      </c>
      <c r="S125">
        <v>0</v>
      </c>
      <c r="T125" s="76">
        <f>$R125*HLOOKUP(T$77,'Conversions and Lookups'!$B$76:$AE$78, 3, 0)</f>
        <v>1.6584727194246585</v>
      </c>
      <c r="U125" s="76">
        <f>$R125*HLOOKUP(U$77,'Conversions and Lookups'!$B$76:$AE$78, 3, 0)</f>
        <v>1.5185945232033939</v>
      </c>
      <c r="V125" s="76">
        <f>$R125*HLOOKUP(V$77,'Conversions and Lookups'!$B$76:$AE$78, 3, 0)</f>
        <v>1.4683139196690247</v>
      </c>
      <c r="W125" s="76">
        <f>$R125*HLOOKUP(W$77,'Conversions and Lookups'!$B$76:$AE$78, 3, 0)</f>
        <v>1.2468353441727786</v>
      </c>
      <c r="X125" s="76">
        <f>$R125*HLOOKUP(X$77,'Conversions and Lookups'!$B$76:$AE$78, 3, 0)</f>
        <v>1.1676095291679311</v>
      </c>
      <c r="Y125" s="76">
        <f>$R125*HLOOKUP(Y$77,'Conversions and Lookups'!$B$76:$AE$78, 3, 0)</f>
        <v>1.094490655802598</v>
      </c>
      <c r="Z125" s="76">
        <f>$R125*HLOOKUP(Z$77,'Conversions and Lookups'!$B$76:$AE$78, 3, 0)</f>
        <v>1.0929538221122976</v>
      </c>
      <c r="AA125" s="76">
        <f>$R125*HLOOKUP(AA$77,'Conversions and Lookups'!$B$76:$AE$78, 3, 0)</f>
        <v>1.0773034998514763</v>
      </c>
      <c r="AB125" s="76">
        <f>$R125*HLOOKUP(AB$77,'Conversions and Lookups'!$B$76:$AE$78, 3, 0)</f>
        <v>0.93301590086512654</v>
      </c>
      <c r="AC125" s="76">
        <f>$R125*HLOOKUP(AC$77,'Conversions and Lookups'!$B$76:$AE$78, 3, 0)</f>
        <v>0.87063523295648826</v>
      </c>
      <c r="AD125" s="76">
        <f>$R125*HLOOKUP(AD$77,'Conversions and Lookups'!$B$76:$AE$78, 3, 0)</f>
        <v>0.8606511758929859</v>
      </c>
      <c r="AE125" s="76">
        <f>$R125*HLOOKUP(AE$77,'Conversions and Lookups'!$B$76:$AE$78, 3, 0)</f>
        <v>0.85927800277465916</v>
      </c>
      <c r="AF125" s="76">
        <v>0</v>
      </c>
      <c r="AG125" s="76">
        <v>0</v>
      </c>
      <c r="AH125" s="76">
        <v>0</v>
      </c>
      <c r="AI125" s="76">
        <v>0</v>
      </c>
      <c r="AJ125" s="76">
        <v>0</v>
      </c>
      <c r="AK125" s="76">
        <v>0</v>
      </c>
      <c r="AL125" s="76">
        <v>0</v>
      </c>
      <c r="AM125" s="76">
        <v>0</v>
      </c>
      <c r="AN125" s="76">
        <v>0</v>
      </c>
      <c r="AO125" s="76">
        <v>0</v>
      </c>
      <c r="AP125" s="76">
        <v>0</v>
      </c>
      <c r="AQ125" s="76">
        <v>0</v>
      </c>
      <c r="AR125" s="77">
        <v>0</v>
      </c>
      <c r="AT125" s="82">
        <f>SUMIFS('Conversions and Lookups'!$F$58:$F$72,'Conversions and Lookups'!$G$58:$G$72,'Measure 2'!AT$77,'Conversions and Lookups'!$C$58:$C$72,'Measure 2'!$C125)*'Measure 2'!$F125</f>
        <v>64085.99</v>
      </c>
      <c r="AU125" s="30">
        <f>SUMIFS('Conversions and Lookups'!$F$58:$F$72,'Conversions and Lookups'!$G$58:$G$72,'Measure 2'!AU$77,'Conversions and Lookups'!$C$58:$C$72,'Measure 2'!$C125)*'Measure 2'!$F125</f>
        <v>1645.1699999999998</v>
      </c>
      <c r="AV125" s="83">
        <f>SUMIFS('Conversions and Lookups'!$F$58:$F$72,'Conversions and Lookups'!$G$58:$G$72,'Measure 2'!AV$77,'Conversions and Lookups'!$C$58:$C$72,'Measure 2'!$C125)*'Measure 2'!$F125</f>
        <v>37.82</v>
      </c>
    </row>
    <row r="126" spans="2:48" x14ac:dyDescent="0.35">
      <c r="B126" s="57" t="s">
        <v>220</v>
      </c>
      <c r="C126" s="58" t="s">
        <v>212</v>
      </c>
      <c r="D126" s="58">
        <v>1</v>
      </c>
      <c r="E126" s="59">
        <v>20807</v>
      </c>
      <c r="F126" s="59">
        <f t="shared" si="49"/>
        <v>20807</v>
      </c>
      <c r="G126" s="58" t="s">
        <v>278</v>
      </c>
      <c r="H126" s="60">
        <f>VLOOKUP($C126,'Conversions and Lookups'!$B$30:$E$36, 3, 0)</f>
        <v>27.5</v>
      </c>
      <c r="I126" s="61">
        <f t="shared" si="50"/>
        <v>756.61818181818182</v>
      </c>
      <c r="J126" s="62">
        <f>I126*VLOOKUP($G126,'Conversions and Lookups'!$B$41:$D$43,3, 0)</f>
        <v>6.6431076363636361</v>
      </c>
      <c r="K126" s="63">
        <f>$F126*VLOOKUP($C126,'Conversions and Lookups'!$C$47:$G$52, 4, 0)</f>
        <v>2.9712396000000003E-3</v>
      </c>
      <c r="L126" s="64">
        <f>$F126*VLOOKUP($C126,'Conversions and Lookups'!$C$47:$G$52, 5, 0)</f>
        <v>7.7193969999999994E-3</v>
      </c>
      <c r="M126" s="62">
        <f t="shared" si="51"/>
        <v>6.6537982729636358</v>
      </c>
      <c r="N126" s="62">
        <f t="shared" si="52"/>
        <v>33.268991364818177</v>
      </c>
      <c r="O126" s="65">
        <f t="shared" si="53"/>
        <v>79.845579275563637</v>
      </c>
      <c r="P126" s="31"/>
      <c r="Q126" s="75">
        <f>VLOOKUP($C126,'Conversions and Lookups'!$B$30:$E$36, 4, 0)</f>
        <v>0.33428046130703665</v>
      </c>
      <c r="R126" s="30">
        <f t="shared" si="54"/>
        <v>6955.3735584155111</v>
      </c>
      <c r="S126">
        <v>0</v>
      </c>
      <c r="T126" s="76">
        <f>$R126*HLOOKUP(T$77,'Conversions and Lookups'!$B$76:$AE$78, 3, 0)</f>
        <v>1.8248462122194007</v>
      </c>
      <c r="U126" s="76">
        <f>$R126*HLOOKUP(U$77,'Conversions and Lookups'!$B$76:$AE$78, 3, 0)</f>
        <v>1.6709358140821267</v>
      </c>
      <c r="V126" s="76">
        <f>$R126*HLOOKUP(V$77,'Conversions and Lookups'!$B$76:$AE$78, 3, 0)</f>
        <v>1.6156111965390478</v>
      </c>
      <c r="W126" s="76">
        <f>$R126*HLOOKUP(W$77,'Conversions and Lookups'!$B$76:$AE$78, 3, 0)</f>
        <v>1.3719144900160234</v>
      </c>
      <c r="X126" s="76">
        <f>$R126*HLOOKUP(X$77,'Conversions and Lookups'!$B$76:$AE$78, 3, 0)</f>
        <v>1.2847409557587066</v>
      </c>
      <c r="Y126" s="76">
        <f>$R126*HLOOKUP(Y$77,'Conversions and Lookups'!$B$76:$AE$78, 3, 0)</f>
        <v>1.2042869949912562</v>
      </c>
      <c r="Z126" s="76">
        <f>$R126*HLOOKUP(Z$77,'Conversions and Lookups'!$B$76:$AE$78, 3, 0)</f>
        <v>1.2025959903062176</v>
      </c>
      <c r="AA126" s="76">
        <f>$R126*HLOOKUP(AA$77,'Conversions and Lookups'!$B$76:$AE$78, 3, 0)</f>
        <v>1.1853756700904106</v>
      </c>
      <c r="AB126" s="76">
        <f>$R126*HLOOKUP(AB$77,'Conversions and Lookups'!$B$76:$AE$78, 3, 0)</f>
        <v>1.0266135298413901</v>
      </c>
      <c r="AC126" s="76">
        <f>$R126*HLOOKUP(AC$77,'Conversions and Lookups'!$B$76:$AE$78, 3, 0)</f>
        <v>0.95797500222769161</v>
      </c>
      <c r="AD126" s="76">
        <f>$R126*HLOOKUP(AD$77,'Conversions and Lookups'!$B$76:$AE$78, 3, 0)</f>
        <v>0.94698937159203367</v>
      </c>
      <c r="AE126" s="76">
        <f>$R126*HLOOKUP(AE$77,'Conversions and Lookups'!$B$76:$AE$78, 3, 0)</f>
        <v>0.94547844546442783</v>
      </c>
      <c r="AF126" s="76">
        <v>0</v>
      </c>
      <c r="AG126" s="76">
        <v>0</v>
      </c>
      <c r="AH126" s="76">
        <v>0</v>
      </c>
      <c r="AI126" s="76">
        <v>0</v>
      </c>
      <c r="AJ126" s="76">
        <v>0</v>
      </c>
      <c r="AK126" s="76">
        <v>0</v>
      </c>
      <c r="AL126" s="76">
        <v>0</v>
      </c>
      <c r="AM126" s="76">
        <v>0</v>
      </c>
      <c r="AN126" s="76">
        <v>0</v>
      </c>
      <c r="AO126" s="76">
        <v>0</v>
      </c>
      <c r="AP126" s="76">
        <v>0</v>
      </c>
      <c r="AQ126" s="76">
        <v>0</v>
      </c>
      <c r="AR126" s="77">
        <v>0</v>
      </c>
      <c r="AT126" s="82">
        <f>SUMIFS('Conversions and Lookups'!$F$58:$F$72,'Conversions and Lookups'!$G$58:$G$72,'Measure 2'!AT$77,'Conversions and Lookups'!$C$58:$C$72,'Measure 2'!$C126)*'Measure 2'!$F126</f>
        <v>70514.922999999995</v>
      </c>
      <c r="AU126" s="30">
        <f>SUMIFS('Conversions and Lookups'!$F$58:$F$72,'Conversions and Lookups'!$G$58:$G$72,'Measure 2'!AU$77,'Conversions and Lookups'!$C$58:$C$72,'Measure 2'!$C126)*'Measure 2'!$F126</f>
        <v>1810.2089999999998</v>
      </c>
      <c r="AV126" s="83">
        <f>SUMIFS('Conversions and Lookups'!$F$58:$F$72,'Conversions and Lookups'!$G$58:$G$72,'Measure 2'!AV$77,'Conversions and Lookups'!$C$58:$C$72,'Measure 2'!$C126)*'Measure 2'!$F126</f>
        <v>41.614000000000004</v>
      </c>
    </row>
    <row r="127" spans="2:48" x14ac:dyDescent="0.35">
      <c r="B127" s="57" t="s">
        <v>220</v>
      </c>
      <c r="C127" s="58" t="s">
        <v>212</v>
      </c>
      <c r="D127" s="58">
        <v>1</v>
      </c>
      <c r="E127" s="59">
        <v>14510</v>
      </c>
      <c r="F127" s="59">
        <f t="shared" si="49"/>
        <v>14510</v>
      </c>
      <c r="G127" s="58" t="s">
        <v>278</v>
      </c>
      <c r="H127" s="60">
        <f>VLOOKUP($C127,'Conversions and Lookups'!$B$30:$E$36, 3, 0)</f>
        <v>27.5</v>
      </c>
      <c r="I127" s="61">
        <f t="shared" si="50"/>
        <v>527.63636363636363</v>
      </c>
      <c r="J127" s="62">
        <f>I127*VLOOKUP($G127,'Conversions and Lookups'!$B$41:$D$43,3, 0)</f>
        <v>4.6326472727272723</v>
      </c>
      <c r="K127" s="63">
        <f>$F127*VLOOKUP($C127,'Conversions and Lookups'!$C$47:$G$52, 4, 0)</f>
        <v>2.0720280000000001E-3</v>
      </c>
      <c r="L127" s="64">
        <f>$F127*VLOOKUP($C127,'Conversions and Lookups'!$C$47:$G$52, 5, 0)</f>
        <v>5.3832099999999994E-3</v>
      </c>
      <c r="M127" s="62">
        <f t="shared" si="51"/>
        <v>4.6401025107272718</v>
      </c>
      <c r="N127" s="62">
        <f t="shared" si="52"/>
        <v>23.200512553636358</v>
      </c>
      <c r="O127" s="65">
        <f t="shared" si="53"/>
        <v>55.681230128727265</v>
      </c>
      <c r="P127" s="31"/>
      <c r="Q127" s="75">
        <f>VLOOKUP($C127,'Conversions and Lookups'!$B$30:$E$36, 4, 0)</f>
        <v>0.33428046130703665</v>
      </c>
      <c r="R127" s="30">
        <f t="shared" si="54"/>
        <v>4850.4094935651019</v>
      </c>
      <c r="S127">
        <v>0</v>
      </c>
      <c r="T127" s="76">
        <f>$R127*HLOOKUP(T$77,'Conversions and Lookups'!$B$76:$AE$78, 3, 0)</f>
        <v>1.2725774277552511</v>
      </c>
      <c r="U127" s="76">
        <f>$R127*HLOOKUP(U$77,'Conversions and Lookups'!$B$76:$AE$78, 3, 0)</f>
        <v>1.1652462470481886</v>
      </c>
      <c r="V127" s="76">
        <f>$R127*HLOOKUP(V$77,'Conversions and Lookups'!$B$76:$AE$78, 3, 0)</f>
        <v>1.1266649907137782</v>
      </c>
      <c r="W127" s="76">
        <f>$R127*HLOOKUP(W$77,'Conversions and Lookups'!$B$76:$AE$78, 3, 0)</f>
        <v>0.95672029846361806</v>
      </c>
      <c r="X127" s="76">
        <f>$R127*HLOOKUP(X$77,'Conversions and Lookups'!$B$76:$AE$78, 3, 0)</f>
        <v>0.89592883491415554</v>
      </c>
      <c r="Y127" s="76">
        <f>$R127*HLOOKUP(Y$77,'Conversions and Lookups'!$B$76:$AE$78, 3, 0)</f>
        <v>0.8398233429770332</v>
      </c>
      <c r="Z127" s="76">
        <f>$R127*HLOOKUP(Z$77,'Conversions and Lookups'!$B$76:$AE$78, 3, 0)</f>
        <v>0.83864410147273605</v>
      </c>
      <c r="AA127" s="76">
        <f>$R127*HLOOKUP(AA$77,'Conversions and Lookups'!$B$76:$AE$78, 3, 0)</f>
        <v>0.82663531374113808</v>
      </c>
      <c r="AB127" s="76">
        <f>$R127*HLOOKUP(AB$77,'Conversions and Lookups'!$B$76:$AE$78, 3, 0)</f>
        <v>0.71592071504775179</v>
      </c>
      <c r="AC127" s="76">
        <f>$R127*HLOOKUP(AC$77,'Conversions and Lookups'!$B$76:$AE$78, 3, 0)</f>
        <v>0.66805485088305894</v>
      </c>
      <c r="AD127" s="76">
        <f>$R127*HLOOKUP(AD$77,'Conversions and Lookups'!$B$76:$AE$78, 3, 0)</f>
        <v>0.6603938954102182</v>
      </c>
      <c r="AE127" s="76">
        <f>$R127*HLOOKUP(AE$77,'Conversions and Lookups'!$B$76:$AE$78, 3, 0)</f>
        <v>0.65934023375252793</v>
      </c>
      <c r="AF127" s="76">
        <v>0</v>
      </c>
      <c r="AG127" s="76">
        <v>0</v>
      </c>
      <c r="AH127" s="76">
        <v>0</v>
      </c>
      <c r="AI127" s="76">
        <v>0</v>
      </c>
      <c r="AJ127" s="76">
        <v>0</v>
      </c>
      <c r="AK127" s="76">
        <v>0</v>
      </c>
      <c r="AL127" s="76">
        <v>0</v>
      </c>
      <c r="AM127" s="76">
        <v>0</v>
      </c>
      <c r="AN127" s="76">
        <v>0</v>
      </c>
      <c r="AO127" s="76">
        <v>0</v>
      </c>
      <c r="AP127" s="76">
        <v>0</v>
      </c>
      <c r="AQ127" s="76">
        <v>0</v>
      </c>
      <c r="AR127" s="77">
        <v>0</v>
      </c>
      <c r="AT127" s="82">
        <f>SUMIFS('Conversions and Lookups'!$F$58:$F$72,'Conversions and Lookups'!$G$58:$G$72,'Measure 2'!AT$77,'Conversions and Lookups'!$C$58:$C$72,'Measure 2'!$C127)*'Measure 2'!$F127</f>
        <v>49174.39</v>
      </c>
      <c r="AU127" s="30">
        <f>SUMIFS('Conversions and Lookups'!$F$58:$F$72,'Conversions and Lookups'!$G$58:$G$72,'Measure 2'!AU$77,'Conversions and Lookups'!$C$58:$C$72,'Measure 2'!$C127)*'Measure 2'!$F127</f>
        <v>1262.3699999999999</v>
      </c>
      <c r="AV127" s="83">
        <f>SUMIFS('Conversions and Lookups'!$F$58:$F$72,'Conversions and Lookups'!$G$58:$G$72,'Measure 2'!AV$77,'Conversions and Lookups'!$C$58:$C$72,'Measure 2'!$C127)*'Measure 2'!$F127</f>
        <v>29.02</v>
      </c>
    </row>
    <row r="128" spans="2:48" x14ac:dyDescent="0.35">
      <c r="B128" s="57" t="s">
        <v>220</v>
      </c>
      <c r="C128" s="58" t="s">
        <v>212</v>
      </c>
      <c r="D128" s="58">
        <v>1</v>
      </c>
      <c r="E128" s="59">
        <v>17083</v>
      </c>
      <c r="F128" s="59">
        <f t="shared" si="49"/>
        <v>17083</v>
      </c>
      <c r="G128" s="58" t="s">
        <v>278</v>
      </c>
      <c r="H128" s="60">
        <f>VLOOKUP($C128,'Conversions and Lookups'!$B$30:$E$36, 3, 0)</f>
        <v>27.5</v>
      </c>
      <c r="I128" s="61">
        <f t="shared" si="50"/>
        <v>621.20000000000005</v>
      </c>
      <c r="J128" s="62">
        <f>I128*VLOOKUP($G128,'Conversions and Lookups'!$B$41:$D$43,3, 0)</f>
        <v>5.4541360000000001</v>
      </c>
      <c r="K128" s="63">
        <f>$F128*VLOOKUP($C128,'Conversions and Lookups'!$C$47:$G$52, 4, 0)</f>
        <v>2.4394524000000001E-3</v>
      </c>
      <c r="L128" s="64">
        <f>$F128*VLOOKUP($C128,'Conversions and Lookups'!$C$47:$G$52, 5, 0)</f>
        <v>6.3377929999999996E-3</v>
      </c>
      <c r="M128" s="62">
        <f t="shared" si="51"/>
        <v>5.4629132454000002</v>
      </c>
      <c r="N128" s="62">
        <f t="shared" si="52"/>
        <v>27.314566227</v>
      </c>
      <c r="O128" s="65">
        <f t="shared" si="53"/>
        <v>65.554958944800006</v>
      </c>
      <c r="P128" s="31"/>
      <c r="Q128" s="75">
        <f>VLOOKUP($C128,'Conversions and Lookups'!$B$30:$E$36, 4, 0)</f>
        <v>0.33428046130703665</v>
      </c>
      <c r="R128" s="30">
        <f t="shared" si="54"/>
        <v>5710.513120508107</v>
      </c>
      <c r="S128">
        <v>0</v>
      </c>
      <c r="T128" s="76">
        <f>$R128*HLOOKUP(T$77,'Conversions and Lookups'!$B$76:$AE$78, 3, 0)</f>
        <v>1.498238469906475</v>
      </c>
      <c r="U128" s="76">
        <f>$R128*HLOOKUP(U$77,'Conversions and Lookups'!$B$76:$AE$78, 3, 0)</f>
        <v>1.3718746821725849</v>
      </c>
      <c r="V128" s="76">
        <f>$R128*HLOOKUP(V$77,'Conversions and Lookups'!$B$76:$AE$78, 3, 0)</f>
        <v>1.326451966668744</v>
      </c>
      <c r="W128" s="76">
        <f>$R128*HLOOKUP(W$77,'Conversions and Lookups'!$B$76:$AE$78, 3, 0)</f>
        <v>1.1263716649658158</v>
      </c>
      <c r="X128" s="76">
        <f>$R128*HLOOKUP(X$77,'Conversions and Lookups'!$B$76:$AE$78, 3, 0)</f>
        <v>1.0548002954402838</v>
      </c>
      <c r="Y128" s="76">
        <f>$R128*HLOOKUP(Y$77,'Conversions and Lookups'!$B$76:$AE$78, 3, 0)</f>
        <v>0.98874584204525551</v>
      </c>
      <c r="Z128" s="76">
        <f>$R128*HLOOKUP(Z$77,'Conversions and Lookups'!$B$76:$AE$78, 3, 0)</f>
        <v>0.98735749038309784</v>
      </c>
      <c r="AA128" s="76">
        <f>$R128*HLOOKUP(AA$77,'Conversions and Lookups'!$B$76:$AE$78, 3, 0)</f>
        <v>0.97321923257338805</v>
      </c>
      <c r="AB128" s="76">
        <f>$R128*HLOOKUP(AB$77,'Conversions and Lookups'!$B$76:$AE$78, 3, 0)</f>
        <v>0.84287205893595751</v>
      </c>
      <c r="AC128" s="76">
        <f>$R128*HLOOKUP(AC$77,'Conversions and Lookups'!$B$76:$AE$78, 3, 0)</f>
        <v>0.78651833340008925</v>
      </c>
      <c r="AD128" s="76">
        <f>$R128*HLOOKUP(AD$77,'Conversions and Lookups'!$B$76:$AE$78, 3, 0)</f>
        <v>0.7774988914743457</v>
      </c>
      <c r="AE128" s="76">
        <f>$R128*HLOOKUP(AE$77,'Conversions and Lookups'!$B$76:$AE$78, 3, 0)</f>
        <v>0.77625838822842419</v>
      </c>
      <c r="AF128" s="76">
        <v>0</v>
      </c>
      <c r="AG128" s="76">
        <v>0</v>
      </c>
      <c r="AH128" s="76">
        <v>0</v>
      </c>
      <c r="AI128" s="76">
        <v>0</v>
      </c>
      <c r="AJ128" s="76">
        <v>0</v>
      </c>
      <c r="AK128" s="76">
        <v>0</v>
      </c>
      <c r="AL128" s="76">
        <v>0</v>
      </c>
      <c r="AM128" s="76">
        <v>0</v>
      </c>
      <c r="AN128" s="76">
        <v>0</v>
      </c>
      <c r="AO128" s="76">
        <v>0</v>
      </c>
      <c r="AP128" s="76">
        <v>0</v>
      </c>
      <c r="AQ128" s="76">
        <v>0</v>
      </c>
      <c r="AR128" s="77">
        <v>0</v>
      </c>
      <c r="AT128" s="82">
        <f>SUMIFS('Conversions and Lookups'!$F$58:$F$72,'Conversions and Lookups'!$G$58:$G$72,'Measure 2'!AT$77,'Conversions and Lookups'!$C$58:$C$72,'Measure 2'!$C128)*'Measure 2'!$F128</f>
        <v>57894.286999999997</v>
      </c>
      <c r="AU128" s="30">
        <f>SUMIFS('Conversions and Lookups'!$F$58:$F$72,'Conversions and Lookups'!$G$58:$G$72,'Measure 2'!AU$77,'Conversions and Lookups'!$C$58:$C$72,'Measure 2'!$C128)*'Measure 2'!$F128</f>
        <v>1486.221</v>
      </c>
      <c r="AV128" s="83">
        <f>SUMIFS('Conversions and Lookups'!$F$58:$F$72,'Conversions and Lookups'!$G$58:$G$72,'Measure 2'!AV$77,'Conversions and Lookups'!$C$58:$C$72,'Measure 2'!$C128)*'Measure 2'!$F128</f>
        <v>34.166000000000004</v>
      </c>
    </row>
    <row r="129" spans="2:48" x14ac:dyDescent="0.35">
      <c r="B129" s="57" t="s">
        <v>220</v>
      </c>
      <c r="C129" s="58" t="s">
        <v>212</v>
      </c>
      <c r="D129" s="58">
        <v>1</v>
      </c>
      <c r="E129" s="59">
        <v>11323</v>
      </c>
      <c r="F129" s="59">
        <f t="shared" si="49"/>
        <v>11323</v>
      </c>
      <c r="G129" s="58" t="s">
        <v>278</v>
      </c>
      <c r="H129" s="60">
        <f>VLOOKUP($C129,'Conversions and Lookups'!$B$30:$E$36, 3, 0)</f>
        <v>27.5</v>
      </c>
      <c r="I129" s="61">
        <f t="shared" si="50"/>
        <v>411.74545454545455</v>
      </c>
      <c r="J129" s="62">
        <f>I129*VLOOKUP($G129,'Conversions and Lookups'!$B$41:$D$43,3, 0)</f>
        <v>3.6151250909090908</v>
      </c>
      <c r="K129" s="63">
        <f>$F129*VLOOKUP($C129,'Conversions and Lookups'!$C$47:$G$52, 4, 0)</f>
        <v>1.6169244000000002E-3</v>
      </c>
      <c r="L129" s="64">
        <f>$F129*VLOOKUP($C129,'Conversions and Lookups'!$C$47:$G$52, 5, 0)</f>
        <v>4.2008329999999993E-3</v>
      </c>
      <c r="M129" s="62">
        <f t="shared" si="51"/>
        <v>3.6209428483090909</v>
      </c>
      <c r="N129" s="62">
        <f t="shared" si="52"/>
        <v>18.104714241545455</v>
      </c>
      <c r="O129" s="65">
        <f t="shared" si="53"/>
        <v>43.451314179709087</v>
      </c>
      <c r="P129" s="31"/>
      <c r="Q129" s="75">
        <f>VLOOKUP($C129,'Conversions and Lookups'!$B$30:$E$36, 4, 0)</f>
        <v>0.33428046130703665</v>
      </c>
      <c r="R129" s="30">
        <f t="shared" si="54"/>
        <v>3785.0576633795758</v>
      </c>
      <c r="S129">
        <v>0</v>
      </c>
      <c r="T129" s="76">
        <f>$R129*HLOOKUP(T$77,'Conversions and Lookups'!$B$76:$AE$78, 3, 0)</f>
        <v>0.99306645172106867</v>
      </c>
      <c r="U129" s="76">
        <f>$R129*HLOOKUP(U$77,'Conversions and Lookups'!$B$76:$AE$78, 3, 0)</f>
        <v>0.90930966611486141</v>
      </c>
      <c r="V129" s="76">
        <f>$R129*HLOOKUP(V$77,'Conversions and Lookups'!$B$76:$AE$78, 3, 0)</f>
        <v>0.8792024596727851</v>
      </c>
      <c r="W129" s="76">
        <f>$R129*HLOOKUP(W$77,'Conversions and Lookups'!$B$76:$AE$78, 3, 0)</f>
        <v>0.74658469603746014</v>
      </c>
      <c r="X129" s="76">
        <f>$R129*HLOOKUP(X$77,'Conversions and Lookups'!$B$76:$AE$78, 3, 0)</f>
        <v>0.69914556841715936</v>
      </c>
      <c r="Y129" s="76">
        <f>$R129*HLOOKUP(Y$77,'Conversions and Lookups'!$B$76:$AE$78, 3, 0)</f>
        <v>0.65536317798269794</v>
      </c>
      <c r="Z129" s="76">
        <f>$R129*HLOOKUP(Z$77,'Conversions and Lookups'!$B$76:$AE$78, 3, 0)</f>
        <v>0.65444294700039907</v>
      </c>
      <c r="AA129" s="76">
        <f>$R129*HLOOKUP(AA$77,'Conversions and Lookups'!$B$76:$AE$78, 3, 0)</f>
        <v>0.64507178893803618</v>
      </c>
      <c r="AB129" s="76">
        <f>$R129*HLOOKUP(AB$77,'Conversions and Lookups'!$B$76:$AE$78, 3, 0)</f>
        <v>0.55867472477503055</v>
      </c>
      <c r="AC129" s="76">
        <f>$R129*HLOOKUP(AC$77,'Conversions and Lookups'!$B$76:$AE$78, 3, 0)</f>
        <v>0.52132219686759995</v>
      </c>
      <c r="AD129" s="76">
        <f>$R129*HLOOKUP(AD$77,'Conversions and Lookups'!$B$76:$AE$78, 3, 0)</f>
        <v>0.51534390611508618</v>
      </c>
      <c r="AE129" s="76">
        <f>$R129*HLOOKUP(AE$77,'Conversions and Lookups'!$B$76:$AE$78, 3, 0)</f>
        <v>0.51452167241763425</v>
      </c>
      <c r="AF129" s="76">
        <v>0</v>
      </c>
      <c r="AG129" s="76">
        <v>0</v>
      </c>
      <c r="AH129" s="76">
        <v>0</v>
      </c>
      <c r="AI129" s="76">
        <v>0</v>
      </c>
      <c r="AJ129" s="76">
        <v>0</v>
      </c>
      <c r="AK129" s="76">
        <v>0</v>
      </c>
      <c r="AL129" s="76">
        <v>0</v>
      </c>
      <c r="AM129" s="76">
        <v>0</v>
      </c>
      <c r="AN129" s="76">
        <v>0</v>
      </c>
      <c r="AO129" s="76">
        <v>0</v>
      </c>
      <c r="AP129" s="76">
        <v>0</v>
      </c>
      <c r="AQ129" s="76">
        <v>0</v>
      </c>
      <c r="AR129" s="77">
        <v>0</v>
      </c>
      <c r="AT129" s="82">
        <f>SUMIFS('Conversions and Lookups'!$F$58:$F$72,'Conversions and Lookups'!$G$58:$G$72,'Measure 2'!AT$77,'Conversions and Lookups'!$C$58:$C$72,'Measure 2'!$C129)*'Measure 2'!$F129</f>
        <v>38373.646999999997</v>
      </c>
      <c r="AU129" s="30">
        <f>SUMIFS('Conversions and Lookups'!$F$58:$F$72,'Conversions and Lookups'!$G$58:$G$72,'Measure 2'!AU$77,'Conversions and Lookups'!$C$58:$C$72,'Measure 2'!$C129)*'Measure 2'!$F129</f>
        <v>985.10099999999989</v>
      </c>
      <c r="AV129" s="83">
        <f>SUMIFS('Conversions and Lookups'!$F$58:$F$72,'Conversions and Lookups'!$G$58:$G$72,'Measure 2'!AV$77,'Conversions and Lookups'!$C$58:$C$72,'Measure 2'!$C129)*'Measure 2'!$F129</f>
        <v>22.646000000000001</v>
      </c>
    </row>
    <row r="130" spans="2:48" x14ac:dyDescent="0.35">
      <c r="B130" s="57" t="s">
        <v>220</v>
      </c>
      <c r="C130" s="58" t="s">
        <v>212</v>
      </c>
      <c r="D130" s="58">
        <v>1</v>
      </c>
      <c r="E130" s="59">
        <v>20630</v>
      </c>
      <c r="F130" s="59">
        <f t="shared" si="49"/>
        <v>20630</v>
      </c>
      <c r="G130" s="58" t="s">
        <v>278</v>
      </c>
      <c r="H130" s="60">
        <f>VLOOKUP($C130,'Conversions and Lookups'!$B$30:$E$36, 3, 0)</f>
        <v>27.5</v>
      </c>
      <c r="I130" s="61">
        <f t="shared" si="50"/>
        <v>750.18181818181813</v>
      </c>
      <c r="J130" s="62">
        <f>I130*VLOOKUP($G130,'Conversions and Lookups'!$B$41:$D$43,3, 0)</f>
        <v>6.5865963636363629</v>
      </c>
      <c r="K130" s="63">
        <f>$F130*VLOOKUP($C130,'Conversions and Lookups'!$C$47:$G$52, 4, 0)</f>
        <v>2.9459640000000001E-3</v>
      </c>
      <c r="L130" s="64">
        <f>$F130*VLOOKUP($C130,'Conversions and Lookups'!$C$47:$G$52, 5, 0)</f>
        <v>7.6537299999999992E-3</v>
      </c>
      <c r="M130" s="62">
        <f t="shared" si="51"/>
        <v>6.5971960576363635</v>
      </c>
      <c r="N130" s="62">
        <f t="shared" si="52"/>
        <v>32.985980288181821</v>
      </c>
      <c r="O130" s="65">
        <f t="shared" si="53"/>
        <v>79.166352691636362</v>
      </c>
      <c r="P130" s="31"/>
      <c r="Q130" s="75">
        <f>VLOOKUP($C130,'Conversions and Lookups'!$B$30:$E$36, 4, 0)</f>
        <v>0.33428046130703665</v>
      </c>
      <c r="R130" s="30">
        <f t="shared" si="54"/>
        <v>6896.2059167641664</v>
      </c>
      <c r="S130">
        <v>0</v>
      </c>
      <c r="T130" s="76">
        <f>$R130*HLOOKUP(T$77,'Conversions and Lookups'!$B$76:$AE$78, 3, 0)</f>
        <v>1.8093226970772451</v>
      </c>
      <c r="U130" s="76">
        <f>$R130*HLOOKUP(U$77,'Conversions and Lookups'!$B$76:$AE$78, 3, 0)</f>
        <v>1.6567215766095198</v>
      </c>
      <c r="V130" s="76">
        <f>$R130*HLOOKUP(V$77,'Conversions and Lookups'!$B$76:$AE$78, 3, 0)</f>
        <v>1.6018675918969847</v>
      </c>
      <c r="W130" s="76">
        <f>$R130*HLOOKUP(W$77,'Conversions and Lookups'!$B$76:$AE$78, 3, 0)</f>
        <v>1.3602439529499959</v>
      </c>
      <c r="X130" s="76">
        <f>$R130*HLOOKUP(X$77,'Conversions and Lookups'!$B$76:$AE$78, 3, 0)</f>
        <v>1.2738119823762253</v>
      </c>
      <c r="Y130" s="76">
        <f>$R130*HLOOKUP(Y$77,'Conversions and Lookups'!$B$76:$AE$78, 3, 0)</f>
        <v>1.1940424235435008</v>
      </c>
      <c r="Z130" s="76">
        <f>$R130*HLOOKUP(Z$77,'Conversions and Lookups'!$B$76:$AE$78, 3, 0)</f>
        <v>1.1923658038168536</v>
      </c>
      <c r="AA130" s="76">
        <f>$R130*HLOOKUP(AA$77,'Conversions and Lookups'!$B$76:$AE$78, 3, 0)</f>
        <v>1.1752919726036994</v>
      </c>
      <c r="AB130" s="76">
        <f>$R130*HLOOKUP(AB$77,'Conversions and Lookups'!$B$76:$AE$78, 3, 0)</f>
        <v>1.0178803825937368</v>
      </c>
      <c r="AC130" s="76">
        <f>$R130*HLOOKUP(AC$77,'Conversions and Lookups'!$B$76:$AE$78, 3, 0)</f>
        <v>0.94982574594882885</v>
      </c>
      <c r="AD130" s="76">
        <f>$R130*HLOOKUP(AD$77,'Conversions and Lookups'!$B$76:$AE$78, 3, 0)</f>
        <v>0.93893356735443156</v>
      </c>
      <c r="AE130" s="76">
        <f>$R130*HLOOKUP(AE$77,'Conversions and Lookups'!$B$76:$AE$78, 3, 0)</f>
        <v>0.9374354943014922</v>
      </c>
      <c r="AF130" s="76">
        <v>0</v>
      </c>
      <c r="AG130" s="76">
        <v>0</v>
      </c>
      <c r="AH130" s="76">
        <v>0</v>
      </c>
      <c r="AI130" s="76">
        <v>0</v>
      </c>
      <c r="AJ130" s="76">
        <v>0</v>
      </c>
      <c r="AK130" s="76">
        <v>0</v>
      </c>
      <c r="AL130" s="76">
        <v>0</v>
      </c>
      <c r="AM130" s="76">
        <v>0</v>
      </c>
      <c r="AN130" s="76">
        <v>0</v>
      </c>
      <c r="AO130" s="76">
        <v>0</v>
      </c>
      <c r="AP130" s="76">
        <v>0</v>
      </c>
      <c r="AQ130" s="76">
        <v>0</v>
      </c>
      <c r="AR130" s="77">
        <v>0</v>
      </c>
      <c r="AT130" s="82">
        <f>SUMIFS('Conversions and Lookups'!$F$58:$F$72,'Conversions and Lookups'!$G$58:$G$72,'Measure 2'!AT$77,'Conversions and Lookups'!$C$58:$C$72,'Measure 2'!$C130)*'Measure 2'!$F130</f>
        <v>69915.069999999992</v>
      </c>
      <c r="AU130" s="30">
        <f>SUMIFS('Conversions and Lookups'!$F$58:$F$72,'Conversions and Lookups'!$G$58:$G$72,'Measure 2'!AU$77,'Conversions and Lookups'!$C$58:$C$72,'Measure 2'!$C130)*'Measure 2'!$F130</f>
        <v>1794.81</v>
      </c>
      <c r="AV130" s="83">
        <f>SUMIFS('Conversions and Lookups'!$F$58:$F$72,'Conversions and Lookups'!$G$58:$G$72,'Measure 2'!AV$77,'Conversions and Lookups'!$C$58:$C$72,'Measure 2'!$C130)*'Measure 2'!$F130</f>
        <v>41.26</v>
      </c>
    </row>
    <row r="131" spans="2:48" x14ac:dyDescent="0.35">
      <c r="B131" s="57" t="s">
        <v>71</v>
      </c>
      <c r="C131" s="58" t="s">
        <v>214</v>
      </c>
      <c r="D131" s="58">
        <v>1</v>
      </c>
      <c r="E131" s="59">
        <v>20800</v>
      </c>
      <c r="F131" s="59">
        <f t="shared" si="49"/>
        <v>20800</v>
      </c>
      <c r="G131" s="58" t="s">
        <v>278</v>
      </c>
      <c r="H131" s="60">
        <f>VLOOKUP($C131,'Conversions and Lookups'!$B$30:$E$36, 3, 0)</f>
        <v>15.064935064935064</v>
      </c>
      <c r="I131" s="61">
        <f t="shared" si="50"/>
        <v>1380.6896551724139</v>
      </c>
      <c r="J131" s="62">
        <f>I131*VLOOKUP($G131,'Conversions and Lookups'!$B$41:$D$43,3, 0)</f>
        <v>12.122455172413794</v>
      </c>
      <c r="K131" s="63">
        <f>$F131*VLOOKUP($C131,'Conversions and Lookups'!$C$47:$G$52, 4, 0)</f>
        <v>1.6889600000000001E-2</v>
      </c>
      <c r="L131" s="64">
        <f>$F131*VLOOKUP($C131,'Conversions and Lookups'!$C$47:$G$52, 5, 0)</f>
        <v>0.11795679999999999</v>
      </c>
      <c r="M131" s="62">
        <f t="shared" si="51"/>
        <v>12.257301572413795</v>
      </c>
      <c r="N131" s="62">
        <f t="shared" si="52"/>
        <v>61.286507862068973</v>
      </c>
      <c r="O131" s="65">
        <f t="shared" si="53"/>
        <v>147.08761886896554</v>
      </c>
      <c r="P131" s="31"/>
      <c r="Q131" s="75">
        <f>VLOOKUP($C131,'Conversions and Lookups'!$B$30:$E$36, 4, 0)</f>
        <v>0.64775229952066338</v>
      </c>
      <c r="R131" s="30">
        <f t="shared" si="54"/>
        <v>13473.247830029799</v>
      </c>
      <c r="S131">
        <v>0</v>
      </c>
      <c r="T131" s="76">
        <f>$R131*HLOOKUP(T$77,'Conversions and Lookups'!$B$76:$AE$78, 3, 0)</f>
        <v>3.5349079474207508</v>
      </c>
      <c r="U131" s="76">
        <f>$R131*HLOOKUP(U$77,'Conversions and Lookups'!$B$76:$AE$78, 3, 0)</f>
        <v>3.2367682543753569</v>
      </c>
      <c r="V131" s="76">
        <f>$R131*HLOOKUP(V$77,'Conversions and Lookups'!$B$76:$AE$78, 3, 0)</f>
        <v>3.1295989877645605</v>
      </c>
      <c r="W131" s="76">
        <f>$R131*HLOOKUP(W$77,'Conversions and Lookups'!$B$76:$AE$78, 3, 0)</f>
        <v>2.6575343179418907</v>
      </c>
      <c r="X131" s="76">
        <f>$R131*HLOOKUP(X$77,'Conversions and Lookups'!$B$76:$AE$78, 3, 0)</f>
        <v>2.4886705435659842</v>
      </c>
      <c r="Y131" s="76">
        <f>$R131*HLOOKUP(Y$77,'Conversions and Lookups'!$B$76:$AE$78, 3, 0)</f>
        <v>2.3328232489205631</v>
      </c>
      <c r="Z131" s="76">
        <f>$R131*HLOOKUP(Z$77,'Conversions and Lookups'!$B$76:$AE$78, 3, 0)</f>
        <v>2.3295476052744069</v>
      </c>
      <c r="AA131" s="76">
        <f>$R131*HLOOKUP(AA$77,'Conversions and Lookups'!$B$76:$AE$78, 3, 0)</f>
        <v>2.2961901385572787</v>
      </c>
      <c r="AB131" s="76">
        <f>$R131*HLOOKUP(AB$77,'Conversions and Lookups'!$B$76:$AE$78, 3, 0)</f>
        <v>1.9886521402548132</v>
      </c>
      <c r="AC131" s="76">
        <f>$R131*HLOOKUP(AC$77,'Conversions and Lookups'!$B$76:$AE$78, 3, 0)</f>
        <v>1.8556925104864335</v>
      </c>
      <c r="AD131" s="76">
        <f>$R131*HLOOKUP(AD$77,'Conversions and Lookups'!$B$76:$AE$78, 3, 0)</f>
        <v>1.8344122553167737</v>
      </c>
      <c r="AE131" s="76">
        <f>$R131*HLOOKUP(AE$77,'Conversions and Lookups'!$B$76:$AE$78, 3, 0)</f>
        <v>1.8314854416813693</v>
      </c>
      <c r="AF131" s="76">
        <v>0</v>
      </c>
      <c r="AG131" s="76">
        <v>0</v>
      </c>
      <c r="AH131" s="76">
        <v>0</v>
      </c>
      <c r="AI131" s="76">
        <v>0</v>
      </c>
      <c r="AJ131" s="76">
        <v>0</v>
      </c>
      <c r="AK131" s="76">
        <v>0</v>
      </c>
      <c r="AL131" s="76">
        <v>0</v>
      </c>
      <c r="AM131" s="76">
        <v>0</v>
      </c>
      <c r="AN131" s="76">
        <v>0</v>
      </c>
      <c r="AO131" s="76">
        <v>0</v>
      </c>
      <c r="AP131" s="76">
        <v>0</v>
      </c>
      <c r="AQ131" s="76">
        <v>0</v>
      </c>
      <c r="AR131" s="77">
        <v>0</v>
      </c>
      <c r="AT131" s="82">
        <f>SUMIFS('Conversions and Lookups'!$F$58:$F$72,'Conversions and Lookups'!$G$58:$G$72,'Measure 2'!AT$77,'Conversions and Lookups'!$C$58:$C$72,'Measure 2'!$C131)*'Measure 2'!$F131</f>
        <v>33467.199999999997</v>
      </c>
      <c r="AU131" s="30">
        <f>SUMIFS('Conversions and Lookups'!$F$58:$F$72,'Conversions and Lookups'!$G$58:$G$72,'Measure 2'!AU$77,'Conversions and Lookups'!$C$58:$C$72,'Measure 2'!$C131)*'Measure 2'!$F131</f>
        <v>24024</v>
      </c>
      <c r="AV131" s="83">
        <f>SUMIFS('Conversions and Lookups'!$F$58:$F$72,'Conversions and Lookups'!$G$58:$G$72,'Measure 2'!AV$77,'Conversions and Lookups'!$C$58:$C$72,'Measure 2'!$C131)*'Measure 2'!$F131</f>
        <v>1081.5999999999999</v>
      </c>
    </row>
    <row r="132" spans="2:48" x14ac:dyDescent="0.35">
      <c r="B132" s="57" t="s">
        <v>71</v>
      </c>
      <c r="C132" s="58" t="s">
        <v>214</v>
      </c>
      <c r="D132" s="58">
        <v>1</v>
      </c>
      <c r="E132" s="59">
        <v>5745.0145382258061</v>
      </c>
      <c r="F132" s="59">
        <f t="shared" si="49"/>
        <v>5745.0145382258061</v>
      </c>
      <c r="G132" s="58" t="s">
        <v>278</v>
      </c>
      <c r="H132" s="60">
        <f>VLOOKUP($C132,'Conversions and Lookups'!$B$30:$E$36, 3, 0)</f>
        <v>15.064935064935064</v>
      </c>
      <c r="I132" s="61">
        <f t="shared" si="50"/>
        <v>381.35010296843717</v>
      </c>
      <c r="J132" s="62">
        <f>I132*VLOOKUP($G132,'Conversions and Lookups'!$B$41:$D$43,3, 0)</f>
        <v>3.348253904062878</v>
      </c>
      <c r="K132" s="63">
        <f>$F132*VLOOKUP($C132,'Conversions and Lookups'!$C$47:$G$52, 4, 0)</f>
        <v>4.6649518050393543E-3</v>
      </c>
      <c r="L132" s="64">
        <f>$F132*VLOOKUP($C132,'Conversions and Lookups'!$C$47:$G$52, 5, 0)</f>
        <v>3.2579977446278545E-2</v>
      </c>
      <c r="M132" s="62">
        <f t="shared" si="51"/>
        <v>3.385498833314196</v>
      </c>
      <c r="N132" s="62">
        <f t="shared" si="52"/>
        <v>16.92749416657098</v>
      </c>
      <c r="O132" s="65">
        <f t="shared" si="53"/>
        <v>40.62598599977035</v>
      </c>
      <c r="P132" s="31"/>
      <c r="Q132" s="75">
        <f>VLOOKUP($C132,'Conversions and Lookups'!$B$30:$E$36, 4, 0)</f>
        <v>0.64775229952066338</v>
      </c>
      <c r="R132" s="30">
        <f t="shared" si="54"/>
        <v>3721.3463779154081</v>
      </c>
      <c r="S132">
        <v>0</v>
      </c>
      <c r="T132" s="76">
        <f>$R132*HLOOKUP(T$77,'Conversions and Lookups'!$B$76:$AE$78, 3, 0)</f>
        <v>0.97635084371260372</v>
      </c>
      <c r="U132" s="76">
        <f>$R132*HLOOKUP(U$77,'Conversions and Lookups'!$B$76:$AE$78, 3, 0)</f>
        <v>0.89400387876222065</v>
      </c>
      <c r="V132" s="76">
        <f>$R132*HLOOKUP(V$77,'Conversions and Lookups'!$B$76:$AE$78, 3, 0)</f>
        <v>0.86440344632327726</v>
      </c>
      <c r="W132" s="76">
        <f>$R132*HLOOKUP(W$77,'Conversions and Lookups'!$B$76:$AE$78, 3, 0)</f>
        <v>0.73401794675048859</v>
      </c>
      <c r="X132" s="76">
        <f>$R132*HLOOKUP(X$77,'Conversions and Lookups'!$B$76:$AE$78, 3, 0)</f>
        <v>0.68737732950196617</v>
      </c>
      <c r="Y132" s="76">
        <f>$R132*HLOOKUP(Y$77,'Conversions and Lookups'!$B$76:$AE$78, 3, 0)</f>
        <v>0.64433189808460545</v>
      </c>
      <c r="Z132" s="76">
        <f>$R132*HLOOKUP(Z$77,'Conversions and Lookups'!$B$76:$AE$78, 3, 0)</f>
        <v>0.64342715672070094</v>
      </c>
      <c r="AA132" s="76">
        <f>$R132*HLOOKUP(AA$77,'Conversions and Lookups'!$B$76:$AE$78, 3, 0)</f>
        <v>0.63421373694914873</v>
      </c>
      <c r="AB132" s="76">
        <f>$R132*HLOOKUP(AB$77,'Conversions and Lookups'!$B$76:$AE$78, 3, 0)</f>
        <v>0.54927093544412331</v>
      </c>
      <c r="AC132" s="76">
        <f>$R132*HLOOKUP(AC$77,'Conversions and Lookups'!$B$76:$AE$78, 3, 0)</f>
        <v>0.5125471370779473</v>
      </c>
      <c r="AD132" s="76">
        <f>$R132*HLOOKUP(AD$77,'Conversions and Lookups'!$B$76:$AE$78, 3, 0)</f>
        <v>0.50666947480261793</v>
      </c>
      <c r="AE132" s="76">
        <f>$R132*HLOOKUP(AE$77,'Conversions and Lookups'!$B$76:$AE$78, 3, 0)</f>
        <v>0.50586108120232587</v>
      </c>
      <c r="AF132" s="76">
        <v>0</v>
      </c>
      <c r="AG132" s="76">
        <v>0</v>
      </c>
      <c r="AH132" s="76">
        <v>0</v>
      </c>
      <c r="AI132" s="76">
        <v>0</v>
      </c>
      <c r="AJ132" s="76">
        <v>0</v>
      </c>
      <c r="AK132" s="76">
        <v>0</v>
      </c>
      <c r="AL132" s="76">
        <v>0</v>
      </c>
      <c r="AM132" s="76">
        <v>0</v>
      </c>
      <c r="AN132" s="76">
        <v>0</v>
      </c>
      <c r="AO132" s="76">
        <v>0</v>
      </c>
      <c r="AP132" s="76">
        <v>0</v>
      </c>
      <c r="AQ132" s="76">
        <v>0</v>
      </c>
      <c r="AR132" s="77">
        <v>0</v>
      </c>
      <c r="AT132" s="82">
        <f>SUMIFS('Conversions and Lookups'!$F$58:$F$72,'Conversions and Lookups'!$G$58:$G$72,'Measure 2'!AT$77,'Conversions and Lookups'!$C$58:$C$72,'Measure 2'!$C132)*'Measure 2'!$F132</f>
        <v>9243.7283920053214</v>
      </c>
      <c r="AU132" s="30">
        <f>SUMIFS('Conversions and Lookups'!$F$58:$F$72,'Conversions and Lookups'!$G$58:$G$72,'Measure 2'!AU$77,'Conversions and Lookups'!$C$58:$C$72,'Measure 2'!$C132)*'Measure 2'!$F132</f>
        <v>6635.4917916508066</v>
      </c>
      <c r="AV132" s="83">
        <f>SUMIFS('Conversions and Lookups'!$F$58:$F$72,'Conversions and Lookups'!$G$58:$G$72,'Measure 2'!AV$77,'Conversions and Lookups'!$C$58:$C$72,'Measure 2'!$C132)*'Measure 2'!$F132</f>
        <v>298.74075598774192</v>
      </c>
    </row>
    <row r="133" spans="2:48" x14ac:dyDescent="0.35">
      <c r="B133" s="57" t="s">
        <v>71</v>
      </c>
      <c r="C133" s="58" t="s">
        <v>214</v>
      </c>
      <c r="D133" s="58">
        <v>1</v>
      </c>
      <c r="E133" s="59">
        <v>5745.0145382258061</v>
      </c>
      <c r="F133" s="59">
        <f t="shared" si="49"/>
        <v>5745.0145382258061</v>
      </c>
      <c r="G133" s="58" t="s">
        <v>278</v>
      </c>
      <c r="H133" s="60">
        <f>VLOOKUP($C133,'Conversions and Lookups'!$B$30:$E$36, 3, 0)</f>
        <v>15.064935064935064</v>
      </c>
      <c r="I133" s="61">
        <f t="shared" si="50"/>
        <v>381.35010296843717</v>
      </c>
      <c r="J133" s="62">
        <f>I133*VLOOKUP($G133,'Conversions and Lookups'!$B$41:$D$43,3, 0)</f>
        <v>3.348253904062878</v>
      </c>
      <c r="K133" s="63">
        <f>$F133*VLOOKUP($C133,'Conversions and Lookups'!$C$47:$G$52, 4, 0)</f>
        <v>4.6649518050393543E-3</v>
      </c>
      <c r="L133" s="64">
        <f>$F133*VLOOKUP($C133,'Conversions and Lookups'!$C$47:$G$52, 5, 0)</f>
        <v>3.2579977446278545E-2</v>
      </c>
      <c r="M133" s="62">
        <f t="shared" si="51"/>
        <v>3.385498833314196</v>
      </c>
      <c r="N133" s="62">
        <f t="shared" si="52"/>
        <v>16.92749416657098</v>
      </c>
      <c r="O133" s="65">
        <f t="shared" si="53"/>
        <v>40.62598599977035</v>
      </c>
      <c r="P133" s="31"/>
      <c r="Q133" s="75">
        <f>VLOOKUP($C133,'Conversions and Lookups'!$B$30:$E$36, 4, 0)</f>
        <v>0.64775229952066338</v>
      </c>
      <c r="R133" s="30">
        <f t="shared" si="54"/>
        <v>3721.3463779154081</v>
      </c>
      <c r="S133">
        <v>0</v>
      </c>
      <c r="T133" s="76">
        <f>$R133*HLOOKUP(T$77,'Conversions and Lookups'!$B$76:$AE$78, 3, 0)</f>
        <v>0.97635084371260372</v>
      </c>
      <c r="U133" s="76">
        <f>$R133*HLOOKUP(U$77,'Conversions and Lookups'!$B$76:$AE$78, 3, 0)</f>
        <v>0.89400387876222065</v>
      </c>
      <c r="V133" s="76">
        <f>$R133*HLOOKUP(V$77,'Conversions and Lookups'!$B$76:$AE$78, 3, 0)</f>
        <v>0.86440344632327726</v>
      </c>
      <c r="W133" s="76">
        <f>$R133*HLOOKUP(W$77,'Conversions and Lookups'!$B$76:$AE$78, 3, 0)</f>
        <v>0.73401794675048859</v>
      </c>
      <c r="X133" s="76">
        <f>$R133*HLOOKUP(X$77,'Conversions and Lookups'!$B$76:$AE$78, 3, 0)</f>
        <v>0.68737732950196617</v>
      </c>
      <c r="Y133" s="76">
        <f>$R133*HLOOKUP(Y$77,'Conversions and Lookups'!$B$76:$AE$78, 3, 0)</f>
        <v>0.64433189808460545</v>
      </c>
      <c r="Z133" s="76">
        <f>$R133*HLOOKUP(Z$77,'Conversions and Lookups'!$B$76:$AE$78, 3, 0)</f>
        <v>0.64342715672070094</v>
      </c>
      <c r="AA133" s="76">
        <f>$R133*HLOOKUP(AA$77,'Conversions and Lookups'!$B$76:$AE$78, 3, 0)</f>
        <v>0.63421373694914873</v>
      </c>
      <c r="AB133" s="76">
        <f>$R133*HLOOKUP(AB$77,'Conversions and Lookups'!$B$76:$AE$78, 3, 0)</f>
        <v>0.54927093544412331</v>
      </c>
      <c r="AC133" s="76">
        <f>$R133*HLOOKUP(AC$77,'Conversions and Lookups'!$B$76:$AE$78, 3, 0)</f>
        <v>0.5125471370779473</v>
      </c>
      <c r="AD133" s="76">
        <f>$R133*HLOOKUP(AD$77,'Conversions and Lookups'!$B$76:$AE$78, 3, 0)</f>
        <v>0.50666947480261793</v>
      </c>
      <c r="AE133" s="76">
        <f>$R133*HLOOKUP(AE$77,'Conversions and Lookups'!$B$76:$AE$78, 3, 0)</f>
        <v>0.50586108120232587</v>
      </c>
      <c r="AF133" s="76">
        <v>0</v>
      </c>
      <c r="AG133" s="76">
        <v>0</v>
      </c>
      <c r="AH133" s="76">
        <v>0</v>
      </c>
      <c r="AI133" s="76">
        <v>0</v>
      </c>
      <c r="AJ133" s="76">
        <v>0</v>
      </c>
      <c r="AK133" s="76">
        <v>0</v>
      </c>
      <c r="AL133" s="76">
        <v>0</v>
      </c>
      <c r="AM133" s="76">
        <v>0</v>
      </c>
      <c r="AN133" s="76">
        <v>0</v>
      </c>
      <c r="AO133" s="76">
        <v>0</v>
      </c>
      <c r="AP133" s="76">
        <v>0</v>
      </c>
      <c r="AQ133" s="76">
        <v>0</v>
      </c>
      <c r="AR133" s="77">
        <v>0</v>
      </c>
      <c r="AT133" s="82">
        <f>SUMIFS('Conversions and Lookups'!$F$58:$F$72,'Conversions and Lookups'!$G$58:$G$72,'Measure 2'!AT$77,'Conversions and Lookups'!$C$58:$C$72,'Measure 2'!$C133)*'Measure 2'!$F133</f>
        <v>9243.7283920053214</v>
      </c>
      <c r="AU133" s="30">
        <f>SUMIFS('Conversions and Lookups'!$F$58:$F$72,'Conversions and Lookups'!$G$58:$G$72,'Measure 2'!AU$77,'Conversions and Lookups'!$C$58:$C$72,'Measure 2'!$C133)*'Measure 2'!$F133</f>
        <v>6635.4917916508066</v>
      </c>
      <c r="AV133" s="83">
        <f>SUMIFS('Conversions and Lookups'!$F$58:$F$72,'Conversions and Lookups'!$G$58:$G$72,'Measure 2'!AV$77,'Conversions and Lookups'!$C$58:$C$72,'Measure 2'!$C133)*'Measure 2'!$F133</f>
        <v>298.74075598774192</v>
      </c>
    </row>
    <row r="134" spans="2:48" x14ac:dyDescent="0.35">
      <c r="B134" s="57" t="s">
        <v>71</v>
      </c>
      <c r="C134" s="58" t="s">
        <v>214</v>
      </c>
      <c r="D134" s="58">
        <v>1</v>
      </c>
      <c r="E134" s="59">
        <v>5745.0145382258061</v>
      </c>
      <c r="F134" s="59">
        <f t="shared" si="49"/>
        <v>5745.0145382258061</v>
      </c>
      <c r="G134" s="58" t="s">
        <v>278</v>
      </c>
      <c r="H134" s="60">
        <f>VLOOKUP($C134,'Conversions and Lookups'!$B$30:$E$36, 3, 0)</f>
        <v>15.064935064935064</v>
      </c>
      <c r="I134" s="61">
        <f t="shared" si="50"/>
        <v>381.35010296843717</v>
      </c>
      <c r="J134" s="62">
        <f>I134*VLOOKUP($G134,'Conversions and Lookups'!$B$41:$D$43,3, 0)</f>
        <v>3.348253904062878</v>
      </c>
      <c r="K134" s="63">
        <f>$F134*VLOOKUP($C134,'Conversions and Lookups'!$C$47:$G$52, 4, 0)</f>
        <v>4.6649518050393543E-3</v>
      </c>
      <c r="L134" s="64">
        <f>$F134*VLOOKUP($C134,'Conversions and Lookups'!$C$47:$G$52, 5, 0)</f>
        <v>3.2579977446278545E-2</v>
      </c>
      <c r="M134" s="62">
        <f t="shared" si="51"/>
        <v>3.385498833314196</v>
      </c>
      <c r="N134" s="62">
        <f t="shared" si="52"/>
        <v>16.92749416657098</v>
      </c>
      <c r="O134" s="65">
        <f t="shared" si="53"/>
        <v>40.62598599977035</v>
      </c>
      <c r="P134" s="31"/>
      <c r="Q134" s="75">
        <f>VLOOKUP($C134,'Conversions and Lookups'!$B$30:$E$36, 4, 0)</f>
        <v>0.64775229952066338</v>
      </c>
      <c r="R134" s="30">
        <f t="shared" si="54"/>
        <v>3721.3463779154081</v>
      </c>
      <c r="S134">
        <v>0</v>
      </c>
      <c r="T134" s="76">
        <f>$R134*HLOOKUP(T$77,'Conversions and Lookups'!$B$76:$AE$78, 3, 0)</f>
        <v>0.97635084371260372</v>
      </c>
      <c r="U134" s="76">
        <f>$R134*HLOOKUP(U$77,'Conversions and Lookups'!$B$76:$AE$78, 3, 0)</f>
        <v>0.89400387876222065</v>
      </c>
      <c r="V134" s="76">
        <f>$R134*HLOOKUP(V$77,'Conversions and Lookups'!$B$76:$AE$78, 3, 0)</f>
        <v>0.86440344632327726</v>
      </c>
      <c r="W134" s="76">
        <f>$R134*HLOOKUP(W$77,'Conversions and Lookups'!$B$76:$AE$78, 3, 0)</f>
        <v>0.73401794675048859</v>
      </c>
      <c r="X134" s="76">
        <f>$R134*HLOOKUP(X$77,'Conversions and Lookups'!$B$76:$AE$78, 3, 0)</f>
        <v>0.68737732950196617</v>
      </c>
      <c r="Y134" s="76">
        <f>$R134*HLOOKUP(Y$77,'Conversions and Lookups'!$B$76:$AE$78, 3, 0)</f>
        <v>0.64433189808460545</v>
      </c>
      <c r="Z134" s="76">
        <f>$R134*HLOOKUP(Z$77,'Conversions and Lookups'!$B$76:$AE$78, 3, 0)</f>
        <v>0.64342715672070094</v>
      </c>
      <c r="AA134" s="76">
        <f>$R134*HLOOKUP(AA$77,'Conversions and Lookups'!$B$76:$AE$78, 3, 0)</f>
        <v>0.63421373694914873</v>
      </c>
      <c r="AB134" s="76">
        <f>$R134*HLOOKUP(AB$77,'Conversions and Lookups'!$B$76:$AE$78, 3, 0)</f>
        <v>0.54927093544412331</v>
      </c>
      <c r="AC134" s="76">
        <f>$R134*HLOOKUP(AC$77,'Conversions and Lookups'!$B$76:$AE$78, 3, 0)</f>
        <v>0.5125471370779473</v>
      </c>
      <c r="AD134" s="76">
        <f>$R134*HLOOKUP(AD$77,'Conversions and Lookups'!$B$76:$AE$78, 3, 0)</f>
        <v>0.50666947480261793</v>
      </c>
      <c r="AE134" s="76">
        <f>$R134*HLOOKUP(AE$77,'Conversions and Lookups'!$B$76:$AE$78, 3, 0)</f>
        <v>0.50586108120232587</v>
      </c>
      <c r="AF134" s="76">
        <v>0</v>
      </c>
      <c r="AG134" s="76">
        <v>0</v>
      </c>
      <c r="AH134" s="76">
        <v>0</v>
      </c>
      <c r="AI134" s="76">
        <v>0</v>
      </c>
      <c r="AJ134" s="76">
        <v>0</v>
      </c>
      <c r="AK134" s="76">
        <v>0</v>
      </c>
      <c r="AL134" s="76">
        <v>0</v>
      </c>
      <c r="AM134" s="76">
        <v>0</v>
      </c>
      <c r="AN134" s="76">
        <v>0</v>
      </c>
      <c r="AO134" s="76">
        <v>0</v>
      </c>
      <c r="AP134" s="76">
        <v>0</v>
      </c>
      <c r="AQ134" s="76">
        <v>0</v>
      </c>
      <c r="AR134" s="77">
        <v>0</v>
      </c>
      <c r="AT134" s="82">
        <f>SUMIFS('Conversions and Lookups'!$F$58:$F$72,'Conversions and Lookups'!$G$58:$G$72,'Measure 2'!AT$77,'Conversions and Lookups'!$C$58:$C$72,'Measure 2'!$C134)*'Measure 2'!$F134</f>
        <v>9243.7283920053214</v>
      </c>
      <c r="AU134" s="30">
        <f>SUMIFS('Conversions and Lookups'!$F$58:$F$72,'Conversions and Lookups'!$G$58:$G$72,'Measure 2'!AU$77,'Conversions and Lookups'!$C$58:$C$72,'Measure 2'!$C134)*'Measure 2'!$F134</f>
        <v>6635.4917916508066</v>
      </c>
      <c r="AV134" s="83">
        <f>SUMIFS('Conversions and Lookups'!$F$58:$F$72,'Conversions and Lookups'!$G$58:$G$72,'Measure 2'!AV$77,'Conversions and Lookups'!$C$58:$C$72,'Measure 2'!$C134)*'Measure 2'!$F134</f>
        <v>298.74075598774192</v>
      </c>
    </row>
    <row r="135" spans="2:48" x14ac:dyDescent="0.35">
      <c r="B135" s="57" t="s">
        <v>69</v>
      </c>
      <c r="C135" s="58" t="s">
        <v>212</v>
      </c>
      <c r="D135" s="58">
        <v>6</v>
      </c>
      <c r="E135" s="59">
        <v>8646.184172570689</v>
      </c>
      <c r="F135" s="59">
        <f t="shared" si="49"/>
        <v>51877.105035424131</v>
      </c>
      <c r="G135" s="58" t="s">
        <v>278</v>
      </c>
      <c r="H135" s="60">
        <f>VLOOKUP($C135,'Conversions and Lookups'!$B$30:$E$36, 3, 0)</f>
        <v>27.5</v>
      </c>
      <c r="I135" s="61">
        <f t="shared" si="50"/>
        <v>1886.4401831063319</v>
      </c>
      <c r="J135" s="62">
        <f>I135*VLOOKUP($G135,'Conversions and Lookups'!$B$41:$D$43,3, 0)</f>
        <v>16.562944807673592</v>
      </c>
      <c r="K135" s="63">
        <f>$F135*VLOOKUP($C135,'Conversions and Lookups'!$C$47:$G$52, 4, 0)</f>
        <v>7.408050599058566E-3</v>
      </c>
      <c r="L135" s="64">
        <f>$F135*VLOOKUP($C135,'Conversions and Lookups'!$C$47:$G$52, 5, 0)</f>
        <v>1.9246405968142352E-2</v>
      </c>
      <c r="M135" s="62">
        <f t="shared" si="51"/>
        <v>16.589599264240793</v>
      </c>
      <c r="N135" s="62">
        <f t="shared" si="52"/>
        <v>82.947996321203959</v>
      </c>
      <c r="O135" s="65">
        <f t="shared" si="53"/>
        <v>199.07519117088952</v>
      </c>
      <c r="P135" s="31"/>
      <c r="Q135" s="75">
        <f>VLOOKUP($C135,'Conversions and Lookups'!$B$30:$E$36, 4, 0)</f>
        <v>0.33428046130703665</v>
      </c>
      <c r="R135" s="30">
        <f t="shared" si="54"/>
        <v>17341.502602515171</v>
      </c>
      <c r="S135">
        <v>0</v>
      </c>
      <c r="T135" s="76">
        <f>$R135*HLOOKUP(T$77,'Conversions and Lookups'!$B$76:$AE$78, 3, 0)</f>
        <v>4.5498024042294292</v>
      </c>
      <c r="U135" s="76">
        <f>$R135*HLOOKUP(U$77,'Conversions and Lookups'!$B$76:$AE$78, 3, 0)</f>
        <v>4.1660649173158273</v>
      </c>
      <c r="V135" s="76">
        <f>$R135*HLOOKUP(V$77,'Conversions and Lookups'!$B$76:$AE$78, 3, 0)</f>
        <v>4.0281266756026071</v>
      </c>
      <c r="W135" s="76">
        <f>$R135*HLOOKUP(W$77,'Conversions and Lookups'!$B$76:$AE$78, 3, 0)</f>
        <v>3.4205292496843165</v>
      </c>
      <c r="X135" s="76">
        <f>$R135*HLOOKUP(X$77,'Conversions and Lookups'!$B$76:$AE$78, 3, 0)</f>
        <v>3.2031836163409237</v>
      </c>
      <c r="Y135" s="76">
        <f>$R135*HLOOKUP(Y$77,'Conversions and Lookups'!$B$76:$AE$78, 3, 0)</f>
        <v>3.0025915764866005</v>
      </c>
      <c r="Z135" s="76">
        <f>$R135*HLOOKUP(Z$77,'Conversions and Lookups'!$B$76:$AE$78, 3, 0)</f>
        <v>2.9983754748063416</v>
      </c>
      <c r="AA135" s="76">
        <f>$R135*HLOOKUP(AA$77,'Conversions and Lookups'!$B$76:$AE$78, 3, 0)</f>
        <v>2.9554408681557405</v>
      </c>
      <c r="AB135" s="76">
        <f>$R135*HLOOKUP(AB$77,'Conversions and Lookups'!$B$76:$AE$78, 3, 0)</f>
        <v>2.5596067630301973</v>
      </c>
      <c r="AC135" s="76">
        <f>$R135*HLOOKUP(AC$77,'Conversions and Lookups'!$B$76:$AE$78, 3, 0)</f>
        <v>2.3884735815771916</v>
      </c>
      <c r="AD135" s="76">
        <f>$R135*HLOOKUP(AD$77,'Conversions and Lookups'!$B$76:$AE$78, 3, 0)</f>
        <v>2.3610836303893028</v>
      </c>
      <c r="AE135" s="76">
        <f>$R135*HLOOKUP(AE$77,'Conversions and Lookups'!$B$76:$AE$78, 3, 0)</f>
        <v>2.3573165100248787</v>
      </c>
      <c r="AF135" s="76">
        <v>0</v>
      </c>
      <c r="AG135" s="76">
        <v>0</v>
      </c>
      <c r="AH135" s="76">
        <v>0</v>
      </c>
      <c r="AI135" s="76">
        <v>0</v>
      </c>
      <c r="AJ135" s="76">
        <v>0</v>
      </c>
      <c r="AK135" s="76">
        <v>0</v>
      </c>
      <c r="AL135" s="76">
        <v>0</v>
      </c>
      <c r="AM135" s="76">
        <v>0</v>
      </c>
      <c r="AN135" s="76">
        <v>0</v>
      </c>
      <c r="AO135" s="76">
        <v>0</v>
      </c>
      <c r="AP135" s="76">
        <v>0</v>
      </c>
      <c r="AQ135" s="76">
        <v>0</v>
      </c>
      <c r="AR135" s="77">
        <v>0</v>
      </c>
      <c r="AT135" s="82">
        <f>SUMIFS('Conversions and Lookups'!$F$58:$F$72,'Conversions and Lookups'!$G$58:$G$72,'Measure 2'!AT$77,'Conversions and Lookups'!$C$58:$C$72,'Measure 2'!$C135)*'Measure 2'!$F135</f>
        <v>175811.50896505237</v>
      </c>
      <c r="AU135" s="30">
        <f>SUMIFS('Conversions and Lookups'!$F$58:$F$72,'Conversions and Lookups'!$G$58:$G$72,'Measure 2'!AU$77,'Conversions and Lookups'!$C$58:$C$72,'Measure 2'!$C135)*'Measure 2'!$F135</f>
        <v>4513.3081380818994</v>
      </c>
      <c r="AV135" s="83">
        <f>SUMIFS('Conversions and Lookups'!$F$58:$F$72,'Conversions and Lookups'!$G$58:$G$72,'Measure 2'!AV$77,'Conversions and Lookups'!$C$58:$C$72,'Measure 2'!$C135)*'Measure 2'!$F135</f>
        <v>103.75421007084826</v>
      </c>
    </row>
    <row r="136" spans="2:48" x14ac:dyDescent="0.35">
      <c r="B136" s="57" t="s">
        <v>69</v>
      </c>
      <c r="C136" s="58" t="s">
        <v>212</v>
      </c>
      <c r="D136" s="58">
        <v>5</v>
      </c>
      <c r="E136" s="59">
        <v>8646.184172570689</v>
      </c>
      <c r="F136" s="59">
        <f t="shared" si="49"/>
        <v>43230.920862853447</v>
      </c>
      <c r="G136" s="58" t="s">
        <v>278</v>
      </c>
      <c r="H136" s="60">
        <f>VLOOKUP($C136,'Conversions and Lookups'!$B$30:$E$36, 3, 0)</f>
        <v>27.5</v>
      </c>
      <c r="I136" s="61">
        <f t="shared" si="50"/>
        <v>1572.0334859219436</v>
      </c>
      <c r="J136" s="62">
        <f>I136*VLOOKUP($G136,'Conversions and Lookups'!$B$41:$D$43,3, 0)</f>
        <v>13.802454006394663</v>
      </c>
      <c r="K136" s="63">
        <f>$F136*VLOOKUP($C136,'Conversions and Lookups'!$C$47:$G$52, 4, 0)</f>
        <v>6.1733754992154728E-3</v>
      </c>
      <c r="L136" s="64">
        <f>$F136*VLOOKUP($C136,'Conversions and Lookups'!$C$47:$G$52, 5, 0)</f>
        <v>1.6038671640118629E-2</v>
      </c>
      <c r="M136" s="62">
        <f t="shared" si="51"/>
        <v>13.824666053533999</v>
      </c>
      <c r="N136" s="62">
        <f t="shared" si="52"/>
        <v>69.123330267669999</v>
      </c>
      <c r="O136" s="65">
        <f t="shared" si="53"/>
        <v>165.89599264240798</v>
      </c>
      <c r="P136" s="31"/>
      <c r="Q136" s="75">
        <f>VLOOKUP($C136,'Conversions and Lookups'!$B$30:$E$36, 4, 0)</f>
        <v>0.33428046130703665</v>
      </c>
      <c r="R136" s="30">
        <f t="shared" si="54"/>
        <v>14451.252168762645</v>
      </c>
      <c r="S136">
        <v>0</v>
      </c>
      <c r="T136" s="76">
        <f>$R136*HLOOKUP(T$77,'Conversions and Lookups'!$B$76:$AE$78, 3, 0)</f>
        <v>3.7915020035245246</v>
      </c>
      <c r="U136" s="76">
        <f>$R136*HLOOKUP(U$77,'Conversions and Lookups'!$B$76:$AE$78, 3, 0)</f>
        <v>3.4717207644298567</v>
      </c>
      <c r="V136" s="76">
        <f>$R136*HLOOKUP(V$77,'Conversions and Lookups'!$B$76:$AE$78, 3, 0)</f>
        <v>3.3567722296688398</v>
      </c>
      <c r="W136" s="76">
        <f>$R136*HLOOKUP(W$77,'Conversions and Lookups'!$B$76:$AE$78, 3, 0)</f>
        <v>2.8504410414035979</v>
      </c>
      <c r="X136" s="76">
        <f>$R136*HLOOKUP(X$77,'Conversions and Lookups'!$B$76:$AE$78, 3, 0)</f>
        <v>2.6693196802841039</v>
      </c>
      <c r="Y136" s="76">
        <f>$R136*HLOOKUP(Y$77,'Conversions and Lookups'!$B$76:$AE$78, 3, 0)</f>
        <v>2.5021596470721676</v>
      </c>
      <c r="Z136" s="76">
        <f>$R136*HLOOKUP(Z$77,'Conversions and Lookups'!$B$76:$AE$78, 3, 0)</f>
        <v>2.4986462290052853</v>
      </c>
      <c r="AA136" s="76">
        <f>$R136*HLOOKUP(AA$77,'Conversions and Lookups'!$B$76:$AE$78, 3, 0)</f>
        <v>2.4628673901297842</v>
      </c>
      <c r="AB136" s="76">
        <f>$R136*HLOOKUP(AB$77,'Conversions and Lookups'!$B$76:$AE$78, 3, 0)</f>
        <v>2.1330056358584981</v>
      </c>
      <c r="AC136" s="76">
        <f>$R136*HLOOKUP(AC$77,'Conversions and Lookups'!$B$76:$AE$78, 3, 0)</f>
        <v>1.9903946513143267</v>
      </c>
      <c r="AD136" s="76">
        <f>$R136*HLOOKUP(AD$77,'Conversions and Lookups'!$B$76:$AE$78, 3, 0)</f>
        <v>1.9675696919910859</v>
      </c>
      <c r="AE136" s="76">
        <f>$R136*HLOOKUP(AE$77,'Conversions and Lookups'!$B$76:$AE$78, 3, 0)</f>
        <v>1.9644304250207325</v>
      </c>
      <c r="AF136" s="76">
        <v>0</v>
      </c>
      <c r="AG136" s="76">
        <v>0</v>
      </c>
      <c r="AH136" s="76">
        <v>0</v>
      </c>
      <c r="AI136" s="76">
        <v>0</v>
      </c>
      <c r="AJ136" s="76">
        <v>0</v>
      </c>
      <c r="AK136" s="76">
        <v>0</v>
      </c>
      <c r="AL136" s="76">
        <v>0</v>
      </c>
      <c r="AM136" s="76">
        <v>0</v>
      </c>
      <c r="AN136" s="76">
        <v>0</v>
      </c>
      <c r="AO136" s="76">
        <v>0</v>
      </c>
      <c r="AP136" s="76">
        <v>0</v>
      </c>
      <c r="AQ136" s="76">
        <v>0</v>
      </c>
      <c r="AR136" s="77">
        <v>0</v>
      </c>
      <c r="AT136" s="82">
        <f>SUMIFS('Conversions and Lookups'!$F$58:$F$72,'Conversions and Lookups'!$G$58:$G$72,'Measure 2'!AT$77,'Conversions and Lookups'!$C$58:$C$72,'Measure 2'!$C136)*'Measure 2'!$F136</f>
        <v>146509.59080421031</v>
      </c>
      <c r="AU136" s="30">
        <f>SUMIFS('Conversions and Lookups'!$F$58:$F$72,'Conversions and Lookups'!$G$58:$G$72,'Measure 2'!AU$77,'Conversions and Lookups'!$C$58:$C$72,'Measure 2'!$C136)*'Measure 2'!$F136</f>
        <v>3761.0901150682498</v>
      </c>
      <c r="AV136" s="83">
        <f>SUMIFS('Conversions and Lookups'!$F$58:$F$72,'Conversions and Lookups'!$G$58:$G$72,'Measure 2'!AV$77,'Conversions and Lookups'!$C$58:$C$72,'Measure 2'!$C136)*'Measure 2'!$F136</f>
        <v>86.46184172570689</v>
      </c>
    </row>
    <row r="137" spans="2:48" x14ac:dyDescent="0.35">
      <c r="B137" s="57" t="s">
        <v>69</v>
      </c>
      <c r="C137" s="58" t="s">
        <v>212</v>
      </c>
      <c r="D137" s="58">
        <v>6</v>
      </c>
      <c r="E137" s="59">
        <v>8646.184172570689</v>
      </c>
      <c r="F137" s="59">
        <f t="shared" si="49"/>
        <v>51877.105035424131</v>
      </c>
      <c r="G137" s="58" t="s">
        <v>278</v>
      </c>
      <c r="H137" s="60">
        <f>VLOOKUP($C137,'Conversions and Lookups'!$B$30:$E$36, 3, 0)</f>
        <v>27.5</v>
      </c>
      <c r="I137" s="61">
        <f t="shared" si="50"/>
        <v>1886.4401831063319</v>
      </c>
      <c r="J137" s="62">
        <f>I137*VLOOKUP($G137,'Conversions and Lookups'!$B$41:$D$43,3, 0)</f>
        <v>16.562944807673592</v>
      </c>
      <c r="K137" s="63">
        <f>$F137*VLOOKUP($C137,'Conversions and Lookups'!$C$47:$G$52, 4, 0)</f>
        <v>7.408050599058566E-3</v>
      </c>
      <c r="L137" s="64">
        <f>$F137*VLOOKUP($C137,'Conversions and Lookups'!$C$47:$G$52, 5, 0)</f>
        <v>1.9246405968142352E-2</v>
      </c>
      <c r="M137" s="62">
        <f t="shared" si="51"/>
        <v>16.589599264240793</v>
      </c>
      <c r="N137" s="62">
        <f t="shared" si="52"/>
        <v>82.947996321203959</v>
      </c>
      <c r="O137" s="65">
        <f t="shared" si="53"/>
        <v>199.07519117088952</v>
      </c>
      <c r="P137" s="31"/>
      <c r="Q137" s="75">
        <f>VLOOKUP($C137,'Conversions and Lookups'!$B$30:$E$36, 4, 0)</f>
        <v>0.33428046130703665</v>
      </c>
      <c r="R137" s="30">
        <f t="shared" si="54"/>
        <v>17341.502602515171</v>
      </c>
      <c r="S137">
        <v>0</v>
      </c>
      <c r="T137" s="76">
        <f>$R137*HLOOKUP(T$77,'Conversions and Lookups'!$B$76:$AE$78, 3, 0)</f>
        <v>4.5498024042294292</v>
      </c>
      <c r="U137" s="76">
        <f>$R137*HLOOKUP(U$77,'Conversions and Lookups'!$B$76:$AE$78, 3, 0)</f>
        <v>4.1660649173158273</v>
      </c>
      <c r="V137" s="76">
        <f>$R137*HLOOKUP(V$77,'Conversions and Lookups'!$B$76:$AE$78, 3, 0)</f>
        <v>4.0281266756026071</v>
      </c>
      <c r="W137" s="76">
        <f>$R137*HLOOKUP(W$77,'Conversions and Lookups'!$B$76:$AE$78, 3, 0)</f>
        <v>3.4205292496843165</v>
      </c>
      <c r="X137" s="76">
        <f>$R137*HLOOKUP(X$77,'Conversions and Lookups'!$B$76:$AE$78, 3, 0)</f>
        <v>3.2031836163409237</v>
      </c>
      <c r="Y137" s="76">
        <f>$R137*HLOOKUP(Y$77,'Conversions and Lookups'!$B$76:$AE$78, 3, 0)</f>
        <v>3.0025915764866005</v>
      </c>
      <c r="Z137" s="76">
        <f>$R137*HLOOKUP(Z$77,'Conversions and Lookups'!$B$76:$AE$78, 3, 0)</f>
        <v>2.9983754748063416</v>
      </c>
      <c r="AA137" s="76">
        <f>$R137*HLOOKUP(AA$77,'Conversions and Lookups'!$B$76:$AE$78, 3, 0)</f>
        <v>2.9554408681557405</v>
      </c>
      <c r="AB137" s="76">
        <f>$R137*HLOOKUP(AB$77,'Conversions and Lookups'!$B$76:$AE$78, 3, 0)</f>
        <v>2.5596067630301973</v>
      </c>
      <c r="AC137" s="76">
        <f>$R137*HLOOKUP(AC$77,'Conversions and Lookups'!$B$76:$AE$78, 3, 0)</f>
        <v>2.3884735815771916</v>
      </c>
      <c r="AD137" s="76">
        <f>$R137*HLOOKUP(AD$77,'Conversions and Lookups'!$B$76:$AE$78, 3, 0)</f>
        <v>2.3610836303893028</v>
      </c>
      <c r="AE137" s="76">
        <f>$R137*HLOOKUP(AE$77,'Conversions and Lookups'!$B$76:$AE$78, 3, 0)</f>
        <v>2.3573165100248787</v>
      </c>
      <c r="AF137" s="76">
        <v>0</v>
      </c>
      <c r="AG137" s="76">
        <v>0</v>
      </c>
      <c r="AH137" s="76">
        <v>0</v>
      </c>
      <c r="AI137" s="76">
        <v>0</v>
      </c>
      <c r="AJ137" s="76">
        <v>0</v>
      </c>
      <c r="AK137" s="76">
        <v>0</v>
      </c>
      <c r="AL137" s="76">
        <v>0</v>
      </c>
      <c r="AM137" s="76">
        <v>0</v>
      </c>
      <c r="AN137" s="76">
        <v>0</v>
      </c>
      <c r="AO137" s="76">
        <v>0</v>
      </c>
      <c r="AP137" s="76">
        <v>0</v>
      </c>
      <c r="AQ137" s="76">
        <v>0</v>
      </c>
      <c r="AR137" s="77">
        <v>0</v>
      </c>
      <c r="AT137" s="82">
        <f>SUMIFS('Conversions and Lookups'!$F$58:$F$72,'Conversions and Lookups'!$G$58:$G$72,'Measure 2'!AT$77,'Conversions and Lookups'!$C$58:$C$72,'Measure 2'!$C137)*'Measure 2'!$F137</f>
        <v>175811.50896505237</v>
      </c>
      <c r="AU137" s="30">
        <f>SUMIFS('Conversions and Lookups'!$F$58:$F$72,'Conversions and Lookups'!$G$58:$G$72,'Measure 2'!AU$77,'Conversions and Lookups'!$C$58:$C$72,'Measure 2'!$C137)*'Measure 2'!$F137</f>
        <v>4513.3081380818994</v>
      </c>
      <c r="AV137" s="83">
        <f>SUMIFS('Conversions and Lookups'!$F$58:$F$72,'Conversions and Lookups'!$G$58:$G$72,'Measure 2'!AV$77,'Conversions and Lookups'!$C$58:$C$72,'Measure 2'!$C137)*'Measure 2'!$F137</f>
        <v>103.75421007084826</v>
      </c>
    </row>
    <row r="138" spans="2:48" x14ac:dyDescent="0.35">
      <c r="B138" s="57" t="s">
        <v>69</v>
      </c>
      <c r="C138" s="58" t="s">
        <v>222</v>
      </c>
      <c r="D138" s="58">
        <v>2</v>
      </c>
      <c r="E138" s="59">
        <v>9557.5524831531493</v>
      </c>
      <c r="F138" s="59">
        <f t="shared" si="49"/>
        <v>19115.104966306299</v>
      </c>
      <c r="G138" s="58" t="s">
        <v>279</v>
      </c>
      <c r="H138" s="60">
        <f>VLOOKUP($C138,'Conversions and Lookups'!$B$30:$E$36, 3, 0)</f>
        <v>20.9</v>
      </c>
      <c r="I138" s="61">
        <f t="shared" si="50"/>
        <v>914.59832374671294</v>
      </c>
      <c r="J138" s="62">
        <f>I138*VLOOKUP($G138,'Conversions and Lookups'!$B$41:$D$43,3, 0)</f>
        <v>9.3380488854539401</v>
      </c>
      <c r="K138" s="63">
        <f>$F138*VLOOKUP($C138,'Conversions and Lookups'!$C$47:$G$52, 4, 0)</f>
        <v>4.2282612185469528E-3</v>
      </c>
      <c r="L138" s="64">
        <f>$F138*VLOOKUP($C138,'Conversions and Lookups'!$C$47:$G$52, 5, 0)</f>
        <v>6.0786033792854018E-3</v>
      </c>
      <c r="M138" s="62">
        <f t="shared" si="51"/>
        <v>9.3483557500517716</v>
      </c>
      <c r="N138" s="62">
        <f t="shared" si="52"/>
        <v>46.74177875025886</v>
      </c>
      <c r="O138" s="65">
        <f t="shared" si="53"/>
        <v>112.18026900062125</v>
      </c>
      <c r="P138" s="31"/>
      <c r="Q138" s="75">
        <f>VLOOKUP($C138,'Conversions and Lookups'!$B$30:$E$36, 4, 0)</f>
        <v>0.43888523151195957</v>
      </c>
      <c r="R138" s="30">
        <f t="shared" si="54"/>
        <v>8389.3372685127488</v>
      </c>
      <c r="S138">
        <v>0</v>
      </c>
      <c r="T138" s="76">
        <f>$R138*HLOOKUP(T$77,'Conversions and Lookups'!$B$76:$AE$78, 3, 0)</f>
        <v>2.2010680244418261</v>
      </c>
      <c r="U138" s="76">
        <f>$R138*HLOOKUP(U$77,'Conversions and Lookups'!$B$76:$AE$78, 3, 0)</f>
        <v>2.0154264872533023</v>
      </c>
      <c r="V138" s="76">
        <f>$R138*HLOOKUP(V$77,'Conversions and Lookups'!$B$76:$AE$78, 3, 0)</f>
        <v>1.9486957973885153</v>
      </c>
      <c r="W138" s="76">
        <f>$R138*HLOOKUP(W$77,'Conversions and Lookups'!$B$76:$AE$78, 3, 0)</f>
        <v>1.6547570398111056</v>
      </c>
      <c r="X138" s="76">
        <f>$R138*HLOOKUP(X$77,'Conversions and Lookups'!$B$76:$AE$78, 3, 0)</f>
        <v>1.5496112595549141</v>
      </c>
      <c r="Y138" s="76">
        <f>$R138*HLOOKUP(Y$77,'Conversions and Lookups'!$B$76:$AE$78, 3, 0)</f>
        <v>1.4525704024683548</v>
      </c>
      <c r="Z138" s="76">
        <f>$R138*HLOOKUP(Z$77,'Conversions and Lookups'!$B$76:$AE$78, 3, 0)</f>
        <v>1.4505307695850485</v>
      </c>
      <c r="AA138" s="76">
        <f>$R138*HLOOKUP(AA$77,'Conversions and Lookups'!$B$76:$AE$78, 3, 0)</f>
        <v>1.4297601994713269</v>
      </c>
      <c r="AB138" s="76">
        <f>$R138*HLOOKUP(AB$77,'Conversions and Lookups'!$B$76:$AE$78, 3, 0)</f>
        <v>1.238266654396607</v>
      </c>
      <c r="AC138" s="76">
        <f>$R138*HLOOKUP(AC$77,'Conversions and Lookups'!$B$76:$AE$78, 3, 0)</f>
        <v>1.1554771747332573</v>
      </c>
      <c r="AD138" s="76">
        <f>$R138*HLOOKUP(AD$77,'Conversions and Lookups'!$B$76:$AE$78, 3, 0)</f>
        <v>1.1422266771523859</v>
      </c>
      <c r="AE138" s="76">
        <f>$R138*HLOOKUP(AE$77,'Conversions and Lookups'!$B$76:$AE$78, 3, 0)</f>
        <v>1.1404042489584385</v>
      </c>
      <c r="AF138" s="76">
        <v>0</v>
      </c>
      <c r="AG138" s="76">
        <v>0</v>
      </c>
      <c r="AH138" s="76">
        <v>0</v>
      </c>
      <c r="AI138" s="76">
        <v>0</v>
      </c>
      <c r="AJ138" s="76">
        <v>0</v>
      </c>
      <c r="AK138" s="76">
        <v>0</v>
      </c>
      <c r="AL138" s="76">
        <v>0</v>
      </c>
      <c r="AM138" s="76">
        <v>0</v>
      </c>
      <c r="AN138" s="76">
        <v>0</v>
      </c>
      <c r="AO138" s="76">
        <v>0</v>
      </c>
      <c r="AP138" s="76">
        <v>0</v>
      </c>
      <c r="AQ138" s="76">
        <v>0</v>
      </c>
      <c r="AR138" s="77">
        <v>0</v>
      </c>
      <c r="AT138" s="82">
        <f>SUMIFS('Conversions and Lookups'!$F$58:$F$72,'Conversions and Lookups'!$G$58:$G$72,'Measure 2'!AT$77,'Conversions and Lookups'!$C$58:$C$72,'Measure 2'!$C138)*'Measure 2'!$F138</f>
        <v>57937.88315287439</v>
      </c>
      <c r="AU138" s="30">
        <f>SUMIFS('Conversions and Lookups'!$F$58:$F$72,'Conversions and Lookups'!$G$58:$G$72,'Measure 2'!AU$77,'Conversions and Lookups'!$C$58:$C$72,'Measure 2'!$C138)*'Measure 2'!$F138</f>
        <v>2351.1579108556748</v>
      </c>
      <c r="AV138" s="83">
        <f>SUMIFS('Conversions and Lookups'!$F$58:$F$72,'Conversions and Lookups'!$G$58:$G$72,'Measure 2'!AV$77,'Conversions and Lookups'!$C$58:$C$72,'Measure 2'!$C138)*'Measure 2'!$F138</f>
        <v>38.230209932612595</v>
      </c>
    </row>
    <row r="139" spans="2:48" x14ac:dyDescent="0.35">
      <c r="B139" s="57" t="s">
        <v>69</v>
      </c>
      <c r="C139" s="58" t="s">
        <v>212</v>
      </c>
      <c r="D139" s="58">
        <v>1</v>
      </c>
      <c r="E139" s="59">
        <v>8646.184172570689</v>
      </c>
      <c r="F139" s="59">
        <f t="shared" si="49"/>
        <v>8646.184172570689</v>
      </c>
      <c r="G139" s="58" t="s">
        <v>278</v>
      </c>
      <c r="H139" s="60">
        <f>VLOOKUP($C139,'Conversions and Lookups'!$B$30:$E$36, 3, 0)</f>
        <v>27.5</v>
      </c>
      <c r="I139" s="61">
        <f t="shared" si="50"/>
        <v>314.40669718438869</v>
      </c>
      <c r="J139" s="62">
        <f>I139*VLOOKUP($G139,'Conversions and Lookups'!$B$41:$D$43,3, 0)</f>
        <v>2.7604908012789324</v>
      </c>
      <c r="K139" s="63">
        <f>$F139*VLOOKUP($C139,'Conversions and Lookups'!$C$47:$G$52, 4, 0)</f>
        <v>1.2346750998430945E-3</v>
      </c>
      <c r="L139" s="64">
        <f>$F139*VLOOKUP($C139,'Conversions and Lookups'!$C$47:$G$52, 5, 0)</f>
        <v>3.2077343280237252E-3</v>
      </c>
      <c r="M139" s="62">
        <f t="shared" si="51"/>
        <v>2.7649332107067992</v>
      </c>
      <c r="N139" s="62">
        <f t="shared" si="52"/>
        <v>13.824666053533996</v>
      </c>
      <c r="O139" s="65">
        <f t="shared" si="53"/>
        <v>33.179198528481592</v>
      </c>
      <c r="P139" s="31"/>
      <c r="Q139" s="75">
        <f>VLOOKUP($C139,'Conversions and Lookups'!$B$30:$E$36, 4, 0)</f>
        <v>0.33428046130703665</v>
      </c>
      <c r="R139" s="30">
        <f t="shared" si="54"/>
        <v>2890.2504337525288</v>
      </c>
      <c r="S139">
        <v>0</v>
      </c>
      <c r="T139" s="76">
        <f>$R139*HLOOKUP(T$77,'Conversions and Lookups'!$B$76:$AE$78, 3, 0)</f>
        <v>0.7583004007049049</v>
      </c>
      <c r="U139" s="76">
        <f>$R139*HLOOKUP(U$77,'Conversions and Lookups'!$B$76:$AE$78, 3, 0)</f>
        <v>0.69434415288597129</v>
      </c>
      <c r="V139" s="76">
        <f>$R139*HLOOKUP(V$77,'Conversions and Lookups'!$B$76:$AE$78, 3, 0)</f>
        <v>0.67135444593376792</v>
      </c>
      <c r="W139" s="76">
        <f>$R139*HLOOKUP(W$77,'Conversions and Lookups'!$B$76:$AE$78, 3, 0)</f>
        <v>0.57008820828071949</v>
      </c>
      <c r="X139" s="76">
        <f>$R139*HLOOKUP(X$77,'Conversions and Lookups'!$B$76:$AE$78, 3, 0)</f>
        <v>0.5338639360568207</v>
      </c>
      <c r="Y139" s="76">
        <f>$R139*HLOOKUP(Y$77,'Conversions and Lookups'!$B$76:$AE$78, 3, 0)</f>
        <v>0.50043192941443349</v>
      </c>
      <c r="Z139" s="76">
        <f>$R139*HLOOKUP(Z$77,'Conversions and Lookups'!$B$76:$AE$78, 3, 0)</f>
        <v>0.49972924580105699</v>
      </c>
      <c r="AA139" s="76">
        <f>$R139*HLOOKUP(AA$77,'Conversions and Lookups'!$B$76:$AE$78, 3, 0)</f>
        <v>0.4925734780259568</v>
      </c>
      <c r="AB139" s="76">
        <f>$R139*HLOOKUP(AB$77,'Conversions and Lookups'!$B$76:$AE$78, 3, 0)</f>
        <v>0.42660112717169962</v>
      </c>
      <c r="AC139" s="76">
        <f>$R139*HLOOKUP(AC$77,'Conversions and Lookups'!$B$76:$AE$78, 3, 0)</f>
        <v>0.39807893026286528</v>
      </c>
      <c r="AD139" s="76">
        <f>$R139*HLOOKUP(AD$77,'Conversions and Lookups'!$B$76:$AE$78, 3, 0)</f>
        <v>0.39351393839821719</v>
      </c>
      <c r="AE139" s="76">
        <f>$R139*HLOOKUP(AE$77,'Conversions and Lookups'!$B$76:$AE$78, 3, 0)</f>
        <v>0.39288608500414646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7">
        <v>0</v>
      </c>
      <c r="AT139" s="82">
        <f>SUMIFS('Conversions and Lookups'!$F$58:$F$72,'Conversions and Lookups'!$G$58:$G$72,'Measure 2'!AT$77,'Conversions and Lookups'!$C$58:$C$72,'Measure 2'!$C139)*'Measure 2'!$F139</f>
        <v>29301.918160842062</v>
      </c>
      <c r="AU139" s="30">
        <f>SUMIFS('Conversions and Lookups'!$F$58:$F$72,'Conversions and Lookups'!$G$58:$G$72,'Measure 2'!AU$77,'Conversions and Lookups'!$C$58:$C$72,'Measure 2'!$C139)*'Measure 2'!$F139</f>
        <v>752.21802301364994</v>
      </c>
      <c r="AV139" s="83">
        <f>SUMIFS('Conversions and Lookups'!$F$58:$F$72,'Conversions and Lookups'!$G$58:$G$72,'Measure 2'!AV$77,'Conversions and Lookups'!$C$58:$C$72,'Measure 2'!$C139)*'Measure 2'!$F139</f>
        <v>17.29236834514138</v>
      </c>
    </row>
    <row r="140" spans="2:48" x14ac:dyDescent="0.35">
      <c r="B140" s="57" t="s">
        <v>69</v>
      </c>
      <c r="C140" s="58" t="s">
        <v>219</v>
      </c>
      <c r="D140" s="58">
        <v>1</v>
      </c>
      <c r="E140" s="59">
        <v>11084.519142954545</v>
      </c>
      <c r="F140" s="59">
        <f t="shared" si="49"/>
        <v>11084.519142954545</v>
      </c>
      <c r="G140" s="58" t="s">
        <v>279</v>
      </c>
      <c r="H140" s="60">
        <f>VLOOKUP($C140,'Conversions and Lookups'!$B$30:$E$36, 3, 0)</f>
        <v>10.38961038961039</v>
      </c>
      <c r="I140" s="61">
        <f t="shared" si="50"/>
        <v>1066.884967509375</v>
      </c>
      <c r="J140" s="62">
        <f>I140*VLOOKUP($G140,'Conversions and Lookups'!$B$41:$D$43,3, 0)</f>
        <v>10.892895518270718</v>
      </c>
      <c r="K140" s="63">
        <f>$F140*VLOOKUP($C140,'Conversions and Lookups'!$C$47:$G$52, 4, 0)</f>
        <v>9.0006295440790904E-3</v>
      </c>
      <c r="L140" s="64">
        <f>$F140*VLOOKUP($C140,'Conversions and Lookups'!$C$47:$G$52, 5, 0)</f>
        <v>6.2860308059695225E-2</v>
      </c>
      <c r="M140" s="62">
        <f t="shared" si="51"/>
        <v>10.964756455874493</v>
      </c>
      <c r="N140" s="62">
        <f t="shared" si="52"/>
        <v>54.823782279372466</v>
      </c>
      <c r="O140" s="65">
        <f t="shared" si="53"/>
        <v>131.57707747049392</v>
      </c>
      <c r="P140" s="31"/>
      <c r="Q140" s="75">
        <f>VLOOKUP($C140,'Conversions and Lookups'!$B$30:$E$36, 4, 0)</f>
        <v>0.94046835323991351</v>
      </c>
      <c r="R140" s="30">
        <f t="shared" si="54"/>
        <v>10424.639464830758</v>
      </c>
      <c r="S140">
        <v>0</v>
      </c>
      <c r="T140" s="76">
        <f>$R140*HLOOKUP(T$77,'Conversions and Lookups'!$B$76:$AE$78, 3, 0)</f>
        <v>2.7350599764885901</v>
      </c>
      <c r="U140" s="76">
        <f>$R140*HLOOKUP(U$77,'Conversions and Lookups'!$B$76:$AE$78, 3, 0)</f>
        <v>2.5043807186465212</v>
      </c>
      <c r="V140" s="76">
        <f>$R140*HLOOKUP(V$77,'Conversions and Lookups'!$B$76:$AE$78, 3, 0)</f>
        <v>2.421460773862472</v>
      </c>
      <c r="W140" s="76">
        <f>$R140*HLOOKUP(W$77,'Conversions and Lookups'!$B$76:$AE$78, 3, 0)</f>
        <v>2.0562107577514848</v>
      </c>
      <c r="X140" s="76">
        <f>$R140*HLOOKUP(X$77,'Conversions and Lookups'!$B$76:$AE$78, 3, 0)</f>
        <v>1.925555997388819</v>
      </c>
      <c r="Y140" s="76">
        <f>$R140*HLOOKUP(Y$77,'Conversions and Lookups'!$B$76:$AE$78, 3, 0)</f>
        <v>1.8049724618713723</v>
      </c>
      <c r="Z140" s="76">
        <f>$R140*HLOOKUP(Z$77,'Conversions and Lookups'!$B$76:$AE$78, 3, 0)</f>
        <v>1.8024380021436788</v>
      </c>
      <c r="AA140" s="76">
        <f>$R140*HLOOKUP(AA$77,'Conversions and Lookups'!$B$76:$AE$78, 3, 0)</f>
        <v>1.7766283704666679</v>
      </c>
      <c r="AB140" s="76">
        <f>$R140*HLOOKUP(AB$77,'Conversions and Lookups'!$B$76:$AE$78, 3, 0)</f>
        <v>1.5386773734625665</v>
      </c>
      <c r="AC140" s="76">
        <f>$R140*HLOOKUP(AC$77,'Conversions and Lookups'!$B$76:$AE$78, 3, 0)</f>
        <v>1.4358026827273878</v>
      </c>
      <c r="AD140" s="76">
        <f>$R140*HLOOKUP(AD$77,'Conversions and Lookups'!$B$76:$AE$78, 3, 0)</f>
        <v>1.4193375370801102</v>
      </c>
      <c r="AE140" s="76">
        <f>$R140*HLOOKUP(AE$77,'Conversions and Lookups'!$B$76:$AE$78, 3, 0)</f>
        <v>1.4170729771674042</v>
      </c>
      <c r="AF140" s="76">
        <v>0</v>
      </c>
      <c r="AG140" s="76">
        <v>0</v>
      </c>
      <c r="AH140" s="76">
        <v>0</v>
      </c>
      <c r="AI140" s="76">
        <v>0</v>
      </c>
      <c r="AJ140" s="76">
        <v>0</v>
      </c>
      <c r="AK140" s="76">
        <v>0</v>
      </c>
      <c r="AL140" s="76">
        <v>0</v>
      </c>
      <c r="AM140" s="76">
        <v>0</v>
      </c>
      <c r="AN140" s="76">
        <v>0</v>
      </c>
      <c r="AO140" s="76">
        <v>0</v>
      </c>
      <c r="AP140" s="76">
        <v>0</v>
      </c>
      <c r="AQ140" s="76">
        <v>0</v>
      </c>
      <c r="AR140" s="77">
        <v>0</v>
      </c>
      <c r="AT140" s="82">
        <f>SUMIFS('Conversions and Lookups'!$F$58:$F$72,'Conversions and Lookups'!$G$58:$G$72,'Measure 2'!AT$77,'Conversions and Lookups'!$C$58:$C$72,'Measure 2'!$C140)*'Measure 2'!$F140</f>
        <v>17834.991301013863</v>
      </c>
      <c r="AU140" s="30">
        <f>SUMIFS('Conversions and Lookups'!$F$58:$F$72,'Conversions and Lookups'!$G$58:$G$72,'Measure 2'!AU$77,'Conversions and Lookups'!$C$58:$C$72,'Measure 2'!$C140)*'Measure 2'!$F140</f>
        <v>12802.619610112499</v>
      </c>
      <c r="AV140" s="83">
        <f>SUMIFS('Conversions and Lookups'!$F$58:$F$72,'Conversions and Lookups'!$G$58:$G$72,'Measure 2'!AV$77,'Conversions and Lookups'!$C$58:$C$72,'Measure 2'!$C140)*'Measure 2'!$F140</f>
        <v>576.39499543363627</v>
      </c>
    </row>
    <row r="141" spans="2:48" x14ac:dyDescent="0.35">
      <c r="B141" s="57" t="s">
        <v>69</v>
      </c>
      <c r="C141" s="58" t="s">
        <v>219</v>
      </c>
      <c r="D141" s="58">
        <v>8</v>
      </c>
      <c r="E141" s="59">
        <v>11084.519142954545</v>
      </c>
      <c r="F141" s="59">
        <f t="shared" si="49"/>
        <v>88676.153143636358</v>
      </c>
      <c r="G141" s="58" t="s">
        <v>279</v>
      </c>
      <c r="H141" s="60">
        <f>VLOOKUP($C141,'Conversions and Lookups'!$B$30:$E$36, 3, 0)</f>
        <v>10.38961038961039</v>
      </c>
      <c r="I141" s="61">
        <f t="shared" si="50"/>
        <v>8535.0797400749998</v>
      </c>
      <c r="J141" s="62">
        <f>I141*VLOOKUP($G141,'Conversions and Lookups'!$B$41:$D$43,3, 0)</f>
        <v>87.143164146165745</v>
      </c>
      <c r="K141" s="63">
        <f>$F141*VLOOKUP($C141,'Conversions and Lookups'!$C$47:$G$52, 4, 0)</f>
        <v>7.2005036352632723E-2</v>
      </c>
      <c r="L141" s="64">
        <f>$F141*VLOOKUP($C141,'Conversions and Lookups'!$C$47:$G$52, 5, 0)</f>
        <v>0.5028824644775618</v>
      </c>
      <c r="M141" s="62">
        <f t="shared" si="51"/>
        <v>87.718051646995946</v>
      </c>
      <c r="N141" s="62">
        <f t="shared" si="52"/>
        <v>438.59025823497973</v>
      </c>
      <c r="O141" s="65">
        <f t="shared" si="53"/>
        <v>1052.6166197639513</v>
      </c>
      <c r="P141" s="31"/>
      <c r="Q141" s="75">
        <f>VLOOKUP($C141,'Conversions and Lookups'!$B$30:$E$36, 4, 0)</f>
        <v>0.94046835323991351</v>
      </c>
      <c r="R141" s="30">
        <f t="shared" si="54"/>
        <v>83397.115718646062</v>
      </c>
      <c r="S141">
        <v>0</v>
      </c>
      <c r="T141" s="76">
        <f>$R141*HLOOKUP(T$77,'Conversions and Lookups'!$B$76:$AE$78, 3, 0)</f>
        <v>21.880479811908721</v>
      </c>
      <c r="U141" s="76">
        <f>$R141*HLOOKUP(U$77,'Conversions and Lookups'!$B$76:$AE$78, 3, 0)</f>
        <v>20.03504574917217</v>
      </c>
      <c r="V141" s="76">
        <f>$R141*HLOOKUP(V$77,'Conversions and Lookups'!$B$76:$AE$78, 3, 0)</f>
        <v>19.371686190899776</v>
      </c>
      <c r="W141" s="76">
        <f>$R141*HLOOKUP(W$77,'Conversions and Lookups'!$B$76:$AE$78, 3, 0)</f>
        <v>16.449686062011878</v>
      </c>
      <c r="X141" s="76">
        <f>$R141*HLOOKUP(X$77,'Conversions and Lookups'!$B$76:$AE$78, 3, 0)</f>
        <v>15.404447979110552</v>
      </c>
      <c r="Y141" s="76">
        <f>$R141*HLOOKUP(Y$77,'Conversions and Lookups'!$B$76:$AE$78, 3, 0)</f>
        <v>14.439779694970978</v>
      </c>
      <c r="Z141" s="76">
        <f>$R141*HLOOKUP(Z$77,'Conversions and Lookups'!$B$76:$AE$78, 3, 0)</f>
        <v>14.41950401714943</v>
      </c>
      <c r="AA141" s="76">
        <f>$R141*HLOOKUP(AA$77,'Conversions and Lookups'!$B$76:$AE$78, 3, 0)</f>
        <v>14.213026963733343</v>
      </c>
      <c r="AB141" s="76">
        <f>$R141*HLOOKUP(AB$77,'Conversions and Lookups'!$B$76:$AE$78, 3, 0)</f>
        <v>12.309418987700532</v>
      </c>
      <c r="AC141" s="76">
        <f>$R141*HLOOKUP(AC$77,'Conversions and Lookups'!$B$76:$AE$78, 3, 0)</f>
        <v>11.486421461819102</v>
      </c>
      <c r="AD141" s="76">
        <f>$R141*HLOOKUP(AD$77,'Conversions and Lookups'!$B$76:$AE$78, 3, 0)</f>
        <v>11.354700296640882</v>
      </c>
      <c r="AE141" s="76">
        <f>$R141*HLOOKUP(AE$77,'Conversions and Lookups'!$B$76:$AE$78, 3, 0)</f>
        <v>11.336583817339234</v>
      </c>
      <c r="AF141" s="76">
        <v>0</v>
      </c>
      <c r="AG141" s="76">
        <v>0</v>
      </c>
      <c r="AH141" s="76">
        <v>0</v>
      </c>
      <c r="AI141" s="76">
        <v>0</v>
      </c>
      <c r="AJ141" s="76">
        <v>0</v>
      </c>
      <c r="AK141" s="76">
        <v>0</v>
      </c>
      <c r="AL141" s="76">
        <v>0</v>
      </c>
      <c r="AM141" s="76">
        <v>0</v>
      </c>
      <c r="AN141" s="76">
        <v>0</v>
      </c>
      <c r="AO141" s="76">
        <v>0</v>
      </c>
      <c r="AP141" s="76">
        <v>0</v>
      </c>
      <c r="AQ141" s="76">
        <v>0</v>
      </c>
      <c r="AR141" s="77">
        <v>0</v>
      </c>
      <c r="AT141" s="82">
        <f>SUMIFS('Conversions and Lookups'!$F$58:$F$72,'Conversions and Lookups'!$G$58:$G$72,'Measure 2'!AT$77,'Conversions and Lookups'!$C$58:$C$72,'Measure 2'!$C141)*'Measure 2'!$F141</f>
        <v>142679.9304081109</v>
      </c>
      <c r="AU141" s="30">
        <f>SUMIFS('Conversions and Lookups'!$F$58:$F$72,'Conversions and Lookups'!$G$58:$G$72,'Measure 2'!AU$77,'Conversions and Lookups'!$C$58:$C$72,'Measure 2'!$C141)*'Measure 2'!$F141</f>
        <v>102420.95688089999</v>
      </c>
      <c r="AV141" s="83">
        <f>SUMIFS('Conversions and Lookups'!$F$58:$F$72,'Conversions and Lookups'!$G$58:$G$72,'Measure 2'!AV$77,'Conversions and Lookups'!$C$58:$C$72,'Measure 2'!$C141)*'Measure 2'!$F141</f>
        <v>4611.1599634690901</v>
      </c>
    </row>
    <row r="142" spans="2:48" x14ac:dyDescent="0.35">
      <c r="B142" s="57" t="s">
        <v>69</v>
      </c>
      <c r="C142" s="58" t="s">
        <v>214</v>
      </c>
      <c r="D142" s="58">
        <v>1</v>
      </c>
      <c r="E142" s="59">
        <v>5745.0145382258061</v>
      </c>
      <c r="F142" s="59">
        <f t="shared" si="49"/>
        <v>5745.0145382258061</v>
      </c>
      <c r="G142" s="58" t="s">
        <v>278</v>
      </c>
      <c r="H142" s="60">
        <f>VLOOKUP($C142,'Conversions and Lookups'!$B$30:$E$36, 3, 0)</f>
        <v>15.064935064935064</v>
      </c>
      <c r="I142" s="61">
        <f t="shared" si="50"/>
        <v>381.35010296843717</v>
      </c>
      <c r="J142" s="62">
        <f>I142*VLOOKUP($G142,'Conversions and Lookups'!$B$41:$D$43,3, 0)</f>
        <v>3.348253904062878</v>
      </c>
      <c r="K142" s="63">
        <f>$F142*VLOOKUP($C142,'Conversions and Lookups'!$C$47:$G$52, 4, 0)</f>
        <v>4.6649518050393543E-3</v>
      </c>
      <c r="L142" s="64">
        <f>$F142*VLOOKUP($C142,'Conversions and Lookups'!$C$47:$G$52, 5, 0)</f>
        <v>3.2579977446278545E-2</v>
      </c>
      <c r="M142" s="62">
        <f t="shared" si="51"/>
        <v>3.385498833314196</v>
      </c>
      <c r="N142" s="62">
        <f t="shared" si="52"/>
        <v>16.92749416657098</v>
      </c>
      <c r="O142" s="65">
        <f t="shared" si="53"/>
        <v>40.62598599977035</v>
      </c>
      <c r="P142" s="31"/>
      <c r="Q142" s="75">
        <f>VLOOKUP($C142,'Conversions and Lookups'!$B$30:$E$36, 4, 0)</f>
        <v>0.64775229952066338</v>
      </c>
      <c r="R142" s="30">
        <f t="shared" si="54"/>
        <v>3721.3463779154081</v>
      </c>
      <c r="S142">
        <v>0</v>
      </c>
      <c r="T142" s="76">
        <f>$R142*HLOOKUP(T$77,'Conversions and Lookups'!$B$76:$AE$78, 3, 0)</f>
        <v>0.97635084371260372</v>
      </c>
      <c r="U142" s="76">
        <f>$R142*HLOOKUP(U$77,'Conversions and Lookups'!$B$76:$AE$78, 3, 0)</f>
        <v>0.89400387876222065</v>
      </c>
      <c r="V142" s="76">
        <f>$R142*HLOOKUP(V$77,'Conversions and Lookups'!$B$76:$AE$78, 3, 0)</f>
        <v>0.86440344632327726</v>
      </c>
      <c r="W142" s="76">
        <f>$R142*HLOOKUP(W$77,'Conversions and Lookups'!$B$76:$AE$78, 3, 0)</f>
        <v>0.73401794675048859</v>
      </c>
      <c r="X142" s="76">
        <f>$R142*HLOOKUP(X$77,'Conversions and Lookups'!$B$76:$AE$78, 3, 0)</f>
        <v>0.68737732950196617</v>
      </c>
      <c r="Y142" s="76">
        <f>$R142*HLOOKUP(Y$77,'Conversions and Lookups'!$B$76:$AE$78, 3, 0)</f>
        <v>0.64433189808460545</v>
      </c>
      <c r="Z142" s="76">
        <f>$R142*HLOOKUP(Z$77,'Conversions and Lookups'!$B$76:$AE$78, 3, 0)</f>
        <v>0.64342715672070094</v>
      </c>
      <c r="AA142" s="76">
        <f>$R142*HLOOKUP(AA$77,'Conversions and Lookups'!$B$76:$AE$78, 3, 0)</f>
        <v>0.63421373694914873</v>
      </c>
      <c r="AB142" s="76">
        <f>$R142*HLOOKUP(AB$77,'Conversions and Lookups'!$B$76:$AE$78, 3, 0)</f>
        <v>0.54927093544412331</v>
      </c>
      <c r="AC142" s="76">
        <f>$R142*HLOOKUP(AC$77,'Conversions and Lookups'!$B$76:$AE$78, 3, 0)</f>
        <v>0.5125471370779473</v>
      </c>
      <c r="AD142" s="76">
        <f>$R142*HLOOKUP(AD$77,'Conversions and Lookups'!$B$76:$AE$78, 3, 0)</f>
        <v>0.50666947480261793</v>
      </c>
      <c r="AE142" s="76">
        <f>$R142*HLOOKUP(AE$77,'Conversions and Lookups'!$B$76:$AE$78, 3, 0)</f>
        <v>0.50586108120232587</v>
      </c>
      <c r="AF142" s="76">
        <v>0</v>
      </c>
      <c r="AG142" s="76">
        <v>0</v>
      </c>
      <c r="AH142" s="76">
        <v>0</v>
      </c>
      <c r="AI142" s="76">
        <v>0</v>
      </c>
      <c r="AJ142" s="76">
        <v>0</v>
      </c>
      <c r="AK142" s="76">
        <v>0</v>
      </c>
      <c r="AL142" s="76">
        <v>0</v>
      </c>
      <c r="AM142" s="76">
        <v>0</v>
      </c>
      <c r="AN142" s="76">
        <v>0</v>
      </c>
      <c r="AO142" s="76">
        <v>0</v>
      </c>
      <c r="AP142" s="76">
        <v>0</v>
      </c>
      <c r="AQ142" s="76">
        <v>0</v>
      </c>
      <c r="AR142" s="77">
        <v>0</v>
      </c>
      <c r="AT142" s="82">
        <f>SUMIFS('Conversions and Lookups'!$F$58:$F$72,'Conversions and Lookups'!$G$58:$G$72,'Measure 2'!AT$77,'Conversions and Lookups'!$C$58:$C$72,'Measure 2'!$C142)*'Measure 2'!$F142</f>
        <v>9243.7283920053214</v>
      </c>
      <c r="AU142" s="30">
        <f>SUMIFS('Conversions and Lookups'!$F$58:$F$72,'Conversions and Lookups'!$G$58:$G$72,'Measure 2'!AU$77,'Conversions and Lookups'!$C$58:$C$72,'Measure 2'!$C142)*'Measure 2'!$F142</f>
        <v>6635.4917916508066</v>
      </c>
      <c r="AV142" s="83">
        <f>SUMIFS('Conversions and Lookups'!$F$58:$F$72,'Conversions and Lookups'!$G$58:$G$72,'Measure 2'!AV$77,'Conversions and Lookups'!$C$58:$C$72,'Measure 2'!$C142)*'Measure 2'!$F142</f>
        <v>298.74075598774192</v>
      </c>
    </row>
    <row r="143" spans="2:48" x14ac:dyDescent="0.35">
      <c r="B143" s="57" t="s">
        <v>69</v>
      </c>
      <c r="C143" s="58" t="s">
        <v>212</v>
      </c>
      <c r="D143" s="58">
        <v>12</v>
      </c>
      <c r="E143" s="59">
        <v>8646.184172570689</v>
      </c>
      <c r="F143" s="59">
        <f t="shared" si="49"/>
        <v>103754.21007084826</v>
      </c>
      <c r="G143" s="58" t="s">
        <v>278</v>
      </c>
      <c r="H143" s="60">
        <f>VLOOKUP($C143,'Conversions and Lookups'!$B$30:$E$36, 3, 0)</f>
        <v>27.5</v>
      </c>
      <c r="I143" s="61">
        <f t="shared" si="50"/>
        <v>3772.8803662126638</v>
      </c>
      <c r="J143" s="62">
        <f>I143*VLOOKUP($G143,'Conversions and Lookups'!$B$41:$D$43,3, 0)</f>
        <v>33.125889615347184</v>
      </c>
      <c r="K143" s="63">
        <f>$F143*VLOOKUP($C143,'Conversions and Lookups'!$C$47:$G$52, 4, 0)</f>
        <v>1.4816101198117132E-2</v>
      </c>
      <c r="L143" s="64">
        <f>$F143*VLOOKUP($C143,'Conversions and Lookups'!$C$47:$G$52, 5, 0)</f>
        <v>3.8492811936284704E-2</v>
      </c>
      <c r="M143" s="62">
        <f t="shared" si="51"/>
        <v>33.179198528481585</v>
      </c>
      <c r="N143" s="62">
        <f t="shared" si="52"/>
        <v>165.89599264240792</v>
      </c>
      <c r="O143" s="65">
        <f t="shared" si="53"/>
        <v>398.15038234177905</v>
      </c>
      <c r="P143" s="31"/>
      <c r="Q143" s="75">
        <f>VLOOKUP($C143,'Conversions and Lookups'!$B$30:$E$36, 4, 0)</f>
        <v>0.33428046130703665</v>
      </c>
      <c r="R143" s="30">
        <f t="shared" si="54"/>
        <v>34683.005205030342</v>
      </c>
      <c r="S143">
        <v>0</v>
      </c>
      <c r="T143" s="76">
        <f>$R143*HLOOKUP(T$77,'Conversions and Lookups'!$B$76:$AE$78, 3, 0)</f>
        <v>9.0996048084588583</v>
      </c>
      <c r="U143" s="76">
        <f>$R143*HLOOKUP(U$77,'Conversions and Lookups'!$B$76:$AE$78, 3, 0)</f>
        <v>8.3321298346316546</v>
      </c>
      <c r="V143" s="76">
        <f>$R143*HLOOKUP(V$77,'Conversions and Lookups'!$B$76:$AE$78, 3, 0)</f>
        <v>8.0562533512052141</v>
      </c>
      <c r="W143" s="76">
        <f>$R143*HLOOKUP(W$77,'Conversions and Lookups'!$B$76:$AE$78, 3, 0)</f>
        <v>6.841058499368633</v>
      </c>
      <c r="X143" s="76">
        <f>$R143*HLOOKUP(X$77,'Conversions and Lookups'!$B$76:$AE$78, 3, 0)</f>
        <v>6.4063672326818475</v>
      </c>
      <c r="Y143" s="76">
        <f>$R143*HLOOKUP(Y$77,'Conversions and Lookups'!$B$76:$AE$78, 3, 0)</f>
        <v>6.0051831529732009</v>
      </c>
      <c r="Z143" s="76">
        <f>$R143*HLOOKUP(Z$77,'Conversions and Lookups'!$B$76:$AE$78, 3, 0)</f>
        <v>5.9967509496126832</v>
      </c>
      <c r="AA143" s="76">
        <f>$R143*HLOOKUP(AA$77,'Conversions and Lookups'!$B$76:$AE$78, 3, 0)</f>
        <v>5.9108817363114809</v>
      </c>
      <c r="AB143" s="76">
        <f>$R143*HLOOKUP(AB$77,'Conversions and Lookups'!$B$76:$AE$78, 3, 0)</f>
        <v>5.1192135260603946</v>
      </c>
      <c r="AC143" s="76">
        <f>$R143*HLOOKUP(AC$77,'Conversions and Lookups'!$B$76:$AE$78, 3, 0)</f>
        <v>4.7769471631543832</v>
      </c>
      <c r="AD143" s="76">
        <f>$R143*HLOOKUP(AD$77,'Conversions and Lookups'!$B$76:$AE$78, 3, 0)</f>
        <v>4.7221672607786056</v>
      </c>
      <c r="AE143" s="76">
        <f>$R143*HLOOKUP(AE$77,'Conversions and Lookups'!$B$76:$AE$78, 3, 0)</f>
        <v>4.7146330200497575</v>
      </c>
      <c r="AF143" s="76">
        <v>0</v>
      </c>
      <c r="AG143" s="76">
        <v>0</v>
      </c>
      <c r="AH143" s="76">
        <v>0</v>
      </c>
      <c r="AI143" s="76">
        <v>0</v>
      </c>
      <c r="AJ143" s="76">
        <v>0</v>
      </c>
      <c r="AK143" s="76">
        <v>0</v>
      </c>
      <c r="AL143" s="76">
        <v>0</v>
      </c>
      <c r="AM143" s="76">
        <v>0</v>
      </c>
      <c r="AN143" s="76">
        <v>0</v>
      </c>
      <c r="AO143" s="76">
        <v>0</v>
      </c>
      <c r="AP143" s="76">
        <v>0</v>
      </c>
      <c r="AQ143" s="76">
        <v>0</v>
      </c>
      <c r="AR143" s="77">
        <v>0</v>
      </c>
      <c r="AT143" s="82">
        <f>SUMIFS('Conversions and Lookups'!$F$58:$F$72,'Conversions and Lookups'!$G$58:$G$72,'Measure 2'!AT$77,'Conversions and Lookups'!$C$58:$C$72,'Measure 2'!$C143)*'Measure 2'!$F143</f>
        <v>351623.01793010475</v>
      </c>
      <c r="AU143" s="30">
        <f>SUMIFS('Conversions and Lookups'!$F$58:$F$72,'Conversions and Lookups'!$G$58:$G$72,'Measure 2'!AU$77,'Conversions and Lookups'!$C$58:$C$72,'Measure 2'!$C143)*'Measure 2'!$F143</f>
        <v>9026.6162761637988</v>
      </c>
      <c r="AV143" s="83">
        <f>SUMIFS('Conversions and Lookups'!$F$58:$F$72,'Conversions and Lookups'!$G$58:$G$72,'Measure 2'!AV$77,'Conversions and Lookups'!$C$58:$C$72,'Measure 2'!$C143)*'Measure 2'!$F143</f>
        <v>207.50842014169652</v>
      </c>
    </row>
    <row r="144" spans="2:48" x14ac:dyDescent="0.35">
      <c r="B144" s="57" t="s">
        <v>69</v>
      </c>
      <c r="C144" s="58" t="s">
        <v>212</v>
      </c>
      <c r="D144" s="58">
        <v>7</v>
      </c>
      <c r="E144" s="59">
        <v>8646.184172570689</v>
      </c>
      <c r="F144" s="59">
        <f t="shared" ref="F144:F185" si="55">E144*D144</f>
        <v>60523.289207994821</v>
      </c>
      <c r="G144" s="58" t="s">
        <v>278</v>
      </c>
      <c r="H144" s="60">
        <f>VLOOKUP($C144,'Conversions and Lookups'!$B$30:$E$36, 3, 0)</f>
        <v>27.5</v>
      </c>
      <c r="I144" s="61">
        <f t="shared" ref="I144:I185" si="56">F144/H144</f>
        <v>2200.8468802907209</v>
      </c>
      <c r="J144" s="62">
        <f>I144*VLOOKUP($G144,'Conversions and Lookups'!$B$41:$D$43,3, 0)</f>
        <v>19.323435608952529</v>
      </c>
      <c r="K144" s="63">
        <f>$F144*VLOOKUP($C144,'Conversions and Lookups'!$C$47:$G$52, 4, 0)</f>
        <v>8.6427256989016609E-3</v>
      </c>
      <c r="L144" s="64">
        <f>$F144*VLOOKUP($C144,'Conversions and Lookups'!$C$47:$G$52, 5, 0)</f>
        <v>2.2454140296166079E-2</v>
      </c>
      <c r="M144" s="62">
        <f t="shared" ref="M144:M185" si="57">SUM(J144:L144)</f>
        <v>19.354532474947597</v>
      </c>
      <c r="N144" s="62">
        <f t="shared" ref="N144:N185" si="58">M144*5</f>
        <v>96.77266237473799</v>
      </c>
      <c r="O144" s="65">
        <f t="shared" ref="O144:O185" si="59">M144*12</f>
        <v>232.25438969937116</v>
      </c>
      <c r="P144" s="31"/>
      <c r="Q144" s="75">
        <f>VLOOKUP($C144,'Conversions and Lookups'!$B$30:$E$36, 4, 0)</f>
        <v>0.33428046130703665</v>
      </c>
      <c r="R144" s="30">
        <f t="shared" ref="R144:R185" si="60">Q144*F144</f>
        <v>20231.753036267703</v>
      </c>
      <c r="S144">
        <v>0</v>
      </c>
      <c r="T144" s="76">
        <f>$R144*HLOOKUP(T$77,'Conversions and Lookups'!$B$76:$AE$78, 3, 0)</f>
        <v>5.3081028049343342</v>
      </c>
      <c r="U144" s="76">
        <f>$R144*HLOOKUP(U$77,'Conversions and Lookups'!$B$76:$AE$78, 3, 0)</f>
        <v>4.8604090702017988</v>
      </c>
      <c r="V144" s="76">
        <f>$R144*HLOOKUP(V$77,'Conversions and Lookups'!$B$76:$AE$78, 3, 0)</f>
        <v>4.6994811215363752</v>
      </c>
      <c r="W144" s="76">
        <f>$R144*HLOOKUP(W$77,'Conversions and Lookups'!$B$76:$AE$78, 3, 0)</f>
        <v>3.9906174579650369</v>
      </c>
      <c r="X144" s="76">
        <f>$R144*HLOOKUP(X$77,'Conversions and Lookups'!$B$76:$AE$78, 3, 0)</f>
        <v>3.7370475523977453</v>
      </c>
      <c r="Y144" s="76">
        <f>$R144*HLOOKUP(Y$77,'Conversions and Lookups'!$B$76:$AE$78, 3, 0)</f>
        <v>3.5030235059010342</v>
      </c>
      <c r="Z144" s="76">
        <f>$R144*HLOOKUP(Z$77,'Conversions and Lookups'!$B$76:$AE$78, 3, 0)</f>
        <v>3.4981047206073992</v>
      </c>
      <c r="AA144" s="76">
        <f>$R144*HLOOKUP(AA$77,'Conversions and Lookups'!$B$76:$AE$78, 3, 0)</f>
        <v>3.4480143461816977</v>
      </c>
      <c r="AB144" s="76">
        <f>$R144*HLOOKUP(AB$77,'Conversions and Lookups'!$B$76:$AE$78, 3, 0)</f>
        <v>2.9862078902018974</v>
      </c>
      <c r="AC144" s="76">
        <f>$R144*HLOOKUP(AC$77,'Conversions and Lookups'!$B$76:$AE$78, 3, 0)</f>
        <v>2.7865525118400574</v>
      </c>
      <c r="AD144" s="76">
        <f>$R144*HLOOKUP(AD$77,'Conversions and Lookups'!$B$76:$AE$78, 3, 0)</f>
        <v>2.7545975687875202</v>
      </c>
      <c r="AE144" s="76">
        <f>$R144*HLOOKUP(AE$77,'Conversions and Lookups'!$B$76:$AE$78, 3, 0)</f>
        <v>2.7502025950290254</v>
      </c>
      <c r="AF144" s="76">
        <v>0</v>
      </c>
      <c r="AG144" s="76">
        <v>0</v>
      </c>
      <c r="AH144" s="76">
        <v>0</v>
      </c>
      <c r="AI144" s="76">
        <v>0</v>
      </c>
      <c r="AJ144" s="76">
        <v>0</v>
      </c>
      <c r="AK144" s="76">
        <v>0</v>
      </c>
      <c r="AL144" s="76">
        <v>0</v>
      </c>
      <c r="AM144" s="76">
        <v>0</v>
      </c>
      <c r="AN144" s="76">
        <v>0</v>
      </c>
      <c r="AO144" s="76">
        <v>0</v>
      </c>
      <c r="AP144" s="76">
        <v>0</v>
      </c>
      <c r="AQ144" s="76">
        <v>0</v>
      </c>
      <c r="AR144" s="77">
        <v>0</v>
      </c>
      <c r="AT144" s="82">
        <f>SUMIFS('Conversions and Lookups'!$F$58:$F$72,'Conversions and Lookups'!$G$58:$G$72,'Measure 2'!AT$77,'Conversions and Lookups'!$C$58:$C$72,'Measure 2'!$C144)*'Measure 2'!$F144</f>
        <v>205113.42712589444</v>
      </c>
      <c r="AU144" s="30">
        <f>SUMIFS('Conversions and Lookups'!$F$58:$F$72,'Conversions and Lookups'!$G$58:$G$72,'Measure 2'!AU$77,'Conversions and Lookups'!$C$58:$C$72,'Measure 2'!$C144)*'Measure 2'!$F144</f>
        <v>5265.5261610955495</v>
      </c>
      <c r="AV144" s="83">
        <f>SUMIFS('Conversions and Lookups'!$F$58:$F$72,'Conversions and Lookups'!$G$58:$G$72,'Measure 2'!AV$77,'Conversions and Lookups'!$C$58:$C$72,'Measure 2'!$C144)*'Measure 2'!$F144</f>
        <v>121.04657841598964</v>
      </c>
    </row>
    <row r="145" spans="2:48" x14ac:dyDescent="0.35">
      <c r="B145" s="57" t="s">
        <v>69</v>
      </c>
      <c r="C145" s="58" t="s">
        <v>222</v>
      </c>
      <c r="D145" s="58">
        <v>15</v>
      </c>
      <c r="E145" s="59">
        <v>9557.5524831531493</v>
      </c>
      <c r="F145" s="59">
        <f t="shared" si="55"/>
        <v>143363.28724729724</v>
      </c>
      <c r="G145" s="58" t="s">
        <v>279</v>
      </c>
      <c r="H145" s="60">
        <f>VLOOKUP($C145,'Conversions and Lookups'!$B$30:$E$36, 3, 0)</f>
        <v>20.9</v>
      </c>
      <c r="I145" s="61">
        <f t="shared" si="56"/>
        <v>6859.4874281003467</v>
      </c>
      <c r="J145" s="62">
        <f>I145*VLOOKUP($G145,'Conversions and Lookups'!$B$41:$D$43,3, 0)</f>
        <v>70.035366640904542</v>
      </c>
      <c r="K145" s="63">
        <f>$F145*VLOOKUP($C145,'Conversions and Lookups'!$C$47:$G$52, 4, 0)</f>
        <v>3.1711959139102151E-2</v>
      </c>
      <c r="L145" s="64">
        <f>$F145*VLOOKUP($C145,'Conversions and Lookups'!$C$47:$G$52, 5, 0)</f>
        <v>4.5589525344640516E-2</v>
      </c>
      <c r="M145" s="62">
        <f t="shared" si="57"/>
        <v>70.112668125388282</v>
      </c>
      <c r="N145" s="62">
        <f t="shared" si="58"/>
        <v>350.5633406269414</v>
      </c>
      <c r="O145" s="65">
        <f t="shared" si="59"/>
        <v>841.35201750465944</v>
      </c>
      <c r="P145" s="31"/>
      <c r="Q145" s="75">
        <f>VLOOKUP($C145,'Conversions and Lookups'!$B$30:$E$36, 4, 0)</f>
        <v>0.43888523151195957</v>
      </c>
      <c r="R145" s="30">
        <f t="shared" si="60"/>
        <v>62920.029513845613</v>
      </c>
      <c r="S145">
        <v>0</v>
      </c>
      <c r="T145" s="76">
        <f>$R145*HLOOKUP(T$77,'Conversions and Lookups'!$B$76:$AE$78, 3, 0)</f>
        <v>16.508010183313694</v>
      </c>
      <c r="U145" s="76">
        <f>$R145*HLOOKUP(U$77,'Conversions and Lookups'!$B$76:$AE$78, 3, 0)</f>
        <v>15.115698654399766</v>
      </c>
      <c r="V145" s="76">
        <f>$R145*HLOOKUP(V$77,'Conversions and Lookups'!$B$76:$AE$78, 3, 0)</f>
        <v>14.615218480413864</v>
      </c>
      <c r="W145" s="76">
        <f>$R145*HLOOKUP(W$77,'Conversions and Lookups'!$B$76:$AE$78, 3, 0)</f>
        <v>12.410677798583292</v>
      </c>
      <c r="X145" s="76">
        <f>$R145*HLOOKUP(X$77,'Conversions and Lookups'!$B$76:$AE$78, 3, 0)</f>
        <v>11.622084446661855</v>
      </c>
      <c r="Y145" s="76">
        <f>$R145*HLOOKUP(Y$77,'Conversions and Lookups'!$B$76:$AE$78, 3, 0)</f>
        <v>10.894278018512662</v>
      </c>
      <c r="Z145" s="76">
        <f>$R145*HLOOKUP(Z$77,'Conversions and Lookups'!$B$76:$AE$78, 3, 0)</f>
        <v>10.878980771887862</v>
      </c>
      <c r="AA145" s="76">
        <f>$R145*HLOOKUP(AA$77,'Conversions and Lookups'!$B$76:$AE$78, 3, 0)</f>
        <v>10.723201496034951</v>
      </c>
      <c r="AB145" s="76">
        <f>$R145*HLOOKUP(AB$77,'Conversions and Lookups'!$B$76:$AE$78, 3, 0)</f>
        <v>9.2869999079745522</v>
      </c>
      <c r="AC145" s="76">
        <f>$R145*HLOOKUP(AC$77,'Conversions and Lookups'!$B$76:$AE$78, 3, 0)</f>
        <v>8.66607881049943</v>
      </c>
      <c r="AD145" s="76">
        <f>$R145*HLOOKUP(AD$77,'Conversions and Lookups'!$B$76:$AE$78, 3, 0)</f>
        <v>8.566700078642894</v>
      </c>
      <c r="AE145" s="76">
        <f>$R145*HLOOKUP(AE$77,'Conversions and Lookups'!$B$76:$AE$78, 3, 0)</f>
        <v>8.5530318671882881</v>
      </c>
      <c r="AF145" s="76">
        <v>0</v>
      </c>
      <c r="AG145" s="76">
        <v>0</v>
      </c>
      <c r="AH145" s="76">
        <v>0</v>
      </c>
      <c r="AI145" s="76">
        <v>0</v>
      </c>
      <c r="AJ145" s="76">
        <v>0</v>
      </c>
      <c r="AK145" s="76">
        <v>0</v>
      </c>
      <c r="AL145" s="76">
        <v>0</v>
      </c>
      <c r="AM145" s="76">
        <v>0</v>
      </c>
      <c r="AN145" s="76">
        <v>0</v>
      </c>
      <c r="AO145" s="76">
        <v>0</v>
      </c>
      <c r="AP145" s="76">
        <v>0</v>
      </c>
      <c r="AQ145" s="76">
        <v>0</v>
      </c>
      <c r="AR145" s="77">
        <v>0</v>
      </c>
      <c r="AT145" s="82">
        <f>SUMIFS('Conversions and Lookups'!$F$58:$F$72,'Conversions and Lookups'!$G$58:$G$72,'Measure 2'!AT$77,'Conversions and Lookups'!$C$58:$C$72,'Measure 2'!$C145)*'Measure 2'!$F145</f>
        <v>434534.12364655797</v>
      </c>
      <c r="AU145" s="30">
        <f>SUMIFS('Conversions and Lookups'!$F$58:$F$72,'Conversions and Lookups'!$G$58:$G$72,'Measure 2'!AU$77,'Conversions and Lookups'!$C$58:$C$72,'Measure 2'!$C145)*'Measure 2'!$F145</f>
        <v>17633.68433141756</v>
      </c>
      <c r="AV145" s="83">
        <f>SUMIFS('Conversions and Lookups'!$F$58:$F$72,'Conversions and Lookups'!$G$58:$G$72,'Measure 2'!AV$77,'Conversions and Lookups'!$C$58:$C$72,'Measure 2'!$C145)*'Measure 2'!$F145</f>
        <v>286.7265744945945</v>
      </c>
    </row>
    <row r="146" spans="2:48" x14ac:dyDescent="0.35">
      <c r="B146" s="57" t="s">
        <v>69</v>
      </c>
      <c r="C146" s="58" t="s">
        <v>212</v>
      </c>
      <c r="D146" s="58">
        <v>24</v>
      </c>
      <c r="E146" s="59">
        <v>8646.184172570689</v>
      </c>
      <c r="F146" s="59">
        <f t="shared" si="55"/>
        <v>207508.42014169652</v>
      </c>
      <c r="G146" s="58" t="s">
        <v>278</v>
      </c>
      <c r="H146" s="60">
        <f>VLOOKUP($C146,'Conversions and Lookups'!$B$30:$E$36, 3, 0)</f>
        <v>27.5</v>
      </c>
      <c r="I146" s="61">
        <f t="shared" si="56"/>
        <v>7545.7607324253277</v>
      </c>
      <c r="J146" s="62">
        <f>I146*VLOOKUP($G146,'Conversions and Lookups'!$B$41:$D$43,3, 0)</f>
        <v>66.251779230694368</v>
      </c>
      <c r="K146" s="63">
        <f>$F146*VLOOKUP($C146,'Conversions and Lookups'!$C$47:$G$52, 4, 0)</f>
        <v>2.9632202396234264E-2</v>
      </c>
      <c r="L146" s="64">
        <f>$F146*VLOOKUP($C146,'Conversions and Lookups'!$C$47:$G$52, 5, 0)</f>
        <v>7.6985623872569409E-2</v>
      </c>
      <c r="M146" s="62">
        <f t="shared" si="57"/>
        <v>66.35839705696317</v>
      </c>
      <c r="N146" s="62">
        <f t="shared" si="58"/>
        <v>331.79198528481584</v>
      </c>
      <c r="O146" s="65">
        <f t="shared" si="59"/>
        <v>796.3007646835581</v>
      </c>
      <c r="P146" s="31"/>
      <c r="Q146" s="75">
        <f>VLOOKUP($C146,'Conversions and Lookups'!$B$30:$E$36, 4, 0)</f>
        <v>0.33428046130703665</v>
      </c>
      <c r="R146" s="30">
        <f t="shared" si="60"/>
        <v>69366.010410060684</v>
      </c>
      <c r="S146">
        <v>0</v>
      </c>
      <c r="T146" s="76">
        <f>$R146*HLOOKUP(T$77,'Conversions and Lookups'!$B$76:$AE$78, 3, 0)</f>
        <v>18.199209616917717</v>
      </c>
      <c r="U146" s="76">
        <f>$R146*HLOOKUP(U$77,'Conversions and Lookups'!$B$76:$AE$78, 3, 0)</f>
        <v>16.664259669263309</v>
      </c>
      <c r="V146" s="76">
        <f>$R146*HLOOKUP(V$77,'Conversions and Lookups'!$B$76:$AE$78, 3, 0)</f>
        <v>16.112506702410428</v>
      </c>
      <c r="W146" s="76">
        <f>$R146*HLOOKUP(W$77,'Conversions and Lookups'!$B$76:$AE$78, 3, 0)</f>
        <v>13.682116998737266</v>
      </c>
      <c r="X146" s="76">
        <f>$R146*HLOOKUP(X$77,'Conversions and Lookups'!$B$76:$AE$78, 3, 0)</f>
        <v>12.812734465363695</v>
      </c>
      <c r="Y146" s="76">
        <f>$R146*HLOOKUP(Y$77,'Conversions and Lookups'!$B$76:$AE$78, 3, 0)</f>
        <v>12.010366305946402</v>
      </c>
      <c r="Z146" s="76">
        <f>$R146*HLOOKUP(Z$77,'Conversions and Lookups'!$B$76:$AE$78, 3, 0)</f>
        <v>11.993501899225366</v>
      </c>
      <c r="AA146" s="76">
        <f>$R146*HLOOKUP(AA$77,'Conversions and Lookups'!$B$76:$AE$78, 3, 0)</f>
        <v>11.821763472622962</v>
      </c>
      <c r="AB146" s="76">
        <f>$R146*HLOOKUP(AB$77,'Conversions and Lookups'!$B$76:$AE$78, 3, 0)</f>
        <v>10.238427052120789</v>
      </c>
      <c r="AC146" s="76">
        <f>$R146*HLOOKUP(AC$77,'Conversions and Lookups'!$B$76:$AE$78, 3, 0)</f>
        <v>9.5538943263087663</v>
      </c>
      <c r="AD146" s="76">
        <f>$R146*HLOOKUP(AD$77,'Conversions and Lookups'!$B$76:$AE$78, 3, 0)</f>
        <v>9.4443345215572112</v>
      </c>
      <c r="AE146" s="76">
        <f>$R146*HLOOKUP(AE$77,'Conversions and Lookups'!$B$76:$AE$78, 3, 0)</f>
        <v>9.429266040099515</v>
      </c>
      <c r="AF146" s="76">
        <v>0</v>
      </c>
      <c r="AG146" s="76">
        <v>0</v>
      </c>
      <c r="AH146" s="76">
        <v>0</v>
      </c>
      <c r="AI146" s="76">
        <v>0</v>
      </c>
      <c r="AJ146" s="76">
        <v>0</v>
      </c>
      <c r="AK146" s="76">
        <v>0</v>
      </c>
      <c r="AL146" s="76">
        <v>0</v>
      </c>
      <c r="AM146" s="76">
        <v>0</v>
      </c>
      <c r="AN146" s="76">
        <v>0</v>
      </c>
      <c r="AO146" s="76">
        <v>0</v>
      </c>
      <c r="AP146" s="76">
        <v>0</v>
      </c>
      <c r="AQ146" s="76">
        <v>0</v>
      </c>
      <c r="AR146" s="77">
        <v>0</v>
      </c>
      <c r="AT146" s="82">
        <f>SUMIFS('Conversions and Lookups'!$F$58:$F$72,'Conversions and Lookups'!$G$58:$G$72,'Measure 2'!AT$77,'Conversions and Lookups'!$C$58:$C$72,'Measure 2'!$C146)*'Measure 2'!$F146</f>
        <v>703246.03586020949</v>
      </c>
      <c r="AU146" s="30">
        <f>SUMIFS('Conversions and Lookups'!$F$58:$F$72,'Conversions and Lookups'!$G$58:$G$72,'Measure 2'!AU$77,'Conversions and Lookups'!$C$58:$C$72,'Measure 2'!$C146)*'Measure 2'!$F146</f>
        <v>18053.232552327598</v>
      </c>
      <c r="AV146" s="83">
        <f>SUMIFS('Conversions and Lookups'!$F$58:$F$72,'Conversions and Lookups'!$G$58:$G$72,'Measure 2'!AV$77,'Conversions and Lookups'!$C$58:$C$72,'Measure 2'!$C146)*'Measure 2'!$F146</f>
        <v>415.01684028339304</v>
      </c>
    </row>
    <row r="147" spans="2:48" x14ac:dyDescent="0.35">
      <c r="B147" s="57" t="s">
        <v>69</v>
      </c>
      <c r="C147" s="58" t="s">
        <v>212</v>
      </c>
      <c r="D147" s="58">
        <v>1</v>
      </c>
      <c r="E147" s="59">
        <v>8646.184172570689</v>
      </c>
      <c r="F147" s="59">
        <f t="shared" si="55"/>
        <v>8646.184172570689</v>
      </c>
      <c r="G147" s="58" t="s">
        <v>278</v>
      </c>
      <c r="H147" s="60">
        <f>VLOOKUP($C147,'Conversions and Lookups'!$B$30:$E$36, 3, 0)</f>
        <v>27.5</v>
      </c>
      <c r="I147" s="61">
        <f t="shared" si="56"/>
        <v>314.40669718438869</v>
      </c>
      <c r="J147" s="62">
        <f>I147*VLOOKUP($G147,'Conversions and Lookups'!$B$41:$D$43,3, 0)</f>
        <v>2.7604908012789324</v>
      </c>
      <c r="K147" s="63">
        <f>$F147*VLOOKUP($C147,'Conversions and Lookups'!$C$47:$G$52, 4, 0)</f>
        <v>1.2346750998430945E-3</v>
      </c>
      <c r="L147" s="64">
        <f>$F147*VLOOKUP($C147,'Conversions and Lookups'!$C$47:$G$52, 5, 0)</f>
        <v>3.2077343280237252E-3</v>
      </c>
      <c r="M147" s="62">
        <f t="shared" si="57"/>
        <v>2.7649332107067992</v>
      </c>
      <c r="N147" s="62">
        <f t="shared" si="58"/>
        <v>13.824666053533996</v>
      </c>
      <c r="O147" s="65">
        <f t="shared" si="59"/>
        <v>33.179198528481592</v>
      </c>
      <c r="P147" s="31"/>
      <c r="Q147" s="75">
        <f>VLOOKUP($C147,'Conversions and Lookups'!$B$30:$E$36, 4, 0)</f>
        <v>0.33428046130703665</v>
      </c>
      <c r="R147" s="30">
        <f t="shared" si="60"/>
        <v>2890.2504337525288</v>
      </c>
      <c r="S147">
        <v>0</v>
      </c>
      <c r="T147" s="76">
        <f>$R147*HLOOKUP(T$77,'Conversions and Lookups'!$B$76:$AE$78, 3, 0)</f>
        <v>0.7583004007049049</v>
      </c>
      <c r="U147" s="76">
        <f>$R147*HLOOKUP(U$77,'Conversions and Lookups'!$B$76:$AE$78, 3, 0)</f>
        <v>0.69434415288597129</v>
      </c>
      <c r="V147" s="76">
        <f>$R147*HLOOKUP(V$77,'Conversions and Lookups'!$B$76:$AE$78, 3, 0)</f>
        <v>0.67135444593376792</v>
      </c>
      <c r="W147" s="76">
        <f>$R147*HLOOKUP(W$77,'Conversions and Lookups'!$B$76:$AE$78, 3, 0)</f>
        <v>0.57008820828071949</v>
      </c>
      <c r="X147" s="76">
        <f>$R147*HLOOKUP(X$77,'Conversions and Lookups'!$B$76:$AE$78, 3, 0)</f>
        <v>0.5338639360568207</v>
      </c>
      <c r="Y147" s="76">
        <f>$R147*HLOOKUP(Y$77,'Conversions and Lookups'!$B$76:$AE$78, 3, 0)</f>
        <v>0.50043192941443349</v>
      </c>
      <c r="Z147" s="76">
        <f>$R147*HLOOKUP(Z$77,'Conversions and Lookups'!$B$76:$AE$78, 3, 0)</f>
        <v>0.49972924580105699</v>
      </c>
      <c r="AA147" s="76">
        <f>$R147*HLOOKUP(AA$77,'Conversions and Lookups'!$B$76:$AE$78, 3, 0)</f>
        <v>0.4925734780259568</v>
      </c>
      <c r="AB147" s="76">
        <f>$R147*HLOOKUP(AB$77,'Conversions and Lookups'!$B$76:$AE$78, 3, 0)</f>
        <v>0.42660112717169962</v>
      </c>
      <c r="AC147" s="76">
        <f>$R147*HLOOKUP(AC$77,'Conversions and Lookups'!$B$76:$AE$78, 3, 0)</f>
        <v>0.39807893026286528</v>
      </c>
      <c r="AD147" s="76">
        <f>$R147*HLOOKUP(AD$77,'Conversions and Lookups'!$B$76:$AE$78, 3, 0)</f>
        <v>0.39351393839821719</v>
      </c>
      <c r="AE147" s="76">
        <f>$R147*HLOOKUP(AE$77,'Conversions and Lookups'!$B$76:$AE$78, 3, 0)</f>
        <v>0.39288608500414646</v>
      </c>
      <c r="AF147" s="76">
        <v>0</v>
      </c>
      <c r="AG147" s="76">
        <v>0</v>
      </c>
      <c r="AH147" s="76">
        <v>0</v>
      </c>
      <c r="AI147" s="76">
        <v>0</v>
      </c>
      <c r="AJ147" s="76">
        <v>0</v>
      </c>
      <c r="AK147" s="76">
        <v>0</v>
      </c>
      <c r="AL147" s="76">
        <v>0</v>
      </c>
      <c r="AM147" s="76">
        <v>0</v>
      </c>
      <c r="AN147" s="76">
        <v>0</v>
      </c>
      <c r="AO147" s="76">
        <v>0</v>
      </c>
      <c r="AP147" s="76">
        <v>0</v>
      </c>
      <c r="AQ147" s="76">
        <v>0</v>
      </c>
      <c r="AR147" s="77">
        <v>0</v>
      </c>
      <c r="AT147" s="82">
        <f>SUMIFS('Conversions and Lookups'!$F$58:$F$72,'Conversions and Lookups'!$G$58:$G$72,'Measure 2'!AT$77,'Conversions and Lookups'!$C$58:$C$72,'Measure 2'!$C147)*'Measure 2'!$F147</f>
        <v>29301.918160842062</v>
      </c>
      <c r="AU147" s="30">
        <f>SUMIFS('Conversions and Lookups'!$F$58:$F$72,'Conversions and Lookups'!$G$58:$G$72,'Measure 2'!AU$77,'Conversions and Lookups'!$C$58:$C$72,'Measure 2'!$C147)*'Measure 2'!$F147</f>
        <v>752.21802301364994</v>
      </c>
      <c r="AV147" s="83">
        <f>SUMIFS('Conversions and Lookups'!$F$58:$F$72,'Conversions and Lookups'!$G$58:$G$72,'Measure 2'!AV$77,'Conversions and Lookups'!$C$58:$C$72,'Measure 2'!$C147)*'Measure 2'!$F147</f>
        <v>17.29236834514138</v>
      </c>
    </row>
    <row r="148" spans="2:48" x14ac:dyDescent="0.35">
      <c r="B148" s="57" t="s">
        <v>69</v>
      </c>
      <c r="C148" s="58" t="s">
        <v>212</v>
      </c>
      <c r="D148" s="58">
        <v>5</v>
      </c>
      <c r="E148" s="59">
        <v>8646.184172570689</v>
      </c>
      <c r="F148" s="59">
        <f t="shared" si="55"/>
        <v>43230.920862853447</v>
      </c>
      <c r="G148" s="58" t="s">
        <v>278</v>
      </c>
      <c r="H148" s="60">
        <f>VLOOKUP($C148,'Conversions and Lookups'!$B$30:$E$36, 3, 0)</f>
        <v>27.5</v>
      </c>
      <c r="I148" s="61">
        <f t="shared" si="56"/>
        <v>1572.0334859219436</v>
      </c>
      <c r="J148" s="62">
        <f>I148*VLOOKUP($G148,'Conversions and Lookups'!$B$41:$D$43,3, 0)</f>
        <v>13.802454006394663</v>
      </c>
      <c r="K148" s="63">
        <f>$F148*VLOOKUP($C148,'Conversions and Lookups'!$C$47:$G$52, 4, 0)</f>
        <v>6.1733754992154728E-3</v>
      </c>
      <c r="L148" s="64">
        <f>$F148*VLOOKUP($C148,'Conversions and Lookups'!$C$47:$G$52, 5, 0)</f>
        <v>1.6038671640118629E-2</v>
      </c>
      <c r="M148" s="62">
        <f t="shared" si="57"/>
        <v>13.824666053533999</v>
      </c>
      <c r="N148" s="62">
        <f t="shared" si="58"/>
        <v>69.123330267669999</v>
      </c>
      <c r="O148" s="65">
        <f t="shared" si="59"/>
        <v>165.89599264240798</v>
      </c>
      <c r="P148" s="31"/>
      <c r="Q148" s="75">
        <f>VLOOKUP($C148,'Conversions and Lookups'!$B$30:$E$36, 4, 0)</f>
        <v>0.33428046130703665</v>
      </c>
      <c r="R148" s="30">
        <f t="shared" si="60"/>
        <v>14451.252168762645</v>
      </c>
      <c r="S148">
        <v>0</v>
      </c>
      <c r="T148" s="76">
        <f>$R148*HLOOKUP(T$77,'Conversions and Lookups'!$B$76:$AE$78, 3, 0)</f>
        <v>3.7915020035245246</v>
      </c>
      <c r="U148" s="76">
        <f>$R148*HLOOKUP(U$77,'Conversions and Lookups'!$B$76:$AE$78, 3, 0)</f>
        <v>3.4717207644298567</v>
      </c>
      <c r="V148" s="76">
        <f>$R148*HLOOKUP(V$77,'Conversions and Lookups'!$B$76:$AE$78, 3, 0)</f>
        <v>3.3567722296688398</v>
      </c>
      <c r="W148" s="76">
        <f>$R148*HLOOKUP(W$77,'Conversions and Lookups'!$B$76:$AE$78, 3, 0)</f>
        <v>2.8504410414035979</v>
      </c>
      <c r="X148" s="76">
        <f>$R148*HLOOKUP(X$77,'Conversions and Lookups'!$B$76:$AE$78, 3, 0)</f>
        <v>2.6693196802841039</v>
      </c>
      <c r="Y148" s="76">
        <f>$R148*HLOOKUP(Y$77,'Conversions and Lookups'!$B$76:$AE$78, 3, 0)</f>
        <v>2.5021596470721676</v>
      </c>
      <c r="Z148" s="76">
        <f>$R148*HLOOKUP(Z$77,'Conversions and Lookups'!$B$76:$AE$78, 3, 0)</f>
        <v>2.4986462290052853</v>
      </c>
      <c r="AA148" s="76">
        <f>$R148*HLOOKUP(AA$77,'Conversions and Lookups'!$B$76:$AE$78, 3, 0)</f>
        <v>2.4628673901297842</v>
      </c>
      <c r="AB148" s="76">
        <f>$R148*HLOOKUP(AB$77,'Conversions and Lookups'!$B$76:$AE$78, 3, 0)</f>
        <v>2.1330056358584981</v>
      </c>
      <c r="AC148" s="76">
        <f>$R148*HLOOKUP(AC$77,'Conversions and Lookups'!$B$76:$AE$78, 3, 0)</f>
        <v>1.9903946513143267</v>
      </c>
      <c r="AD148" s="76">
        <f>$R148*HLOOKUP(AD$77,'Conversions and Lookups'!$B$76:$AE$78, 3, 0)</f>
        <v>1.9675696919910859</v>
      </c>
      <c r="AE148" s="76">
        <f>$R148*HLOOKUP(AE$77,'Conversions and Lookups'!$B$76:$AE$78, 3, 0)</f>
        <v>1.9644304250207325</v>
      </c>
      <c r="AF148" s="76">
        <v>0</v>
      </c>
      <c r="AG148" s="76">
        <v>0</v>
      </c>
      <c r="AH148" s="76">
        <v>0</v>
      </c>
      <c r="AI148" s="76">
        <v>0</v>
      </c>
      <c r="AJ148" s="76">
        <v>0</v>
      </c>
      <c r="AK148" s="76">
        <v>0</v>
      </c>
      <c r="AL148" s="76">
        <v>0</v>
      </c>
      <c r="AM148" s="76">
        <v>0</v>
      </c>
      <c r="AN148" s="76">
        <v>0</v>
      </c>
      <c r="AO148" s="76">
        <v>0</v>
      </c>
      <c r="AP148" s="76">
        <v>0</v>
      </c>
      <c r="AQ148" s="76">
        <v>0</v>
      </c>
      <c r="AR148" s="77">
        <v>0</v>
      </c>
      <c r="AT148" s="82">
        <f>SUMIFS('Conversions and Lookups'!$F$58:$F$72,'Conversions and Lookups'!$G$58:$G$72,'Measure 2'!AT$77,'Conversions and Lookups'!$C$58:$C$72,'Measure 2'!$C148)*'Measure 2'!$F148</f>
        <v>146509.59080421031</v>
      </c>
      <c r="AU148" s="30">
        <f>SUMIFS('Conversions and Lookups'!$F$58:$F$72,'Conversions and Lookups'!$G$58:$G$72,'Measure 2'!AU$77,'Conversions and Lookups'!$C$58:$C$72,'Measure 2'!$C148)*'Measure 2'!$F148</f>
        <v>3761.0901150682498</v>
      </c>
      <c r="AV148" s="83">
        <f>SUMIFS('Conversions and Lookups'!$F$58:$F$72,'Conversions and Lookups'!$G$58:$G$72,'Measure 2'!AV$77,'Conversions and Lookups'!$C$58:$C$72,'Measure 2'!$C148)*'Measure 2'!$F148</f>
        <v>86.46184172570689</v>
      </c>
    </row>
    <row r="149" spans="2:48" x14ac:dyDescent="0.35">
      <c r="B149" s="57" t="s">
        <v>69</v>
      </c>
      <c r="C149" s="58" t="s">
        <v>212</v>
      </c>
      <c r="D149" s="58">
        <v>5</v>
      </c>
      <c r="E149" s="59">
        <v>8646.184172570689</v>
      </c>
      <c r="F149" s="59">
        <f t="shared" si="55"/>
        <v>43230.920862853447</v>
      </c>
      <c r="G149" s="58" t="s">
        <v>278</v>
      </c>
      <c r="H149" s="60">
        <f>VLOOKUP($C149,'Conversions and Lookups'!$B$30:$E$36, 3, 0)</f>
        <v>27.5</v>
      </c>
      <c r="I149" s="61">
        <f t="shared" si="56"/>
        <v>1572.0334859219436</v>
      </c>
      <c r="J149" s="62">
        <f>I149*VLOOKUP($G149,'Conversions and Lookups'!$B$41:$D$43,3, 0)</f>
        <v>13.802454006394663</v>
      </c>
      <c r="K149" s="63">
        <f>$F149*VLOOKUP($C149,'Conversions and Lookups'!$C$47:$G$52, 4, 0)</f>
        <v>6.1733754992154728E-3</v>
      </c>
      <c r="L149" s="64">
        <f>$F149*VLOOKUP($C149,'Conversions and Lookups'!$C$47:$G$52, 5, 0)</f>
        <v>1.6038671640118629E-2</v>
      </c>
      <c r="M149" s="62">
        <f t="shared" si="57"/>
        <v>13.824666053533999</v>
      </c>
      <c r="N149" s="62">
        <f t="shared" si="58"/>
        <v>69.123330267669999</v>
      </c>
      <c r="O149" s="65">
        <f t="shared" si="59"/>
        <v>165.89599264240798</v>
      </c>
      <c r="P149" s="31"/>
      <c r="Q149" s="75">
        <f>VLOOKUP($C149,'Conversions and Lookups'!$B$30:$E$36, 4, 0)</f>
        <v>0.33428046130703665</v>
      </c>
      <c r="R149" s="30">
        <f t="shared" si="60"/>
        <v>14451.252168762645</v>
      </c>
      <c r="S149">
        <v>0</v>
      </c>
      <c r="T149" s="76">
        <f>$R149*HLOOKUP(T$77,'Conversions and Lookups'!$B$76:$AE$78, 3, 0)</f>
        <v>3.7915020035245246</v>
      </c>
      <c r="U149" s="76">
        <f>$R149*HLOOKUP(U$77,'Conversions and Lookups'!$B$76:$AE$78, 3, 0)</f>
        <v>3.4717207644298567</v>
      </c>
      <c r="V149" s="76">
        <f>$R149*HLOOKUP(V$77,'Conversions and Lookups'!$B$76:$AE$78, 3, 0)</f>
        <v>3.3567722296688398</v>
      </c>
      <c r="W149" s="76">
        <f>$R149*HLOOKUP(W$77,'Conversions and Lookups'!$B$76:$AE$78, 3, 0)</f>
        <v>2.8504410414035979</v>
      </c>
      <c r="X149" s="76">
        <f>$R149*HLOOKUP(X$77,'Conversions and Lookups'!$B$76:$AE$78, 3, 0)</f>
        <v>2.6693196802841039</v>
      </c>
      <c r="Y149" s="76">
        <f>$R149*HLOOKUP(Y$77,'Conversions and Lookups'!$B$76:$AE$78, 3, 0)</f>
        <v>2.5021596470721676</v>
      </c>
      <c r="Z149" s="76">
        <f>$R149*HLOOKUP(Z$77,'Conversions and Lookups'!$B$76:$AE$78, 3, 0)</f>
        <v>2.4986462290052853</v>
      </c>
      <c r="AA149" s="76">
        <f>$R149*HLOOKUP(AA$77,'Conversions and Lookups'!$B$76:$AE$78, 3, 0)</f>
        <v>2.4628673901297842</v>
      </c>
      <c r="AB149" s="76">
        <f>$R149*HLOOKUP(AB$77,'Conversions and Lookups'!$B$76:$AE$78, 3, 0)</f>
        <v>2.1330056358584981</v>
      </c>
      <c r="AC149" s="76">
        <f>$R149*HLOOKUP(AC$77,'Conversions and Lookups'!$B$76:$AE$78, 3, 0)</f>
        <v>1.9903946513143267</v>
      </c>
      <c r="AD149" s="76">
        <f>$R149*HLOOKUP(AD$77,'Conversions and Lookups'!$B$76:$AE$78, 3, 0)</f>
        <v>1.9675696919910859</v>
      </c>
      <c r="AE149" s="76">
        <f>$R149*HLOOKUP(AE$77,'Conversions and Lookups'!$B$76:$AE$78, 3, 0)</f>
        <v>1.9644304250207325</v>
      </c>
      <c r="AF149" s="76">
        <v>0</v>
      </c>
      <c r="AG149" s="76">
        <v>0</v>
      </c>
      <c r="AH149" s="76">
        <v>0</v>
      </c>
      <c r="AI149" s="76">
        <v>0</v>
      </c>
      <c r="AJ149" s="76">
        <v>0</v>
      </c>
      <c r="AK149" s="76">
        <v>0</v>
      </c>
      <c r="AL149" s="76">
        <v>0</v>
      </c>
      <c r="AM149" s="76">
        <v>0</v>
      </c>
      <c r="AN149" s="76">
        <v>0</v>
      </c>
      <c r="AO149" s="76">
        <v>0</v>
      </c>
      <c r="AP149" s="76">
        <v>0</v>
      </c>
      <c r="AQ149" s="76">
        <v>0</v>
      </c>
      <c r="AR149" s="77">
        <v>0</v>
      </c>
      <c r="AT149" s="82">
        <f>SUMIFS('Conversions and Lookups'!$F$58:$F$72,'Conversions and Lookups'!$G$58:$G$72,'Measure 2'!AT$77,'Conversions and Lookups'!$C$58:$C$72,'Measure 2'!$C149)*'Measure 2'!$F149</f>
        <v>146509.59080421031</v>
      </c>
      <c r="AU149" s="30">
        <f>SUMIFS('Conversions and Lookups'!$F$58:$F$72,'Conversions and Lookups'!$G$58:$G$72,'Measure 2'!AU$77,'Conversions and Lookups'!$C$58:$C$72,'Measure 2'!$C149)*'Measure 2'!$F149</f>
        <v>3761.0901150682498</v>
      </c>
      <c r="AV149" s="83">
        <f>SUMIFS('Conversions and Lookups'!$F$58:$F$72,'Conversions and Lookups'!$G$58:$G$72,'Measure 2'!AV$77,'Conversions and Lookups'!$C$58:$C$72,'Measure 2'!$C149)*'Measure 2'!$F149</f>
        <v>86.46184172570689</v>
      </c>
    </row>
    <row r="150" spans="2:48" x14ac:dyDescent="0.35">
      <c r="B150" s="57" t="s">
        <v>69</v>
      </c>
      <c r="C150" s="58" t="s">
        <v>212</v>
      </c>
      <c r="D150" s="58">
        <v>5</v>
      </c>
      <c r="E150" s="59">
        <v>8646.184172570689</v>
      </c>
      <c r="F150" s="59">
        <f t="shared" si="55"/>
        <v>43230.920862853447</v>
      </c>
      <c r="G150" s="58" t="s">
        <v>278</v>
      </c>
      <c r="H150" s="60">
        <f>VLOOKUP($C150,'Conversions and Lookups'!$B$30:$E$36, 3, 0)</f>
        <v>27.5</v>
      </c>
      <c r="I150" s="61">
        <f t="shared" si="56"/>
        <v>1572.0334859219436</v>
      </c>
      <c r="J150" s="62">
        <f>I150*VLOOKUP($G150,'Conversions and Lookups'!$B$41:$D$43,3, 0)</f>
        <v>13.802454006394663</v>
      </c>
      <c r="K150" s="63">
        <f>$F150*VLOOKUP($C150,'Conversions and Lookups'!$C$47:$G$52, 4, 0)</f>
        <v>6.1733754992154728E-3</v>
      </c>
      <c r="L150" s="64">
        <f>$F150*VLOOKUP($C150,'Conversions and Lookups'!$C$47:$G$52, 5, 0)</f>
        <v>1.6038671640118629E-2</v>
      </c>
      <c r="M150" s="62">
        <f t="shared" si="57"/>
        <v>13.824666053533999</v>
      </c>
      <c r="N150" s="62">
        <f t="shared" si="58"/>
        <v>69.123330267669999</v>
      </c>
      <c r="O150" s="65">
        <f t="shared" si="59"/>
        <v>165.89599264240798</v>
      </c>
      <c r="P150" s="31"/>
      <c r="Q150" s="75">
        <f>VLOOKUP($C150,'Conversions and Lookups'!$B$30:$E$36, 4, 0)</f>
        <v>0.33428046130703665</v>
      </c>
      <c r="R150" s="30">
        <f t="shared" si="60"/>
        <v>14451.252168762645</v>
      </c>
      <c r="S150">
        <v>0</v>
      </c>
      <c r="T150" s="76">
        <f>$R150*HLOOKUP(T$77,'Conversions and Lookups'!$B$76:$AE$78, 3, 0)</f>
        <v>3.7915020035245246</v>
      </c>
      <c r="U150" s="76">
        <f>$R150*HLOOKUP(U$77,'Conversions and Lookups'!$B$76:$AE$78, 3, 0)</f>
        <v>3.4717207644298567</v>
      </c>
      <c r="V150" s="76">
        <f>$R150*HLOOKUP(V$77,'Conversions and Lookups'!$B$76:$AE$78, 3, 0)</f>
        <v>3.3567722296688398</v>
      </c>
      <c r="W150" s="76">
        <f>$R150*HLOOKUP(W$77,'Conversions and Lookups'!$B$76:$AE$78, 3, 0)</f>
        <v>2.8504410414035979</v>
      </c>
      <c r="X150" s="76">
        <f>$R150*HLOOKUP(X$77,'Conversions and Lookups'!$B$76:$AE$78, 3, 0)</f>
        <v>2.6693196802841039</v>
      </c>
      <c r="Y150" s="76">
        <f>$R150*HLOOKUP(Y$77,'Conversions and Lookups'!$B$76:$AE$78, 3, 0)</f>
        <v>2.5021596470721676</v>
      </c>
      <c r="Z150" s="76">
        <f>$R150*HLOOKUP(Z$77,'Conversions and Lookups'!$B$76:$AE$78, 3, 0)</f>
        <v>2.4986462290052853</v>
      </c>
      <c r="AA150" s="76">
        <f>$R150*HLOOKUP(AA$77,'Conversions and Lookups'!$B$76:$AE$78, 3, 0)</f>
        <v>2.4628673901297842</v>
      </c>
      <c r="AB150" s="76">
        <f>$R150*HLOOKUP(AB$77,'Conversions and Lookups'!$B$76:$AE$78, 3, 0)</f>
        <v>2.1330056358584981</v>
      </c>
      <c r="AC150" s="76">
        <f>$R150*HLOOKUP(AC$77,'Conversions and Lookups'!$B$76:$AE$78, 3, 0)</f>
        <v>1.9903946513143267</v>
      </c>
      <c r="AD150" s="76">
        <f>$R150*HLOOKUP(AD$77,'Conversions and Lookups'!$B$76:$AE$78, 3, 0)</f>
        <v>1.9675696919910859</v>
      </c>
      <c r="AE150" s="76">
        <f>$R150*HLOOKUP(AE$77,'Conversions and Lookups'!$B$76:$AE$78, 3, 0)</f>
        <v>1.9644304250207325</v>
      </c>
      <c r="AF150" s="76">
        <v>0</v>
      </c>
      <c r="AG150" s="76">
        <v>0</v>
      </c>
      <c r="AH150" s="76">
        <v>0</v>
      </c>
      <c r="AI150" s="76">
        <v>0</v>
      </c>
      <c r="AJ150" s="76">
        <v>0</v>
      </c>
      <c r="AK150" s="76">
        <v>0</v>
      </c>
      <c r="AL150" s="76">
        <v>0</v>
      </c>
      <c r="AM150" s="76">
        <v>0</v>
      </c>
      <c r="AN150" s="76">
        <v>0</v>
      </c>
      <c r="AO150" s="76">
        <v>0</v>
      </c>
      <c r="AP150" s="76">
        <v>0</v>
      </c>
      <c r="AQ150" s="76">
        <v>0</v>
      </c>
      <c r="AR150" s="77">
        <v>0</v>
      </c>
      <c r="AT150" s="82">
        <f>SUMIFS('Conversions and Lookups'!$F$58:$F$72,'Conversions and Lookups'!$G$58:$G$72,'Measure 2'!AT$77,'Conversions and Lookups'!$C$58:$C$72,'Measure 2'!$C150)*'Measure 2'!$F150</f>
        <v>146509.59080421031</v>
      </c>
      <c r="AU150" s="30">
        <f>SUMIFS('Conversions and Lookups'!$F$58:$F$72,'Conversions and Lookups'!$G$58:$G$72,'Measure 2'!AU$77,'Conversions and Lookups'!$C$58:$C$72,'Measure 2'!$C150)*'Measure 2'!$F150</f>
        <v>3761.0901150682498</v>
      </c>
      <c r="AV150" s="83">
        <f>SUMIFS('Conversions and Lookups'!$F$58:$F$72,'Conversions and Lookups'!$G$58:$G$72,'Measure 2'!AV$77,'Conversions and Lookups'!$C$58:$C$72,'Measure 2'!$C150)*'Measure 2'!$F150</f>
        <v>86.46184172570689</v>
      </c>
    </row>
    <row r="151" spans="2:48" x14ac:dyDescent="0.35">
      <c r="B151" s="57" t="s">
        <v>69</v>
      </c>
      <c r="C151" s="58" t="s">
        <v>212</v>
      </c>
      <c r="D151" s="58">
        <v>1</v>
      </c>
      <c r="E151" s="59">
        <v>8646.184172570689</v>
      </c>
      <c r="F151" s="59">
        <f t="shared" si="55"/>
        <v>8646.184172570689</v>
      </c>
      <c r="G151" s="58" t="s">
        <v>278</v>
      </c>
      <c r="H151" s="60">
        <f>VLOOKUP($C151,'Conversions and Lookups'!$B$30:$E$36, 3, 0)</f>
        <v>27.5</v>
      </c>
      <c r="I151" s="61">
        <f t="shared" si="56"/>
        <v>314.40669718438869</v>
      </c>
      <c r="J151" s="62">
        <f>I151*VLOOKUP($G151,'Conversions and Lookups'!$B$41:$D$43,3, 0)</f>
        <v>2.7604908012789324</v>
      </c>
      <c r="K151" s="63">
        <f>$F151*VLOOKUP($C151,'Conversions and Lookups'!$C$47:$G$52, 4, 0)</f>
        <v>1.2346750998430945E-3</v>
      </c>
      <c r="L151" s="64">
        <f>$F151*VLOOKUP($C151,'Conversions and Lookups'!$C$47:$G$52, 5, 0)</f>
        <v>3.2077343280237252E-3</v>
      </c>
      <c r="M151" s="62">
        <f t="shared" si="57"/>
        <v>2.7649332107067992</v>
      </c>
      <c r="N151" s="62">
        <f t="shared" si="58"/>
        <v>13.824666053533996</v>
      </c>
      <c r="O151" s="65">
        <f t="shared" si="59"/>
        <v>33.179198528481592</v>
      </c>
      <c r="P151" s="31"/>
      <c r="Q151" s="75">
        <f>VLOOKUP($C151,'Conversions and Lookups'!$B$30:$E$36, 4, 0)</f>
        <v>0.33428046130703665</v>
      </c>
      <c r="R151" s="30">
        <f t="shared" si="60"/>
        <v>2890.2504337525288</v>
      </c>
      <c r="S151">
        <v>0</v>
      </c>
      <c r="T151" s="76">
        <f>$R151*HLOOKUP(T$77,'Conversions and Lookups'!$B$76:$AE$78, 3, 0)</f>
        <v>0.7583004007049049</v>
      </c>
      <c r="U151" s="76">
        <f>$R151*HLOOKUP(U$77,'Conversions and Lookups'!$B$76:$AE$78, 3, 0)</f>
        <v>0.69434415288597129</v>
      </c>
      <c r="V151" s="76">
        <f>$R151*HLOOKUP(V$77,'Conversions and Lookups'!$B$76:$AE$78, 3, 0)</f>
        <v>0.67135444593376792</v>
      </c>
      <c r="W151" s="76">
        <f>$R151*HLOOKUP(W$77,'Conversions and Lookups'!$B$76:$AE$78, 3, 0)</f>
        <v>0.57008820828071949</v>
      </c>
      <c r="X151" s="76">
        <f>$R151*HLOOKUP(X$77,'Conversions and Lookups'!$B$76:$AE$78, 3, 0)</f>
        <v>0.5338639360568207</v>
      </c>
      <c r="Y151" s="76">
        <f>$R151*HLOOKUP(Y$77,'Conversions and Lookups'!$B$76:$AE$78, 3, 0)</f>
        <v>0.50043192941443349</v>
      </c>
      <c r="Z151" s="76">
        <f>$R151*HLOOKUP(Z$77,'Conversions and Lookups'!$B$76:$AE$78, 3, 0)</f>
        <v>0.49972924580105699</v>
      </c>
      <c r="AA151" s="76">
        <f>$R151*HLOOKUP(AA$77,'Conversions and Lookups'!$B$76:$AE$78, 3, 0)</f>
        <v>0.4925734780259568</v>
      </c>
      <c r="AB151" s="76">
        <f>$R151*HLOOKUP(AB$77,'Conversions and Lookups'!$B$76:$AE$78, 3, 0)</f>
        <v>0.42660112717169962</v>
      </c>
      <c r="AC151" s="76">
        <f>$R151*HLOOKUP(AC$77,'Conversions and Lookups'!$B$76:$AE$78, 3, 0)</f>
        <v>0.39807893026286528</v>
      </c>
      <c r="AD151" s="76">
        <f>$R151*HLOOKUP(AD$77,'Conversions and Lookups'!$B$76:$AE$78, 3, 0)</f>
        <v>0.39351393839821719</v>
      </c>
      <c r="AE151" s="76">
        <f>$R151*HLOOKUP(AE$77,'Conversions and Lookups'!$B$76:$AE$78, 3, 0)</f>
        <v>0.39288608500414646</v>
      </c>
      <c r="AF151" s="76">
        <v>0</v>
      </c>
      <c r="AG151" s="76">
        <v>0</v>
      </c>
      <c r="AH151" s="76">
        <v>0</v>
      </c>
      <c r="AI151" s="76">
        <v>0</v>
      </c>
      <c r="AJ151" s="76">
        <v>0</v>
      </c>
      <c r="AK151" s="76">
        <v>0</v>
      </c>
      <c r="AL151" s="76">
        <v>0</v>
      </c>
      <c r="AM151" s="76">
        <v>0</v>
      </c>
      <c r="AN151" s="76">
        <v>0</v>
      </c>
      <c r="AO151" s="76">
        <v>0</v>
      </c>
      <c r="AP151" s="76">
        <v>0</v>
      </c>
      <c r="AQ151" s="76">
        <v>0</v>
      </c>
      <c r="AR151" s="77">
        <v>0</v>
      </c>
      <c r="AT151" s="82">
        <f>SUMIFS('Conversions and Lookups'!$F$58:$F$72,'Conversions and Lookups'!$G$58:$G$72,'Measure 2'!AT$77,'Conversions and Lookups'!$C$58:$C$72,'Measure 2'!$C151)*'Measure 2'!$F151</f>
        <v>29301.918160842062</v>
      </c>
      <c r="AU151" s="30">
        <f>SUMIFS('Conversions and Lookups'!$F$58:$F$72,'Conversions and Lookups'!$G$58:$G$72,'Measure 2'!AU$77,'Conversions and Lookups'!$C$58:$C$72,'Measure 2'!$C151)*'Measure 2'!$F151</f>
        <v>752.21802301364994</v>
      </c>
      <c r="AV151" s="83">
        <f>SUMIFS('Conversions and Lookups'!$F$58:$F$72,'Conversions and Lookups'!$G$58:$G$72,'Measure 2'!AV$77,'Conversions and Lookups'!$C$58:$C$72,'Measure 2'!$C151)*'Measure 2'!$F151</f>
        <v>17.29236834514138</v>
      </c>
    </row>
    <row r="152" spans="2:48" x14ac:dyDescent="0.35">
      <c r="B152" s="57" t="s">
        <v>69</v>
      </c>
      <c r="C152" s="58" t="s">
        <v>219</v>
      </c>
      <c r="D152" s="58">
        <v>1</v>
      </c>
      <c r="E152" s="59">
        <v>11084.519142954545</v>
      </c>
      <c r="F152" s="59">
        <f t="shared" si="55"/>
        <v>11084.519142954545</v>
      </c>
      <c r="G152" s="58" t="s">
        <v>279</v>
      </c>
      <c r="H152" s="60">
        <f>VLOOKUP($C152,'Conversions and Lookups'!$B$30:$E$36, 3, 0)</f>
        <v>10.38961038961039</v>
      </c>
      <c r="I152" s="61">
        <f t="shared" si="56"/>
        <v>1066.884967509375</v>
      </c>
      <c r="J152" s="62">
        <f>I152*VLOOKUP($G152,'Conversions and Lookups'!$B$41:$D$43,3, 0)</f>
        <v>10.892895518270718</v>
      </c>
      <c r="K152" s="63">
        <f>$F152*VLOOKUP($C152,'Conversions and Lookups'!$C$47:$G$52, 4, 0)</f>
        <v>9.0006295440790904E-3</v>
      </c>
      <c r="L152" s="64">
        <f>$F152*VLOOKUP($C152,'Conversions and Lookups'!$C$47:$G$52, 5, 0)</f>
        <v>6.2860308059695225E-2</v>
      </c>
      <c r="M152" s="62">
        <f t="shared" si="57"/>
        <v>10.964756455874493</v>
      </c>
      <c r="N152" s="62">
        <f t="shared" si="58"/>
        <v>54.823782279372466</v>
      </c>
      <c r="O152" s="65">
        <f t="shared" si="59"/>
        <v>131.57707747049392</v>
      </c>
      <c r="P152" s="31"/>
      <c r="Q152" s="75">
        <f>VLOOKUP($C152,'Conversions and Lookups'!$B$30:$E$36, 4, 0)</f>
        <v>0.94046835323991351</v>
      </c>
      <c r="R152" s="30">
        <f t="shared" si="60"/>
        <v>10424.639464830758</v>
      </c>
      <c r="S152">
        <v>0</v>
      </c>
      <c r="T152" s="76">
        <f>$R152*HLOOKUP(T$77,'Conversions and Lookups'!$B$76:$AE$78, 3, 0)</f>
        <v>2.7350599764885901</v>
      </c>
      <c r="U152" s="76">
        <f>$R152*HLOOKUP(U$77,'Conversions and Lookups'!$B$76:$AE$78, 3, 0)</f>
        <v>2.5043807186465212</v>
      </c>
      <c r="V152" s="76">
        <f>$R152*HLOOKUP(V$77,'Conversions and Lookups'!$B$76:$AE$78, 3, 0)</f>
        <v>2.421460773862472</v>
      </c>
      <c r="W152" s="76">
        <f>$R152*HLOOKUP(W$77,'Conversions and Lookups'!$B$76:$AE$78, 3, 0)</f>
        <v>2.0562107577514848</v>
      </c>
      <c r="X152" s="76">
        <f>$R152*HLOOKUP(X$77,'Conversions and Lookups'!$B$76:$AE$78, 3, 0)</f>
        <v>1.925555997388819</v>
      </c>
      <c r="Y152" s="76">
        <f>$R152*HLOOKUP(Y$77,'Conversions and Lookups'!$B$76:$AE$78, 3, 0)</f>
        <v>1.8049724618713723</v>
      </c>
      <c r="Z152" s="76">
        <f>$R152*HLOOKUP(Z$77,'Conversions and Lookups'!$B$76:$AE$78, 3, 0)</f>
        <v>1.8024380021436788</v>
      </c>
      <c r="AA152" s="76">
        <f>$R152*HLOOKUP(AA$77,'Conversions and Lookups'!$B$76:$AE$78, 3, 0)</f>
        <v>1.7766283704666679</v>
      </c>
      <c r="AB152" s="76">
        <f>$R152*HLOOKUP(AB$77,'Conversions and Lookups'!$B$76:$AE$78, 3, 0)</f>
        <v>1.5386773734625665</v>
      </c>
      <c r="AC152" s="76">
        <f>$R152*HLOOKUP(AC$77,'Conversions and Lookups'!$B$76:$AE$78, 3, 0)</f>
        <v>1.4358026827273878</v>
      </c>
      <c r="AD152" s="76">
        <f>$R152*HLOOKUP(AD$77,'Conversions and Lookups'!$B$76:$AE$78, 3, 0)</f>
        <v>1.4193375370801102</v>
      </c>
      <c r="AE152" s="76">
        <f>$R152*HLOOKUP(AE$77,'Conversions and Lookups'!$B$76:$AE$78, 3, 0)</f>
        <v>1.4170729771674042</v>
      </c>
      <c r="AF152" s="76">
        <v>0</v>
      </c>
      <c r="AG152" s="76">
        <v>0</v>
      </c>
      <c r="AH152" s="76">
        <v>0</v>
      </c>
      <c r="AI152" s="76">
        <v>0</v>
      </c>
      <c r="AJ152" s="76">
        <v>0</v>
      </c>
      <c r="AK152" s="76">
        <v>0</v>
      </c>
      <c r="AL152" s="76">
        <v>0</v>
      </c>
      <c r="AM152" s="76">
        <v>0</v>
      </c>
      <c r="AN152" s="76">
        <v>0</v>
      </c>
      <c r="AO152" s="76">
        <v>0</v>
      </c>
      <c r="AP152" s="76">
        <v>0</v>
      </c>
      <c r="AQ152" s="76">
        <v>0</v>
      </c>
      <c r="AR152" s="77">
        <v>0</v>
      </c>
      <c r="AT152" s="82">
        <f>SUMIFS('Conversions and Lookups'!$F$58:$F$72,'Conversions and Lookups'!$G$58:$G$72,'Measure 2'!AT$77,'Conversions and Lookups'!$C$58:$C$72,'Measure 2'!$C152)*'Measure 2'!$F152</f>
        <v>17834.991301013863</v>
      </c>
      <c r="AU152" s="30">
        <f>SUMIFS('Conversions and Lookups'!$F$58:$F$72,'Conversions and Lookups'!$G$58:$G$72,'Measure 2'!AU$77,'Conversions and Lookups'!$C$58:$C$72,'Measure 2'!$C152)*'Measure 2'!$F152</f>
        <v>12802.619610112499</v>
      </c>
      <c r="AV152" s="83">
        <f>SUMIFS('Conversions and Lookups'!$F$58:$F$72,'Conversions and Lookups'!$G$58:$G$72,'Measure 2'!AV$77,'Conversions and Lookups'!$C$58:$C$72,'Measure 2'!$C152)*'Measure 2'!$F152</f>
        <v>576.39499543363627</v>
      </c>
    </row>
    <row r="153" spans="2:48" x14ac:dyDescent="0.35">
      <c r="B153" s="57" t="s">
        <v>69</v>
      </c>
      <c r="C153" s="58" t="s">
        <v>212</v>
      </c>
      <c r="D153" s="58">
        <v>1</v>
      </c>
      <c r="E153" s="59">
        <v>8646.184172570689</v>
      </c>
      <c r="F153" s="59">
        <f t="shared" si="55"/>
        <v>8646.184172570689</v>
      </c>
      <c r="G153" s="58" t="s">
        <v>278</v>
      </c>
      <c r="H153" s="60">
        <f>VLOOKUP($C153,'Conversions and Lookups'!$B$30:$E$36, 3, 0)</f>
        <v>27.5</v>
      </c>
      <c r="I153" s="61">
        <f t="shared" si="56"/>
        <v>314.40669718438869</v>
      </c>
      <c r="J153" s="62">
        <f>I153*VLOOKUP($G153,'Conversions and Lookups'!$B$41:$D$43,3, 0)</f>
        <v>2.7604908012789324</v>
      </c>
      <c r="K153" s="63">
        <f>$F153*VLOOKUP($C153,'Conversions and Lookups'!$C$47:$G$52, 4, 0)</f>
        <v>1.2346750998430945E-3</v>
      </c>
      <c r="L153" s="64">
        <f>$F153*VLOOKUP($C153,'Conversions and Lookups'!$C$47:$G$52, 5, 0)</f>
        <v>3.2077343280237252E-3</v>
      </c>
      <c r="M153" s="62">
        <f t="shared" si="57"/>
        <v>2.7649332107067992</v>
      </c>
      <c r="N153" s="62">
        <f t="shared" si="58"/>
        <v>13.824666053533996</v>
      </c>
      <c r="O153" s="65">
        <f t="shared" si="59"/>
        <v>33.179198528481592</v>
      </c>
      <c r="P153" s="31"/>
      <c r="Q153" s="75">
        <f>VLOOKUP($C153,'Conversions and Lookups'!$B$30:$E$36, 4, 0)</f>
        <v>0.33428046130703665</v>
      </c>
      <c r="R153" s="30">
        <f t="shared" si="60"/>
        <v>2890.2504337525288</v>
      </c>
      <c r="S153">
        <v>0</v>
      </c>
      <c r="T153" s="76">
        <f>$R153*HLOOKUP(T$77,'Conversions and Lookups'!$B$76:$AE$78, 3, 0)</f>
        <v>0.7583004007049049</v>
      </c>
      <c r="U153" s="76">
        <f>$R153*HLOOKUP(U$77,'Conversions and Lookups'!$B$76:$AE$78, 3, 0)</f>
        <v>0.69434415288597129</v>
      </c>
      <c r="V153" s="76">
        <f>$R153*HLOOKUP(V$77,'Conversions and Lookups'!$B$76:$AE$78, 3, 0)</f>
        <v>0.67135444593376792</v>
      </c>
      <c r="W153" s="76">
        <f>$R153*HLOOKUP(W$77,'Conversions and Lookups'!$B$76:$AE$78, 3, 0)</f>
        <v>0.57008820828071949</v>
      </c>
      <c r="X153" s="76">
        <f>$R153*HLOOKUP(X$77,'Conversions and Lookups'!$B$76:$AE$78, 3, 0)</f>
        <v>0.5338639360568207</v>
      </c>
      <c r="Y153" s="76">
        <f>$R153*HLOOKUP(Y$77,'Conversions and Lookups'!$B$76:$AE$78, 3, 0)</f>
        <v>0.50043192941443349</v>
      </c>
      <c r="Z153" s="76">
        <f>$R153*HLOOKUP(Z$77,'Conversions and Lookups'!$B$76:$AE$78, 3, 0)</f>
        <v>0.49972924580105699</v>
      </c>
      <c r="AA153" s="76">
        <f>$R153*HLOOKUP(AA$77,'Conversions and Lookups'!$B$76:$AE$78, 3, 0)</f>
        <v>0.4925734780259568</v>
      </c>
      <c r="AB153" s="76">
        <f>$R153*HLOOKUP(AB$77,'Conversions and Lookups'!$B$76:$AE$78, 3, 0)</f>
        <v>0.42660112717169962</v>
      </c>
      <c r="AC153" s="76">
        <f>$R153*HLOOKUP(AC$77,'Conversions and Lookups'!$B$76:$AE$78, 3, 0)</f>
        <v>0.39807893026286528</v>
      </c>
      <c r="AD153" s="76">
        <f>$R153*HLOOKUP(AD$77,'Conversions and Lookups'!$B$76:$AE$78, 3, 0)</f>
        <v>0.39351393839821719</v>
      </c>
      <c r="AE153" s="76">
        <f>$R153*HLOOKUP(AE$77,'Conversions and Lookups'!$B$76:$AE$78, 3, 0)</f>
        <v>0.39288608500414646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7">
        <v>0</v>
      </c>
      <c r="AT153" s="82">
        <f>SUMIFS('Conversions and Lookups'!$F$58:$F$72,'Conversions and Lookups'!$G$58:$G$72,'Measure 2'!AT$77,'Conversions and Lookups'!$C$58:$C$72,'Measure 2'!$C153)*'Measure 2'!$F153</f>
        <v>29301.918160842062</v>
      </c>
      <c r="AU153" s="30">
        <f>SUMIFS('Conversions and Lookups'!$F$58:$F$72,'Conversions and Lookups'!$G$58:$G$72,'Measure 2'!AU$77,'Conversions and Lookups'!$C$58:$C$72,'Measure 2'!$C153)*'Measure 2'!$F153</f>
        <v>752.21802301364994</v>
      </c>
      <c r="AV153" s="83">
        <f>SUMIFS('Conversions and Lookups'!$F$58:$F$72,'Conversions and Lookups'!$G$58:$G$72,'Measure 2'!AV$77,'Conversions and Lookups'!$C$58:$C$72,'Measure 2'!$C153)*'Measure 2'!$F153</f>
        <v>17.29236834514138</v>
      </c>
    </row>
    <row r="154" spans="2:48" x14ac:dyDescent="0.35">
      <c r="B154" s="57" t="s">
        <v>69</v>
      </c>
      <c r="C154" s="58" t="s">
        <v>222</v>
      </c>
      <c r="D154" s="58">
        <v>1</v>
      </c>
      <c r="E154" s="59">
        <v>9557.5524831531493</v>
      </c>
      <c r="F154" s="59">
        <f t="shared" si="55"/>
        <v>9557.5524831531493</v>
      </c>
      <c r="G154" s="58" t="s">
        <v>279</v>
      </c>
      <c r="H154" s="60">
        <f>VLOOKUP($C154,'Conversions and Lookups'!$B$30:$E$36, 3, 0)</f>
        <v>20.9</v>
      </c>
      <c r="I154" s="61">
        <f t="shared" si="56"/>
        <v>457.29916187335647</v>
      </c>
      <c r="J154" s="62">
        <f>I154*VLOOKUP($G154,'Conversions and Lookups'!$B$41:$D$43,3, 0)</f>
        <v>4.66902444272697</v>
      </c>
      <c r="K154" s="63">
        <f>$F154*VLOOKUP($C154,'Conversions and Lookups'!$C$47:$G$52, 4, 0)</f>
        <v>2.1141306092734764E-3</v>
      </c>
      <c r="L154" s="64">
        <f>$F154*VLOOKUP($C154,'Conversions and Lookups'!$C$47:$G$52, 5, 0)</f>
        <v>3.0393016896427009E-3</v>
      </c>
      <c r="M154" s="62">
        <f t="shared" si="57"/>
        <v>4.6741778750258858</v>
      </c>
      <c r="N154" s="62">
        <f t="shared" si="58"/>
        <v>23.37088937512943</v>
      </c>
      <c r="O154" s="65">
        <f t="shared" si="59"/>
        <v>56.090134500310626</v>
      </c>
      <c r="P154" s="31"/>
      <c r="Q154" s="75">
        <f>VLOOKUP($C154,'Conversions and Lookups'!$B$30:$E$36, 4, 0)</f>
        <v>0.43888523151195957</v>
      </c>
      <c r="R154" s="30">
        <f t="shared" si="60"/>
        <v>4194.6686342563744</v>
      </c>
      <c r="S154">
        <v>0</v>
      </c>
      <c r="T154" s="76">
        <f>$R154*HLOOKUP(T$77,'Conversions and Lookups'!$B$76:$AE$78, 3, 0)</f>
        <v>1.1005340122209131</v>
      </c>
      <c r="U154" s="76">
        <f>$R154*HLOOKUP(U$77,'Conversions and Lookups'!$B$76:$AE$78, 3, 0)</f>
        <v>1.0077132436266512</v>
      </c>
      <c r="V154" s="76">
        <f>$R154*HLOOKUP(V$77,'Conversions and Lookups'!$B$76:$AE$78, 3, 0)</f>
        <v>0.97434789869425764</v>
      </c>
      <c r="W154" s="76">
        <f>$R154*HLOOKUP(W$77,'Conversions and Lookups'!$B$76:$AE$78, 3, 0)</f>
        <v>0.82737851990555278</v>
      </c>
      <c r="X154" s="76">
        <f>$R154*HLOOKUP(X$77,'Conversions and Lookups'!$B$76:$AE$78, 3, 0)</f>
        <v>0.77480562977745704</v>
      </c>
      <c r="Y154" s="76">
        <f>$R154*HLOOKUP(Y$77,'Conversions and Lookups'!$B$76:$AE$78, 3, 0)</f>
        <v>0.72628520123417739</v>
      </c>
      <c r="Z154" s="76">
        <f>$R154*HLOOKUP(Z$77,'Conversions and Lookups'!$B$76:$AE$78, 3, 0)</f>
        <v>0.72526538479252423</v>
      </c>
      <c r="AA154" s="76">
        <f>$R154*HLOOKUP(AA$77,'Conversions and Lookups'!$B$76:$AE$78, 3, 0)</f>
        <v>0.71488009973566347</v>
      </c>
      <c r="AB154" s="76">
        <f>$R154*HLOOKUP(AB$77,'Conversions and Lookups'!$B$76:$AE$78, 3, 0)</f>
        <v>0.6191333271983035</v>
      </c>
      <c r="AC154" s="76">
        <f>$R154*HLOOKUP(AC$77,'Conversions and Lookups'!$B$76:$AE$78, 3, 0)</f>
        <v>0.57773858736662864</v>
      </c>
      <c r="AD154" s="76">
        <f>$R154*HLOOKUP(AD$77,'Conversions and Lookups'!$B$76:$AE$78, 3, 0)</f>
        <v>0.57111333857619295</v>
      </c>
      <c r="AE154" s="76">
        <f>$R154*HLOOKUP(AE$77,'Conversions and Lookups'!$B$76:$AE$78, 3, 0)</f>
        <v>0.57020212447921925</v>
      </c>
      <c r="AF154" s="76">
        <v>0</v>
      </c>
      <c r="AG154" s="76">
        <v>0</v>
      </c>
      <c r="AH154" s="76">
        <v>0</v>
      </c>
      <c r="AI154" s="76">
        <v>0</v>
      </c>
      <c r="AJ154" s="76">
        <v>0</v>
      </c>
      <c r="AK154" s="76">
        <v>0</v>
      </c>
      <c r="AL154" s="76">
        <v>0</v>
      </c>
      <c r="AM154" s="76">
        <v>0</v>
      </c>
      <c r="AN154" s="76">
        <v>0</v>
      </c>
      <c r="AO154" s="76">
        <v>0</v>
      </c>
      <c r="AP154" s="76">
        <v>0</v>
      </c>
      <c r="AQ154" s="76">
        <v>0</v>
      </c>
      <c r="AR154" s="77">
        <v>0</v>
      </c>
      <c r="AT154" s="82">
        <f>SUMIFS('Conversions and Lookups'!$F$58:$F$72,'Conversions and Lookups'!$G$58:$G$72,'Measure 2'!AT$77,'Conversions and Lookups'!$C$58:$C$72,'Measure 2'!$C154)*'Measure 2'!$F154</f>
        <v>28968.941576437195</v>
      </c>
      <c r="AU154" s="30">
        <f>SUMIFS('Conversions and Lookups'!$F$58:$F$72,'Conversions and Lookups'!$G$58:$G$72,'Measure 2'!AU$77,'Conversions and Lookups'!$C$58:$C$72,'Measure 2'!$C154)*'Measure 2'!$F154</f>
        <v>1175.5789554278374</v>
      </c>
      <c r="AV154" s="83">
        <f>SUMIFS('Conversions and Lookups'!$F$58:$F$72,'Conversions and Lookups'!$G$58:$G$72,'Measure 2'!AV$77,'Conversions and Lookups'!$C$58:$C$72,'Measure 2'!$C154)*'Measure 2'!$F154</f>
        <v>19.115104966306298</v>
      </c>
    </row>
    <row r="155" spans="2:48" x14ac:dyDescent="0.35">
      <c r="B155" s="57" t="s">
        <v>69</v>
      </c>
      <c r="C155" s="58" t="s">
        <v>212</v>
      </c>
      <c r="D155" s="58">
        <v>1</v>
      </c>
      <c r="E155" s="59">
        <v>8646.184172570689</v>
      </c>
      <c r="F155" s="59">
        <f t="shared" si="55"/>
        <v>8646.184172570689</v>
      </c>
      <c r="G155" s="58" t="s">
        <v>278</v>
      </c>
      <c r="H155" s="60">
        <f>VLOOKUP($C155,'Conversions and Lookups'!$B$30:$E$36, 3, 0)</f>
        <v>27.5</v>
      </c>
      <c r="I155" s="61">
        <f t="shared" si="56"/>
        <v>314.40669718438869</v>
      </c>
      <c r="J155" s="62">
        <f>I155*VLOOKUP($G155,'Conversions and Lookups'!$B$41:$D$43,3, 0)</f>
        <v>2.7604908012789324</v>
      </c>
      <c r="K155" s="63">
        <f>$F155*VLOOKUP($C155,'Conversions and Lookups'!$C$47:$G$52, 4, 0)</f>
        <v>1.2346750998430945E-3</v>
      </c>
      <c r="L155" s="64">
        <f>$F155*VLOOKUP($C155,'Conversions and Lookups'!$C$47:$G$52, 5, 0)</f>
        <v>3.2077343280237252E-3</v>
      </c>
      <c r="M155" s="62">
        <f t="shared" si="57"/>
        <v>2.7649332107067992</v>
      </c>
      <c r="N155" s="62">
        <f t="shared" si="58"/>
        <v>13.824666053533996</v>
      </c>
      <c r="O155" s="65">
        <f t="shared" si="59"/>
        <v>33.179198528481592</v>
      </c>
      <c r="P155" s="31"/>
      <c r="Q155" s="75">
        <f>VLOOKUP($C155,'Conversions and Lookups'!$B$30:$E$36, 4, 0)</f>
        <v>0.33428046130703665</v>
      </c>
      <c r="R155" s="30">
        <f t="shared" si="60"/>
        <v>2890.2504337525288</v>
      </c>
      <c r="S155">
        <v>0</v>
      </c>
      <c r="T155" s="76">
        <f>$R155*HLOOKUP(T$77,'Conversions and Lookups'!$B$76:$AE$78, 3, 0)</f>
        <v>0.7583004007049049</v>
      </c>
      <c r="U155" s="76">
        <f>$R155*HLOOKUP(U$77,'Conversions and Lookups'!$B$76:$AE$78, 3, 0)</f>
        <v>0.69434415288597129</v>
      </c>
      <c r="V155" s="76">
        <f>$R155*HLOOKUP(V$77,'Conversions and Lookups'!$B$76:$AE$78, 3, 0)</f>
        <v>0.67135444593376792</v>
      </c>
      <c r="W155" s="76">
        <f>$R155*HLOOKUP(W$77,'Conversions and Lookups'!$B$76:$AE$78, 3, 0)</f>
        <v>0.57008820828071949</v>
      </c>
      <c r="X155" s="76">
        <f>$R155*HLOOKUP(X$77,'Conversions and Lookups'!$B$76:$AE$78, 3, 0)</f>
        <v>0.5338639360568207</v>
      </c>
      <c r="Y155" s="76">
        <f>$R155*HLOOKUP(Y$77,'Conversions and Lookups'!$B$76:$AE$78, 3, 0)</f>
        <v>0.50043192941443349</v>
      </c>
      <c r="Z155" s="76">
        <f>$R155*HLOOKUP(Z$77,'Conversions and Lookups'!$B$76:$AE$78, 3, 0)</f>
        <v>0.49972924580105699</v>
      </c>
      <c r="AA155" s="76">
        <f>$R155*HLOOKUP(AA$77,'Conversions and Lookups'!$B$76:$AE$78, 3, 0)</f>
        <v>0.4925734780259568</v>
      </c>
      <c r="AB155" s="76">
        <f>$R155*HLOOKUP(AB$77,'Conversions and Lookups'!$B$76:$AE$78, 3, 0)</f>
        <v>0.42660112717169962</v>
      </c>
      <c r="AC155" s="76">
        <f>$R155*HLOOKUP(AC$77,'Conversions and Lookups'!$B$76:$AE$78, 3, 0)</f>
        <v>0.39807893026286528</v>
      </c>
      <c r="AD155" s="76">
        <f>$R155*HLOOKUP(AD$77,'Conversions and Lookups'!$B$76:$AE$78, 3, 0)</f>
        <v>0.39351393839821719</v>
      </c>
      <c r="AE155" s="76">
        <f>$R155*HLOOKUP(AE$77,'Conversions and Lookups'!$B$76:$AE$78, 3, 0)</f>
        <v>0.39288608500414646</v>
      </c>
      <c r="AF155" s="76">
        <v>0</v>
      </c>
      <c r="AG155" s="76">
        <v>0</v>
      </c>
      <c r="AH155" s="76">
        <v>0</v>
      </c>
      <c r="AI155" s="76">
        <v>0</v>
      </c>
      <c r="AJ155" s="76">
        <v>0</v>
      </c>
      <c r="AK155" s="76">
        <v>0</v>
      </c>
      <c r="AL155" s="76">
        <v>0</v>
      </c>
      <c r="AM155" s="76">
        <v>0</v>
      </c>
      <c r="AN155" s="76">
        <v>0</v>
      </c>
      <c r="AO155" s="76">
        <v>0</v>
      </c>
      <c r="AP155" s="76">
        <v>0</v>
      </c>
      <c r="AQ155" s="76">
        <v>0</v>
      </c>
      <c r="AR155" s="77">
        <v>0</v>
      </c>
      <c r="AT155" s="82">
        <f>SUMIFS('Conversions and Lookups'!$F$58:$F$72,'Conversions and Lookups'!$G$58:$G$72,'Measure 2'!AT$77,'Conversions and Lookups'!$C$58:$C$72,'Measure 2'!$C155)*'Measure 2'!$F155</f>
        <v>29301.918160842062</v>
      </c>
      <c r="AU155" s="30">
        <f>SUMIFS('Conversions and Lookups'!$F$58:$F$72,'Conversions and Lookups'!$G$58:$G$72,'Measure 2'!AU$77,'Conversions and Lookups'!$C$58:$C$72,'Measure 2'!$C155)*'Measure 2'!$F155</f>
        <v>752.21802301364994</v>
      </c>
      <c r="AV155" s="83">
        <f>SUMIFS('Conversions and Lookups'!$F$58:$F$72,'Conversions and Lookups'!$G$58:$G$72,'Measure 2'!AV$77,'Conversions and Lookups'!$C$58:$C$72,'Measure 2'!$C155)*'Measure 2'!$F155</f>
        <v>17.29236834514138</v>
      </c>
    </row>
    <row r="156" spans="2:48" x14ac:dyDescent="0.35">
      <c r="B156" s="57" t="s">
        <v>69</v>
      </c>
      <c r="C156" s="58" t="s">
        <v>222</v>
      </c>
      <c r="D156" s="58">
        <v>1</v>
      </c>
      <c r="E156" s="59">
        <v>9557.5524831531493</v>
      </c>
      <c r="F156" s="59">
        <f t="shared" si="55"/>
        <v>9557.5524831531493</v>
      </c>
      <c r="G156" s="58" t="s">
        <v>279</v>
      </c>
      <c r="H156" s="60">
        <f>VLOOKUP($C156,'Conversions and Lookups'!$B$30:$E$36, 3, 0)</f>
        <v>20.9</v>
      </c>
      <c r="I156" s="61">
        <f t="shared" si="56"/>
        <v>457.29916187335647</v>
      </c>
      <c r="J156" s="62">
        <f>I156*VLOOKUP($G156,'Conversions and Lookups'!$B$41:$D$43,3, 0)</f>
        <v>4.66902444272697</v>
      </c>
      <c r="K156" s="63">
        <f>$F156*VLOOKUP($C156,'Conversions and Lookups'!$C$47:$G$52, 4, 0)</f>
        <v>2.1141306092734764E-3</v>
      </c>
      <c r="L156" s="64">
        <f>$F156*VLOOKUP($C156,'Conversions and Lookups'!$C$47:$G$52, 5, 0)</f>
        <v>3.0393016896427009E-3</v>
      </c>
      <c r="M156" s="62">
        <f t="shared" si="57"/>
        <v>4.6741778750258858</v>
      </c>
      <c r="N156" s="62">
        <f t="shared" si="58"/>
        <v>23.37088937512943</v>
      </c>
      <c r="O156" s="65">
        <f t="shared" si="59"/>
        <v>56.090134500310626</v>
      </c>
      <c r="P156" s="31"/>
      <c r="Q156" s="75">
        <f>VLOOKUP($C156,'Conversions and Lookups'!$B$30:$E$36, 4, 0)</f>
        <v>0.43888523151195957</v>
      </c>
      <c r="R156" s="30">
        <f t="shared" si="60"/>
        <v>4194.6686342563744</v>
      </c>
      <c r="S156">
        <v>0</v>
      </c>
      <c r="T156" s="76">
        <f>$R156*HLOOKUP(T$77,'Conversions and Lookups'!$B$76:$AE$78, 3, 0)</f>
        <v>1.1005340122209131</v>
      </c>
      <c r="U156" s="76">
        <f>$R156*HLOOKUP(U$77,'Conversions and Lookups'!$B$76:$AE$78, 3, 0)</f>
        <v>1.0077132436266512</v>
      </c>
      <c r="V156" s="76">
        <f>$R156*HLOOKUP(V$77,'Conversions and Lookups'!$B$76:$AE$78, 3, 0)</f>
        <v>0.97434789869425764</v>
      </c>
      <c r="W156" s="76">
        <f>$R156*HLOOKUP(W$77,'Conversions and Lookups'!$B$76:$AE$78, 3, 0)</f>
        <v>0.82737851990555278</v>
      </c>
      <c r="X156" s="76">
        <f>$R156*HLOOKUP(X$77,'Conversions and Lookups'!$B$76:$AE$78, 3, 0)</f>
        <v>0.77480562977745704</v>
      </c>
      <c r="Y156" s="76">
        <f>$R156*HLOOKUP(Y$77,'Conversions and Lookups'!$B$76:$AE$78, 3, 0)</f>
        <v>0.72628520123417739</v>
      </c>
      <c r="Z156" s="76">
        <f>$R156*HLOOKUP(Z$77,'Conversions and Lookups'!$B$76:$AE$78, 3, 0)</f>
        <v>0.72526538479252423</v>
      </c>
      <c r="AA156" s="76">
        <f>$R156*HLOOKUP(AA$77,'Conversions and Lookups'!$B$76:$AE$78, 3, 0)</f>
        <v>0.71488009973566347</v>
      </c>
      <c r="AB156" s="76">
        <f>$R156*HLOOKUP(AB$77,'Conversions and Lookups'!$B$76:$AE$78, 3, 0)</f>
        <v>0.6191333271983035</v>
      </c>
      <c r="AC156" s="76">
        <f>$R156*HLOOKUP(AC$77,'Conversions and Lookups'!$B$76:$AE$78, 3, 0)</f>
        <v>0.57773858736662864</v>
      </c>
      <c r="AD156" s="76">
        <f>$R156*HLOOKUP(AD$77,'Conversions and Lookups'!$B$76:$AE$78, 3, 0)</f>
        <v>0.57111333857619295</v>
      </c>
      <c r="AE156" s="76">
        <f>$R156*HLOOKUP(AE$77,'Conversions and Lookups'!$B$76:$AE$78, 3, 0)</f>
        <v>0.57020212447921925</v>
      </c>
      <c r="AF156" s="76">
        <v>0</v>
      </c>
      <c r="AG156" s="76">
        <v>0</v>
      </c>
      <c r="AH156" s="76">
        <v>0</v>
      </c>
      <c r="AI156" s="76">
        <v>0</v>
      </c>
      <c r="AJ156" s="76">
        <v>0</v>
      </c>
      <c r="AK156" s="76">
        <v>0</v>
      </c>
      <c r="AL156" s="76">
        <v>0</v>
      </c>
      <c r="AM156" s="76">
        <v>0</v>
      </c>
      <c r="AN156" s="76">
        <v>0</v>
      </c>
      <c r="AO156" s="76">
        <v>0</v>
      </c>
      <c r="AP156" s="76">
        <v>0</v>
      </c>
      <c r="AQ156" s="76">
        <v>0</v>
      </c>
      <c r="AR156" s="77">
        <v>0</v>
      </c>
      <c r="AT156" s="82">
        <f>SUMIFS('Conversions and Lookups'!$F$58:$F$72,'Conversions and Lookups'!$G$58:$G$72,'Measure 2'!AT$77,'Conversions and Lookups'!$C$58:$C$72,'Measure 2'!$C156)*'Measure 2'!$F156</f>
        <v>28968.941576437195</v>
      </c>
      <c r="AU156" s="30">
        <f>SUMIFS('Conversions and Lookups'!$F$58:$F$72,'Conversions and Lookups'!$G$58:$G$72,'Measure 2'!AU$77,'Conversions and Lookups'!$C$58:$C$72,'Measure 2'!$C156)*'Measure 2'!$F156</f>
        <v>1175.5789554278374</v>
      </c>
      <c r="AV156" s="83">
        <f>SUMIFS('Conversions and Lookups'!$F$58:$F$72,'Conversions and Lookups'!$G$58:$G$72,'Measure 2'!AV$77,'Conversions and Lookups'!$C$58:$C$72,'Measure 2'!$C156)*'Measure 2'!$F156</f>
        <v>19.115104966306298</v>
      </c>
    </row>
    <row r="157" spans="2:48" x14ac:dyDescent="0.35">
      <c r="B157" s="57" t="s">
        <v>69</v>
      </c>
      <c r="C157" s="58" t="s">
        <v>212</v>
      </c>
      <c r="D157" s="58">
        <v>1</v>
      </c>
      <c r="E157" s="59">
        <v>8646.184172570689</v>
      </c>
      <c r="F157" s="59">
        <f t="shared" si="55"/>
        <v>8646.184172570689</v>
      </c>
      <c r="G157" s="58" t="s">
        <v>278</v>
      </c>
      <c r="H157" s="60">
        <f>VLOOKUP($C157,'Conversions and Lookups'!$B$30:$E$36, 3, 0)</f>
        <v>27.5</v>
      </c>
      <c r="I157" s="61">
        <f t="shared" si="56"/>
        <v>314.40669718438869</v>
      </c>
      <c r="J157" s="62">
        <f>I157*VLOOKUP($G157,'Conversions and Lookups'!$B$41:$D$43,3, 0)</f>
        <v>2.7604908012789324</v>
      </c>
      <c r="K157" s="63">
        <f>$F157*VLOOKUP($C157,'Conversions and Lookups'!$C$47:$G$52, 4, 0)</f>
        <v>1.2346750998430945E-3</v>
      </c>
      <c r="L157" s="64">
        <f>$F157*VLOOKUP($C157,'Conversions and Lookups'!$C$47:$G$52, 5, 0)</f>
        <v>3.2077343280237252E-3</v>
      </c>
      <c r="M157" s="62">
        <f t="shared" si="57"/>
        <v>2.7649332107067992</v>
      </c>
      <c r="N157" s="62">
        <f t="shared" si="58"/>
        <v>13.824666053533996</v>
      </c>
      <c r="O157" s="65">
        <f t="shared" si="59"/>
        <v>33.179198528481592</v>
      </c>
      <c r="P157" s="31"/>
      <c r="Q157" s="75">
        <f>VLOOKUP($C157,'Conversions and Lookups'!$B$30:$E$36, 4, 0)</f>
        <v>0.33428046130703665</v>
      </c>
      <c r="R157" s="30">
        <f t="shared" si="60"/>
        <v>2890.2504337525288</v>
      </c>
      <c r="S157">
        <v>0</v>
      </c>
      <c r="T157" s="76">
        <f>$R157*HLOOKUP(T$77,'Conversions and Lookups'!$B$76:$AE$78, 3, 0)</f>
        <v>0.7583004007049049</v>
      </c>
      <c r="U157" s="76">
        <f>$R157*HLOOKUP(U$77,'Conversions and Lookups'!$B$76:$AE$78, 3, 0)</f>
        <v>0.69434415288597129</v>
      </c>
      <c r="V157" s="76">
        <f>$R157*HLOOKUP(V$77,'Conversions and Lookups'!$B$76:$AE$78, 3, 0)</f>
        <v>0.67135444593376792</v>
      </c>
      <c r="W157" s="76">
        <f>$R157*HLOOKUP(W$77,'Conversions and Lookups'!$B$76:$AE$78, 3, 0)</f>
        <v>0.57008820828071949</v>
      </c>
      <c r="X157" s="76">
        <f>$R157*HLOOKUP(X$77,'Conversions and Lookups'!$B$76:$AE$78, 3, 0)</f>
        <v>0.5338639360568207</v>
      </c>
      <c r="Y157" s="76">
        <f>$R157*HLOOKUP(Y$77,'Conversions and Lookups'!$B$76:$AE$78, 3, 0)</f>
        <v>0.50043192941443349</v>
      </c>
      <c r="Z157" s="76">
        <f>$R157*HLOOKUP(Z$77,'Conversions and Lookups'!$B$76:$AE$78, 3, 0)</f>
        <v>0.49972924580105699</v>
      </c>
      <c r="AA157" s="76">
        <f>$R157*HLOOKUP(AA$77,'Conversions and Lookups'!$B$76:$AE$78, 3, 0)</f>
        <v>0.4925734780259568</v>
      </c>
      <c r="AB157" s="76">
        <f>$R157*HLOOKUP(AB$77,'Conversions and Lookups'!$B$76:$AE$78, 3, 0)</f>
        <v>0.42660112717169962</v>
      </c>
      <c r="AC157" s="76">
        <f>$R157*HLOOKUP(AC$77,'Conversions and Lookups'!$B$76:$AE$78, 3, 0)</f>
        <v>0.39807893026286528</v>
      </c>
      <c r="AD157" s="76">
        <f>$R157*HLOOKUP(AD$77,'Conversions and Lookups'!$B$76:$AE$78, 3, 0)</f>
        <v>0.39351393839821719</v>
      </c>
      <c r="AE157" s="76">
        <f>$R157*HLOOKUP(AE$77,'Conversions and Lookups'!$B$76:$AE$78, 3, 0)</f>
        <v>0.39288608500414646</v>
      </c>
      <c r="AF157" s="76">
        <v>0</v>
      </c>
      <c r="AG157" s="76">
        <v>0</v>
      </c>
      <c r="AH157" s="76">
        <v>0</v>
      </c>
      <c r="AI157" s="76">
        <v>0</v>
      </c>
      <c r="AJ157" s="76">
        <v>0</v>
      </c>
      <c r="AK157" s="76">
        <v>0</v>
      </c>
      <c r="AL157" s="76">
        <v>0</v>
      </c>
      <c r="AM157" s="76">
        <v>0</v>
      </c>
      <c r="AN157" s="76">
        <v>0</v>
      </c>
      <c r="AO157" s="76">
        <v>0</v>
      </c>
      <c r="AP157" s="76">
        <v>0</v>
      </c>
      <c r="AQ157" s="76">
        <v>0</v>
      </c>
      <c r="AR157" s="77">
        <v>0</v>
      </c>
      <c r="AT157" s="82">
        <f>SUMIFS('Conversions and Lookups'!$F$58:$F$72,'Conversions and Lookups'!$G$58:$G$72,'Measure 2'!AT$77,'Conversions and Lookups'!$C$58:$C$72,'Measure 2'!$C157)*'Measure 2'!$F157</f>
        <v>29301.918160842062</v>
      </c>
      <c r="AU157" s="30">
        <f>SUMIFS('Conversions and Lookups'!$F$58:$F$72,'Conversions and Lookups'!$G$58:$G$72,'Measure 2'!AU$77,'Conversions and Lookups'!$C$58:$C$72,'Measure 2'!$C157)*'Measure 2'!$F157</f>
        <v>752.21802301364994</v>
      </c>
      <c r="AV157" s="83">
        <f>SUMIFS('Conversions and Lookups'!$F$58:$F$72,'Conversions and Lookups'!$G$58:$G$72,'Measure 2'!AV$77,'Conversions and Lookups'!$C$58:$C$72,'Measure 2'!$C157)*'Measure 2'!$F157</f>
        <v>17.29236834514138</v>
      </c>
    </row>
    <row r="158" spans="2:48" x14ac:dyDescent="0.35">
      <c r="B158" s="57" t="s">
        <v>69</v>
      </c>
      <c r="C158" s="58" t="s">
        <v>222</v>
      </c>
      <c r="D158" s="58">
        <v>1</v>
      </c>
      <c r="E158" s="59">
        <v>9557.5524831531493</v>
      </c>
      <c r="F158" s="59">
        <f t="shared" si="55"/>
        <v>9557.5524831531493</v>
      </c>
      <c r="G158" s="58" t="s">
        <v>279</v>
      </c>
      <c r="H158" s="60">
        <f>VLOOKUP($C158,'Conversions and Lookups'!$B$30:$E$36, 3, 0)</f>
        <v>20.9</v>
      </c>
      <c r="I158" s="61">
        <f t="shared" si="56"/>
        <v>457.29916187335647</v>
      </c>
      <c r="J158" s="62">
        <f>I158*VLOOKUP($G158,'Conversions and Lookups'!$B$41:$D$43,3, 0)</f>
        <v>4.66902444272697</v>
      </c>
      <c r="K158" s="63">
        <f>$F158*VLOOKUP($C158,'Conversions and Lookups'!$C$47:$G$52, 4, 0)</f>
        <v>2.1141306092734764E-3</v>
      </c>
      <c r="L158" s="64">
        <f>$F158*VLOOKUP($C158,'Conversions and Lookups'!$C$47:$G$52, 5, 0)</f>
        <v>3.0393016896427009E-3</v>
      </c>
      <c r="M158" s="62">
        <f t="shared" si="57"/>
        <v>4.6741778750258858</v>
      </c>
      <c r="N158" s="62">
        <f t="shared" si="58"/>
        <v>23.37088937512943</v>
      </c>
      <c r="O158" s="65">
        <f t="shared" si="59"/>
        <v>56.090134500310626</v>
      </c>
      <c r="P158" s="31"/>
      <c r="Q158" s="75">
        <f>VLOOKUP($C158,'Conversions and Lookups'!$B$30:$E$36, 4, 0)</f>
        <v>0.43888523151195957</v>
      </c>
      <c r="R158" s="30">
        <f t="shared" si="60"/>
        <v>4194.6686342563744</v>
      </c>
      <c r="S158">
        <v>0</v>
      </c>
      <c r="T158" s="76">
        <f>$R158*HLOOKUP(T$77,'Conversions and Lookups'!$B$76:$AE$78, 3, 0)</f>
        <v>1.1005340122209131</v>
      </c>
      <c r="U158" s="76">
        <f>$R158*HLOOKUP(U$77,'Conversions and Lookups'!$B$76:$AE$78, 3, 0)</f>
        <v>1.0077132436266512</v>
      </c>
      <c r="V158" s="76">
        <f>$R158*HLOOKUP(V$77,'Conversions and Lookups'!$B$76:$AE$78, 3, 0)</f>
        <v>0.97434789869425764</v>
      </c>
      <c r="W158" s="76">
        <f>$R158*HLOOKUP(W$77,'Conversions and Lookups'!$B$76:$AE$78, 3, 0)</f>
        <v>0.82737851990555278</v>
      </c>
      <c r="X158" s="76">
        <f>$R158*HLOOKUP(X$77,'Conversions and Lookups'!$B$76:$AE$78, 3, 0)</f>
        <v>0.77480562977745704</v>
      </c>
      <c r="Y158" s="76">
        <f>$R158*HLOOKUP(Y$77,'Conversions and Lookups'!$B$76:$AE$78, 3, 0)</f>
        <v>0.72628520123417739</v>
      </c>
      <c r="Z158" s="76">
        <f>$R158*HLOOKUP(Z$77,'Conversions and Lookups'!$B$76:$AE$78, 3, 0)</f>
        <v>0.72526538479252423</v>
      </c>
      <c r="AA158" s="76">
        <f>$R158*HLOOKUP(AA$77,'Conversions and Lookups'!$B$76:$AE$78, 3, 0)</f>
        <v>0.71488009973566347</v>
      </c>
      <c r="AB158" s="76">
        <f>$R158*HLOOKUP(AB$77,'Conversions and Lookups'!$B$76:$AE$78, 3, 0)</f>
        <v>0.6191333271983035</v>
      </c>
      <c r="AC158" s="76">
        <f>$R158*HLOOKUP(AC$77,'Conversions and Lookups'!$B$76:$AE$78, 3, 0)</f>
        <v>0.57773858736662864</v>
      </c>
      <c r="AD158" s="76">
        <f>$R158*HLOOKUP(AD$77,'Conversions and Lookups'!$B$76:$AE$78, 3, 0)</f>
        <v>0.57111333857619295</v>
      </c>
      <c r="AE158" s="76">
        <f>$R158*HLOOKUP(AE$77,'Conversions and Lookups'!$B$76:$AE$78, 3, 0)</f>
        <v>0.57020212447921925</v>
      </c>
      <c r="AF158" s="76">
        <v>0</v>
      </c>
      <c r="AG158" s="76">
        <v>0</v>
      </c>
      <c r="AH158" s="76">
        <v>0</v>
      </c>
      <c r="AI158" s="76">
        <v>0</v>
      </c>
      <c r="AJ158" s="76">
        <v>0</v>
      </c>
      <c r="AK158" s="76">
        <v>0</v>
      </c>
      <c r="AL158" s="76">
        <v>0</v>
      </c>
      <c r="AM158" s="76">
        <v>0</v>
      </c>
      <c r="AN158" s="76">
        <v>0</v>
      </c>
      <c r="AO158" s="76">
        <v>0</v>
      </c>
      <c r="AP158" s="76">
        <v>0</v>
      </c>
      <c r="AQ158" s="76">
        <v>0</v>
      </c>
      <c r="AR158" s="77">
        <v>0</v>
      </c>
      <c r="AT158" s="82">
        <f>SUMIFS('Conversions and Lookups'!$F$58:$F$72,'Conversions and Lookups'!$G$58:$G$72,'Measure 2'!AT$77,'Conversions and Lookups'!$C$58:$C$72,'Measure 2'!$C158)*'Measure 2'!$F158</f>
        <v>28968.941576437195</v>
      </c>
      <c r="AU158" s="30">
        <f>SUMIFS('Conversions and Lookups'!$F$58:$F$72,'Conversions and Lookups'!$G$58:$G$72,'Measure 2'!AU$77,'Conversions and Lookups'!$C$58:$C$72,'Measure 2'!$C158)*'Measure 2'!$F158</f>
        <v>1175.5789554278374</v>
      </c>
      <c r="AV158" s="83">
        <f>SUMIFS('Conversions and Lookups'!$F$58:$F$72,'Conversions and Lookups'!$G$58:$G$72,'Measure 2'!AV$77,'Conversions and Lookups'!$C$58:$C$72,'Measure 2'!$C158)*'Measure 2'!$F158</f>
        <v>19.115104966306298</v>
      </c>
    </row>
    <row r="159" spans="2:48" x14ac:dyDescent="0.35">
      <c r="B159" s="57" t="s">
        <v>69</v>
      </c>
      <c r="C159" s="58" t="s">
        <v>219</v>
      </c>
      <c r="D159" s="58">
        <v>1</v>
      </c>
      <c r="E159" s="59">
        <v>11084.519142954545</v>
      </c>
      <c r="F159" s="59">
        <f t="shared" si="55"/>
        <v>11084.519142954545</v>
      </c>
      <c r="G159" s="58" t="s">
        <v>279</v>
      </c>
      <c r="H159" s="60">
        <f>VLOOKUP($C159,'Conversions and Lookups'!$B$30:$E$36, 3, 0)</f>
        <v>10.38961038961039</v>
      </c>
      <c r="I159" s="61">
        <f t="shared" si="56"/>
        <v>1066.884967509375</v>
      </c>
      <c r="J159" s="62">
        <f>I159*VLOOKUP($G159,'Conversions and Lookups'!$B$41:$D$43,3, 0)</f>
        <v>10.892895518270718</v>
      </c>
      <c r="K159" s="63">
        <f>$F159*VLOOKUP($C159,'Conversions and Lookups'!$C$47:$G$52, 4, 0)</f>
        <v>9.0006295440790904E-3</v>
      </c>
      <c r="L159" s="64">
        <f>$F159*VLOOKUP($C159,'Conversions and Lookups'!$C$47:$G$52, 5, 0)</f>
        <v>6.2860308059695225E-2</v>
      </c>
      <c r="M159" s="62">
        <f t="shared" si="57"/>
        <v>10.964756455874493</v>
      </c>
      <c r="N159" s="62">
        <f t="shared" si="58"/>
        <v>54.823782279372466</v>
      </c>
      <c r="O159" s="65">
        <f t="shared" si="59"/>
        <v>131.57707747049392</v>
      </c>
      <c r="P159" s="31"/>
      <c r="Q159" s="75">
        <f>VLOOKUP($C159,'Conversions and Lookups'!$B$30:$E$36, 4, 0)</f>
        <v>0.94046835323991351</v>
      </c>
      <c r="R159" s="30">
        <f t="shared" si="60"/>
        <v>10424.639464830758</v>
      </c>
      <c r="S159">
        <v>0</v>
      </c>
      <c r="T159" s="76">
        <f>$R159*HLOOKUP(T$77,'Conversions and Lookups'!$B$76:$AE$78, 3, 0)</f>
        <v>2.7350599764885901</v>
      </c>
      <c r="U159" s="76">
        <f>$R159*HLOOKUP(U$77,'Conversions and Lookups'!$B$76:$AE$78, 3, 0)</f>
        <v>2.5043807186465212</v>
      </c>
      <c r="V159" s="76">
        <f>$R159*HLOOKUP(V$77,'Conversions and Lookups'!$B$76:$AE$78, 3, 0)</f>
        <v>2.421460773862472</v>
      </c>
      <c r="W159" s="76">
        <f>$R159*HLOOKUP(W$77,'Conversions and Lookups'!$B$76:$AE$78, 3, 0)</f>
        <v>2.0562107577514848</v>
      </c>
      <c r="X159" s="76">
        <f>$R159*HLOOKUP(X$77,'Conversions and Lookups'!$B$76:$AE$78, 3, 0)</f>
        <v>1.925555997388819</v>
      </c>
      <c r="Y159" s="76">
        <f>$R159*HLOOKUP(Y$77,'Conversions and Lookups'!$B$76:$AE$78, 3, 0)</f>
        <v>1.8049724618713723</v>
      </c>
      <c r="Z159" s="76">
        <f>$R159*HLOOKUP(Z$77,'Conversions and Lookups'!$B$76:$AE$78, 3, 0)</f>
        <v>1.8024380021436788</v>
      </c>
      <c r="AA159" s="76">
        <f>$R159*HLOOKUP(AA$77,'Conversions and Lookups'!$B$76:$AE$78, 3, 0)</f>
        <v>1.7766283704666679</v>
      </c>
      <c r="AB159" s="76">
        <f>$R159*HLOOKUP(AB$77,'Conversions and Lookups'!$B$76:$AE$78, 3, 0)</f>
        <v>1.5386773734625665</v>
      </c>
      <c r="AC159" s="76">
        <f>$R159*HLOOKUP(AC$77,'Conversions and Lookups'!$B$76:$AE$78, 3, 0)</f>
        <v>1.4358026827273878</v>
      </c>
      <c r="AD159" s="76">
        <f>$R159*HLOOKUP(AD$77,'Conversions and Lookups'!$B$76:$AE$78, 3, 0)</f>
        <v>1.4193375370801102</v>
      </c>
      <c r="AE159" s="76">
        <f>$R159*HLOOKUP(AE$77,'Conversions and Lookups'!$B$76:$AE$78, 3, 0)</f>
        <v>1.4170729771674042</v>
      </c>
      <c r="AF159" s="76">
        <v>0</v>
      </c>
      <c r="AG159" s="76">
        <v>0</v>
      </c>
      <c r="AH159" s="76">
        <v>0</v>
      </c>
      <c r="AI159" s="76">
        <v>0</v>
      </c>
      <c r="AJ159" s="76">
        <v>0</v>
      </c>
      <c r="AK159" s="76">
        <v>0</v>
      </c>
      <c r="AL159" s="76">
        <v>0</v>
      </c>
      <c r="AM159" s="76">
        <v>0</v>
      </c>
      <c r="AN159" s="76">
        <v>0</v>
      </c>
      <c r="AO159" s="76">
        <v>0</v>
      </c>
      <c r="AP159" s="76">
        <v>0</v>
      </c>
      <c r="AQ159" s="76">
        <v>0</v>
      </c>
      <c r="AR159" s="77">
        <v>0</v>
      </c>
      <c r="AT159" s="82">
        <f>SUMIFS('Conversions and Lookups'!$F$58:$F$72,'Conversions and Lookups'!$G$58:$G$72,'Measure 2'!AT$77,'Conversions and Lookups'!$C$58:$C$72,'Measure 2'!$C159)*'Measure 2'!$F159</f>
        <v>17834.991301013863</v>
      </c>
      <c r="AU159" s="30">
        <f>SUMIFS('Conversions and Lookups'!$F$58:$F$72,'Conversions and Lookups'!$G$58:$G$72,'Measure 2'!AU$77,'Conversions and Lookups'!$C$58:$C$72,'Measure 2'!$C159)*'Measure 2'!$F159</f>
        <v>12802.619610112499</v>
      </c>
      <c r="AV159" s="83">
        <f>SUMIFS('Conversions and Lookups'!$F$58:$F$72,'Conversions and Lookups'!$G$58:$G$72,'Measure 2'!AV$77,'Conversions and Lookups'!$C$58:$C$72,'Measure 2'!$C159)*'Measure 2'!$F159</f>
        <v>576.39499543363627</v>
      </c>
    </row>
    <row r="160" spans="2:48" x14ac:dyDescent="0.35">
      <c r="B160" s="57" t="s">
        <v>69</v>
      </c>
      <c r="C160" s="58" t="s">
        <v>212</v>
      </c>
      <c r="D160" s="58">
        <v>2</v>
      </c>
      <c r="E160" s="59">
        <v>8646.184172570689</v>
      </c>
      <c r="F160" s="59">
        <f t="shared" si="55"/>
        <v>17292.368345141378</v>
      </c>
      <c r="G160" s="58" t="s">
        <v>278</v>
      </c>
      <c r="H160" s="60">
        <f>VLOOKUP($C160,'Conversions and Lookups'!$B$30:$E$36, 3, 0)</f>
        <v>27.5</v>
      </c>
      <c r="I160" s="61">
        <f t="shared" si="56"/>
        <v>628.81339436877738</v>
      </c>
      <c r="J160" s="62">
        <f>I160*VLOOKUP($G160,'Conversions and Lookups'!$B$41:$D$43,3, 0)</f>
        <v>5.5209816025578649</v>
      </c>
      <c r="K160" s="63">
        <f>$F160*VLOOKUP($C160,'Conversions and Lookups'!$C$47:$G$52, 4, 0)</f>
        <v>2.469350199686189E-3</v>
      </c>
      <c r="L160" s="64">
        <f>$F160*VLOOKUP($C160,'Conversions and Lookups'!$C$47:$G$52, 5, 0)</f>
        <v>6.4154686560474504E-3</v>
      </c>
      <c r="M160" s="62">
        <f t="shared" si="57"/>
        <v>5.5298664214135984</v>
      </c>
      <c r="N160" s="62">
        <f t="shared" si="58"/>
        <v>27.649332107067991</v>
      </c>
      <c r="O160" s="65">
        <f t="shared" si="59"/>
        <v>66.358397056963184</v>
      </c>
      <c r="P160" s="31"/>
      <c r="Q160" s="75">
        <f>VLOOKUP($C160,'Conversions and Lookups'!$B$30:$E$36, 4, 0)</f>
        <v>0.33428046130703665</v>
      </c>
      <c r="R160" s="30">
        <f t="shared" si="60"/>
        <v>5780.5008675050576</v>
      </c>
      <c r="S160">
        <v>0</v>
      </c>
      <c r="T160" s="76">
        <f>$R160*HLOOKUP(T$77,'Conversions and Lookups'!$B$76:$AE$78, 3, 0)</f>
        <v>1.5166008014098098</v>
      </c>
      <c r="U160" s="76">
        <f>$R160*HLOOKUP(U$77,'Conversions and Lookups'!$B$76:$AE$78, 3, 0)</f>
        <v>1.3886883057719426</v>
      </c>
      <c r="V160" s="76">
        <f>$R160*HLOOKUP(V$77,'Conversions and Lookups'!$B$76:$AE$78, 3, 0)</f>
        <v>1.3427088918675358</v>
      </c>
      <c r="W160" s="76">
        <f>$R160*HLOOKUP(W$77,'Conversions and Lookups'!$B$76:$AE$78, 3, 0)</f>
        <v>1.140176416561439</v>
      </c>
      <c r="X160" s="76">
        <f>$R160*HLOOKUP(X$77,'Conversions and Lookups'!$B$76:$AE$78, 3, 0)</f>
        <v>1.0677278721136414</v>
      </c>
      <c r="Y160" s="76">
        <f>$R160*HLOOKUP(Y$77,'Conversions and Lookups'!$B$76:$AE$78, 3, 0)</f>
        <v>1.000863858828867</v>
      </c>
      <c r="Z160" s="76">
        <f>$R160*HLOOKUP(Z$77,'Conversions and Lookups'!$B$76:$AE$78, 3, 0)</f>
        <v>0.99945849160211397</v>
      </c>
      <c r="AA160" s="76">
        <f>$R160*HLOOKUP(AA$77,'Conversions and Lookups'!$B$76:$AE$78, 3, 0)</f>
        <v>0.9851469560519136</v>
      </c>
      <c r="AB160" s="76">
        <f>$R160*HLOOKUP(AB$77,'Conversions and Lookups'!$B$76:$AE$78, 3, 0)</f>
        <v>0.85320225434339925</v>
      </c>
      <c r="AC160" s="76">
        <f>$R160*HLOOKUP(AC$77,'Conversions and Lookups'!$B$76:$AE$78, 3, 0)</f>
        <v>0.79615786052573057</v>
      </c>
      <c r="AD160" s="76">
        <f>$R160*HLOOKUP(AD$77,'Conversions and Lookups'!$B$76:$AE$78, 3, 0)</f>
        <v>0.78702787679643438</v>
      </c>
      <c r="AE160" s="76">
        <f>$R160*HLOOKUP(AE$77,'Conversions and Lookups'!$B$76:$AE$78, 3, 0)</f>
        <v>0.78577217000829291</v>
      </c>
      <c r="AF160" s="76">
        <v>0</v>
      </c>
      <c r="AG160" s="76">
        <v>0</v>
      </c>
      <c r="AH160" s="76">
        <v>0</v>
      </c>
      <c r="AI160" s="76">
        <v>0</v>
      </c>
      <c r="AJ160" s="76">
        <v>0</v>
      </c>
      <c r="AK160" s="76">
        <v>0</v>
      </c>
      <c r="AL160" s="76">
        <v>0</v>
      </c>
      <c r="AM160" s="76">
        <v>0</v>
      </c>
      <c r="AN160" s="76">
        <v>0</v>
      </c>
      <c r="AO160" s="76">
        <v>0</v>
      </c>
      <c r="AP160" s="76">
        <v>0</v>
      </c>
      <c r="AQ160" s="76">
        <v>0</v>
      </c>
      <c r="AR160" s="77">
        <v>0</v>
      </c>
      <c r="AT160" s="82">
        <f>SUMIFS('Conversions and Lookups'!$F$58:$F$72,'Conversions and Lookups'!$G$58:$G$72,'Measure 2'!AT$77,'Conversions and Lookups'!$C$58:$C$72,'Measure 2'!$C160)*'Measure 2'!$F160</f>
        <v>58603.836321684124</v>
      </c>
      <c r="AU160" s="30">
        <f>SUMIFS('Conversions and Lookups'!$F$58:$F$72,'Conversions and Lookups'!$G$58:$G$72,'Measure 2'!AU$77,'Conversions and Lookups'!$C$58:$C$72,'Measure 2'!$C160)*'Measure 2'!$F160</f>
        <v>1504.4360460272999</v>
      </c>
      <c r="AV160" s="83">
        <f>SUMIFS('Conversions and Lookups'!$F$58:$F$72,'Conversions and Lookups'!$G$58:$G$72,'Measure 2'!AV$77,'Conversions and Lookups'!$C$58:$C$72,'Measure 2'!$C160)*'Measure 2'!$F160</f>
        <v>34.58473669028276</v>
      </c>
    </row>
    <row r="161" spans="2:48" x14ac:dyDescent="0.35">
      <c r="B161" s="57" t="s">
        <v>69</v>
      </c>
      <c r="C161" s="58" t="s">
        <v>219</v>
      </c>
      <c r="D161" s="58">
        <v>3</v>
      </c>
      <c r="E161" s="59">
        <v>11084.519142954545</v>
      </c>
      <c r="F161" s="59">
        <f t="shared" si="55"/>
        <v>33253.557428863634</v>
      </c>
      <c r="G161" s="58" t="s">
        <v>279</v>
      </c>
      <c r="H161" s="60">
        <f>VLOOKUP($C161,'Conversions and Lookups'!$B$30:$E$36, 3, 0)</f>
        <v>10.38961038961039</v>
      </c>
      <c r="I161" s="61">
        <f t="shared" si="56"/>
        <v>3200.6549025281247</v>
      </c>
      <c r="J161" s="62">
        <f>I161*VLOOKUP($G161,'Conversions and Lookups'!$B$41:$D$43,3, 0)</f>
        <v>32.678686554812153</v>
      </c>
      <c r="K161" s="63">
        <f>$F161*VLOOKUP($C161,'Conversions and Lookups'!$C$47:$G$52, 4, 0)</f>
        <v>2.7001888632237271E-2</v>
      </c>
      <c r="L161" s="64">
        <f>$F161*VLOOKUP($C161,'Conversions and Lookups'!$C$47:$G$52, 5, 0)</f>
        <v>0.18858092417908565</v>
      </c>
      <c r="M161" s="62">
        <f t="shared" si="57"/>
        <v>32.894269367623473</v>
      </c>
      <c r="N161" s="62">
        <f t="shared" si="58"/>
        <v>164.47134683811737</v>
      </c>
      <c r="O161" s="65">
        <f t="shared" si="59"/>
        <v>394.73123241148164</v>
      </c>
      <c r="P161" s="31"/>
      <c r="Q161" s="75">
        <f>VLOOKUP($C161,'Conversions and Lookups'!$B$30:$E$36, 4, 0)</f>
        <v>0.94046835323991351</v>
      </c>
      <c r="R161" s="30">
        <f t="shared" si="60"/>
        <v>31273.918394492273</v>
      </c>
      <c r="S161">
        <v>0</v>
      </c>
      <c r="T161" s="76">
        <f>$R161*HLOOKUP(T$77,'Conversions and Lookups'!$B$76:$AE$78, 3, 0)</f>
        <v>8.2051799294657695</v>
      </c>
      <c r="U161" s="76">
        <f>$R161*HLOOKUP(U$77,'Conversions and Lookups'!$B$76:$AE$78, 3, 0)</f>
        <v>7.5131421559395628</v>
      </c>
      <c r="V161" s="76">
        <f>$R161*HLOOKUP(V$77,'Conversions and Lookups'!$B$76:$AE$78, 3, 0)</f>
        <v>7.2643823215874166</v>
      </c>
      <c r="W161" s="76">
        <f>$R161*HLOOKUP(W$77,'Conversions and Lookups'!$B$76:$AE$78, 3, 0)</f>
        <v>6.1686322732544552</v>
      </c>
      <c r="X161" s="76">
        <f>$R161*HLOOKUP(X$77,'Conversions and Lookups'!$B$76:$AE$78, 3, 0)</f>
        <v>5.7766679921664572</v>
      </c>
      <c r="Y161" s="76">
        <f>$R161*HLOOKUP(Y$77,'Conversions and Lookups'!$B$76:$AE$78, 3, 0)</f>
        <v>5.4149173856141166</v>
      </c>
      <c r="Z161" s="76">
        <f>$R161*HLOOKUP(Z$77,'Conversions and Lookups'!$B$76:$AE$78, 3, 0)</f>
        <v>5.4073140064310365</v>
      </c>
      <c r="AA161" s="76">
        <f>$R161*HLOOKUP(AA$77,'Conversions and Lookups'!$B$76:$AE$78, 3, 0)</f>
        <v>5.3298851114000039</v>
      </c>
      <c r="AB161" s="76">
        <f>$R161*HLOOKUP(AB$77,'Conversions and Lookups'!$B$76:$AE$78, 3, 0)</f>
        <v>4.6160321203876995</v>
      </c>
      <c r="AC161" s="76">
        <f>$R161*HLOOKUP(AC$77,'Conversions and Lookups'!$B$76:$AE$78, 3, 0)</f>
        <v>4.3074080481821628</v>
      </c>
      <c r="AD161" s="76">
        <f>$R161*HLOOKUP(AD$77,'Conversions and Lookups'!$B$76:$AE$78, 3, 0)</f>
        <v>4.2580126112403303</v>
      </c>
      <c r="AE161" s="76">
        <f>$R161*HLOOKUP(AE$77,'Conversions and Lookups'!$B$76:$AE$78, 3, 0)</f>
        <v>4.251218931502212</v>
      </c>
      <c r="AF161" s="76">
        <v>0</v>
      </c>
      <c r="AG161" s="76">
        <v>0</v>
      </c>
      <c r="AH161" s="76">
        <v>0</v>
      </c>
      <c r="AI161" s="76">
        <v>0</v>
      </c>
      <c r="AJ161" s="76">
        <v>0</v>
      </c>
      <c r="AK161" s="76">
        <v>0</v>
      </c>
      <c r="AL161" s="76">
        <v>0</v>
      </c>
      <c r="AM161" s="76">
        <v>0</v>
      </c>
      <c r="AN161" s="76">
        <v>0</v>
      </c>
      <c r="AO161" s="76">
        <v>0</v>
      </c>
      <c r="AP161" s="76">
        <v>0</v>
      </c>
      <c r="AQ161" s="76">
        <v>0</v>
      </c>
      <c r="AR161" s="77">
        <v>0</v>
      </c>
      <c r="AT161" s="82">
        <f>SUMIFS('Conversions and Lookups'!$F$58:$F$72,'Conversions and Lookups'!$G$58:$G$72,'Measure 2'!AT$77,'Conversions and Lookups'!$C$58:$C$72,'Measure 2'!$C161)*'Measure 2'!$F161</f>
        <v>53504.973903041588</v>
      </c>
      <c r="AU161" s="30">
        <f>SUMIFS('Conversions and Lookups'!$F$58:$F$72,'Conversions and Lookups'!$G$58:$G$72,'Measure 2'!AU$77,'Conversions and Lookups'!$C$58:$C$72,'Measure 2'!$C161)*'Measure 2'!$F161</f>
        <v>38407.8588303375</v>
      </c>
      <c r="AV161" s="83">
        <f>SUMIFS('Conversions and Lookups'!$F$58:$F$72,'Conversions and Lookups'!$G$58:$G$72,'Measure 2'!AV$77,'Conversions and Lookups'!$C$58:$C$72,'Measure 2'!$C161)*'Measure 2'!$F161</f>
        <v>1729.1849863009088</v>
      </c>
    </row>
    <row r="162" spans="2:48" x14ac:dyDescent="0.35">
      <c r="B162" s="57" t="s">
        <v>69</v>
      </c>
      <c r="C162" s="58" t="s">
        <v>219</v>
      </c>
      <c r="D162" s="58">
        <v>3</v>
      </c>
      <c r="E162" s="59">
        <v>11084.519142954545</v>
      </c>
      <c r="F162" s="59">
        <f t="shared" si="55"/>
        <v>33253.557428863634</v>
      </c>
      <c r="G162" s="58" t="s">
        <v>279</v>
      </c>
      <c r="H162" s="60">
        <f>VLOOKUP($C162,'Conversions and Lookups'!$B$30:$E$36, 3, 0)</f>
        <v>10.38961038961039</v>
      </c>
      <c r="I162" s="61">
        <f t="shared" si="56"/>
        <v>3200.6549025281247</v>
      </c>
      <c r="J162" s="62">
        <f>I162*VLOOKUP($G162,'Conversions and Lookups'!$B$41:$D$43,3, 0)</f>
        <v>32.678686554812153</v>
      </c>
      <c r="K162" s="63">
        <f>$F162*VLOOKUP($C162,'Conversions and Lookups'!$C$47:$G$52, 4, 0)</f>
        <v>2.7001888632237271E-2</v>
      </c>
      <c r="L162" s="64">
        <f>$F162*VLOOKUP($C162,'Conversions and Lookups'!$C$47:$G$52, 5, 0)</f>
        <v>0.18858092417908565</v>
      </c>
      <c r="M162" s="62">
        <f t="shared" si="57"/>
        <v>32.894269367623473</v>
      </c>
      <c r="N162" s="62">
        <f t="shared" si="58"/>
        <v>164.47134683811737</v>
      </c>
      <c r="O162" s="65">
        <f t="shared" si="59"/>
        <v>394.73123241148164</v>
      </c>
      <c r="P162" s="31"/>
      <c r="Q162" s="75">
        <f>VLOOKUP($C162,'Conversions and Lookups'!$B$30:$E$36, 4, 0)</f>
        <v>0.94046835323991351</v>
      </c>
      <c r="R162" s="30">
        <f t="shared" si="60"/>
        <v>31273.918394492273</v>
      </c>
      <c r="S162">
        <v>0</v>
      </c>
      <c r="T162" s="76">
        <f>$R162*HLOOKUP(T$77,'Conversions and Lookups'!$B$76:$AE$78, 3, 0)</f>
        <v>8.2051799294657695</v>
      </c>
      <c r="U162" s="76">
        <f>$R162*HLOOKUP(U$77,'Conversions and Lookups'!$B$76:$AE$78, 3, 0)</f>
        <v>7.5131421559395628</v>
      </c>
      <c r="V162" s="76">
        <f>$R162*HLOOKUP(V$77,'Conversions and Lookups'!$B$76:$AE$78, 3, 0)</f>
        <v>7.2643823215874166</v>
      </c>
      <c r="W162" s="76">
        <f>$R162*HLOOKUP(W$77,'Conversions and Lookups'!$B$76:$AE$78, 3, 0)</f>
        <v>6.1686322732544552</v>
      </c>
      <c r="X162" s="76">
        <f>$R162*HLOOKUP(X$77,'Conversions and Lookups'!$B$76:$AE$78, 3, 0)</f>
        <v>5.7766679921664572</v>
      </c>
      <c r="Y162" s="76">
        <f>$R162*HLOOKUP(Y$77,'Conversions and Lookups'!$B$76:$AE$78, 3, 0)</f>
        <v>5.4149173856141166</v>
      </c>
      <c r="Z162" s="76">
        <f>$R162*HLOOKUP(Z$77,'Conversions and Lookups'!$B$76:$AE$78, 3, 0)</f>
        <v>5.4073140064310365</v>
      </c>
      <c r="AA162" s="76">
        <f>$R162*HLOOKUP(AA$77,'Conversions and Lookups'!$B$76:$AE$78, 3, 0)</f>
        <v>5.3298851114000039</v>
      </c>
      <c r="AB162" s="76">
        <f>$R162*HLOOKUP(AB$77,'Conversions and Lookups'!$B$76:$AE$78, 3, 0)</f>
        <v>4.6160321203876995</v>
      </c>
      <c r="AC162" s="76">
        <f>$R162*HLOOKUP(AC$77,'Conversions and Lookups'!$B$76:$AE$78, 3, 0)</f>
        <v>4.3074080481821628</v>
      </c>
      <c r="AD162" s="76">
        <f>$R162*HLOOKUP(AD$77,'Conversions and Lookups'!$B$76:$AE$78, 3, 0)</f>
        <v>4.2580126112403303</v>
      </c>
      <c r="AE162" s="76">
        <f>$R162*HLOOKUP(AE$77,'Conversions and Lookups'!$B$76:$AE$78, 3, 0)</f>
        <v>4.251218931502212</v>
      </c>
      <c r="AF162" s="76">
        <v>0</v>
      </c>
      <c r="AG162" s="76">
        <v>0</v>
      </c>
      <c r="AH162" s="76">
        <v>0</v>
      </c>
      <c r="AI162" s="76">
        <v>0</v>
      </c>
      <c r="AJ162" s="76">
        <v>0</v>
      </c>
      <c r="AK162" s="76">
        <v>0</v>
      </c>
      <c r="AL162" s="76">
        <v>0</v>
      </c>
      <c r="AM162" s="76">
        <v>0</v>
      </c>
      <c r="AN162" s="76">
        <v>0</v>
      </c>
      <c r="AO162" s="76">
        <v>0</v>
      </c>
      <c r="AP162" s="76">
        <v>0</v>
      </c>
      <c r="AQ162" s="76">
        <v>0</v>
      </c>
      <c r="AR162" s="77">
        <v>0</v>
      </c>
      <c r="AT162" s="82">
        <f>SUMIFS('Conversions and Lookups'!$F$58:$F$72,'Conversions and Lookups'!$G$58:$G$72,'Measure 2'!AT$77,'Conversions and Lookups'!$C$58:$C$72,'Measure 2'!$C162)*'Measure 2'!$F162</f>
        <v>53504.973903041588</v>
      </c>
      <c r="AU162" s="30">
        <f>SUMIFS('Conversions and Lookups'!$F$58:$F$72,'Conversions and Lookups'!$G$58:$G$72,'Measure 2'!AU$77,'Conversions and Lookups'!$C$58:$C$72,'Measure 2'!$C162)*'Measure 2'!$F162</f>
        <v>38407.8588303375</v>
      </c>
      <c r="AV162" s="83">
        <f>SUMIFS('Conversions and Lookups'!$F$58:$F$72,'Conversions and Lookups'!$G$58:$G$72,'Measure 2'!AV$77,'Conversions and Lookups'!$C$58:$C$72,'Measure 2'!$C162)*'Measure 2'!$F162</f>
        <v>1729.1849863009088</v>
      </c>
    </row>
    <row r="163" spans="2:48" x14ac:dyDescent="0.35">
      <c r="B163" s="57" t="s">
        <v>69</v>
      </c>
      <c r="C163" s="58" t="s">
        <v>219</v>
      </c>
      <c r="D163" s="58">
        <v>1</v>
      </c>
      <c r="E163" s="59">
        <v>11084.519142954545</v>
      </c>
      <c r="F163" s="59">
        <f t="shared" si="55"/>
        <v>11084.519142954545</v>
      </c>
      <c r="G163" s="58" t="s">
        <v>279</v>
      </c>
      <c r="H163" s="60">
        <f>VLOOKUP($C163,'Conversions and Lookups'!$B$30:$E$36, 3, 0)</f>
        <v>10.38961038961039</v>
      </c>
      <c r="I163" s="61">
        <f t="shared" si="56"/>
        <v>1066.884967509375</v>
      </c>
      <c r="J163" s="62">
        <f>I163*VLOOKUP($G163,'Conversions and Lookups'!$B$41:$D$43,3, 0)</f>
        <v>10.892895518270718</v>
      </c>
      <c r="K163" s="63">
        <f>$F163*VLOOKUP($C163,'Conversions and Lookups'!$C$47:$G$52, 4, 0)</f>
        <v>9.0006295440790904E-3</v>
      </c>
      <c r="L163" s="64">
        <f>$F163*VLOOKUP($C163,'Conversions and Lookups'!$C$47:$G$52, 5, 0)</f>
        <v>6.2860308059695225E-2</v>
      </c>
      <c r="M163" s="62">
        <f t="shared" si="57"/>
        <v>10.964756455874493</v>
      </c>
      <c r="N163" s="62">
        <f t="shared" si="58"/>
        <v>54.823782279372466</v>
      </c>
      <c r="O163" s="65">
        <f t="shared" si="59"/>
        <v>131.57707747049392</v>
      </c>
      <c r="P163" s="31"/>
      <c r="Q163" s="75">
        <f>VLOOKUP($C163,'Conversions and Lookups'!$B$30:$E$36, 4, 0)</f>
        <v>0.94046835323991351</v>
      </c>
      <c r="R163" s="30">
        <f t="shared" si="60"/>
        <v>10424.639464830758</v>
      </c>
      <c r="S163">
        <v>0</v>
      </c>
      <c r="T163" s="76">
        <f>$R163*HLOOKUP(T$77,'Conversions and Lookups'!$B$76:$AE$78, 3, 0)</f>
        <v>2.7350599764885901</v>
      </c>
      <c r="U163" s="76">
        <f>$R163*HLOOKUP(U$77,'Conversions and Lookups'!$B$76:$AE$78, 3, 0)</f>
        <v>2.5043807186465212</v>
      </c>
      <c r="V163" s="76">
        <f>$R163*HLOOKUP(V$77,'Conversions and Lookups'!$B$76:$AE$78, 3, 0)</f>
        <v>2.421460773862472</v>
      </c>
      <c r="W163" s="76">
        <f>$R163*HLOOKUP(W$77,'Conversions and Lookups'!$B$76:$AE$78, 3, 0)</f>
        <v>2.0562107577514848</v>
      </c>
      <c r="X163" s="76">
        <f>$R163*HLOOKUP(X$77,'Conversions and Lookups'!$B$76:$AE$78, 3, 0)</f>
        <v>1.925555997388819</v>
      </c>
      <c r="Y163" s="76">
        <f>$R163*HLOOKUP(Y$77,'Conversions and Lookups'!$B$76:$AE$78, 3, 0)</f>
        <v>1.8049724618713723</v>
      </c>
      <c r="Z163" s="76">
        <f>$R163*HLOOKUP(Z$77,'Conversions and Lookups'!$B$76:$AE$78, 3, 0)</f>
        <v>1.8024380021436788</v>
      </c>
      <c r="AA163" s="76">
        <f>$R163*HLOOKUP(AA$77,'Conversions and Lookups'!$B$76:$AE$78, 3, 0)</f>
        <v>1.7766283704666679</v>
      </c>
      <c r="AB163" s="76">
        <f>$R163*HLOOKUP(AB$77,'Conversions and Lookups'!$B$76:$AE$78, 3, 0)</f>
        <v>1.5386773734625665</v>
      </c>
      <c r="AC163" s="76">
        <f>$R163*HLOOKUP(AC$77,'Conversions and Lookups'!$B$76:$AE$78, 3, 0)</f>
        <v>1.4358026827273878</v>
      </c>
      <c r="AD163" s="76">
        <f>$R163*HLOOKUP(AD$77,'Conversions and Lookups'!$B$76:$AE$78, 3, 0)</f>
        <v>1.4193375370801102</v>
      </c>
      <c r="AE163" s="76">
        <f>$R163*HLOOKUP(AE$77,'Conversions and Lookups'!$B$76:$AE$78, 3, 0)</f>
        <v>1.4170729771674042</v>
      </c>
      <c r="AF163" s="76">
        <v>0</v>
      </c>
      <c r="AG163" s="76">
        <v>0</v>
      </c>
      <c r="AH163" s="76">
        <v>0</v>
      </c>
      <c r="AI163" s="76">
        <v>0</v>
      </c>
      <c r="AJ163" s="76">
        <v>0</v>
      </c>
      <c r="AK163" s="76">
        <v>0</v>
      </c>
      <c r="AL163" s="76">
        <v>0</v>
      </c>
      <c r="AM163" s="76">
        <v>0</v>
      </c>
      <c r="AN163" s="76">
        <v>0</v>
      </c>
      <c r="AO163" s="76">
        <v>0</v>
      </c>
      <c r="AP163" s="76">
        <v>0</v>
      </c>
      <c r="AQ163" s="76">
        <v>0</v>
      </c>
      <c r="AR163" s="77">
        <v>0</v>
      </c>
      <c r="AT163" s="82">
        <f>SUMIFS('Conversions and Lookups'!$F$58:$F$72,'Conversions and Lookups'!$G$58:$G$72,'Measure 2'!AT$77,'Conversions and Lookups'!$C$58:$C$72,'Measure 2'!$C163)*'Measure 2'!$F163</f>
        <v>17834.991301013863</v>
      </c>
      <c r="AU163" s="30">
        <f>SUMIFS('Conversions and Lookups'!$F$58:$F$72,'Conversions and Lookups'!$G$58:$G$72,'Measure 2'!AU$77,'Conversions and Lookups'!$C$58:$C$72,'Measure 2'!$C163)*'Measure 2'!$F163</f>
        <v>12802.619610112499</v>
      </c>
      <c r="AV163" s="83">
        <f>SUMIFS('Conversions and Lookups'!$F$58:$F$72,'Conversions and Lookups'!$G$58:$G$72,'Measure 2'!AV$77,'Conversions and Lookups'!$C$58:$C$72,'Measure 2'!$C163)*'Measure 2'!$F163</f>
        <v>576.39499543363627</v>
      </c>
    </row>
    <row r="164" spans="2:48" x14ac:dyDescent="0.35">
      <c r="B164" s="57" t="s">
        <v>69</v>
      </c>
      <c r="C164" s="58" t="s">
        <v>219</v>
      </c>
      <c r="D164" s="58">
        <v>1</v>
      </c>
      <c r="E164" s="59">
        <v>11084.519142954545</v>
      </c>
      <c r="F164" s="59">
        <f t="shared" si="55"/>
        <v>11084.519142954545</v>
      </c>
      <c r="G164" s="58" t="s">
        <v>279</v>
      </c>
      <c r="H164" s="60">
        <f>VLOOKUP($C164,'Conversions and Lookups'!$B$30:$E$36, 3, 0)</f>
        <v>10.38961038961039</v>
      </c>
      <c r="I164" s="61">
        <f t="shared" si="56"/>
        <v>1066.884967509375</v>
      </c>
      <c r="J164" s="62">
        <f>I164*VLOOKUP($G164,'Conversions and Lookups'!$B$41:$D$43,3, 0)</f>
        <v>10.892895518270718</v>
      </c>
      <c r="K164" s="63">
        <f>$F164*VLOOKUP($C164,'Conversions and Lookups'!$C$47:$G$52, 4, 0)</f>
        <v>9.0006295440790904E-3</v>
      </c>
      <c r="L164" s="64">
        <f>$F164*VLOOKUP($C164,'Conversions and Lookups'!$C$47:$G$52, 5, 0)</f>
        <v>6.2860308059695225E-2</v>
      </c>
      <c r="M164" s="62">
        <f t="shared" si="57"/>
        <v>10.964756455874493</v>
      </c>
      <c r="N164" s="62">
        <f t="shared" si="58"/>
        <v>54.823782279372466</v>
      </c>
      <c r="O164" s="65">
        <f t="shared" si="59"/>
        <v>131.57707747049392</v>
      </c>
      <c r="P164" s="31"/>
      <c r="Q164" s="75">
        <f>VLOOKUP($C164,'Conversions and Lookups'!$B$30:$E$36, 4, 0)</f>
        <v>0.94046835323991351</v>
      </c>
      <c r="R164" s="30">
        <f t="shared" si="60"/>
        <v>10424.639464830758</v>
      </c>
      <c r="S164">
        <v>0</v>
      </c>
      <c r="T164" s="76">
        <f>$R164*HLOOKUP(T$77,'Conversions and Lookups'!$B$76:$AE$78, 3, 0)</f>
        <v>2.7350599764885901</v>
      </c>
      <c r="U164" s="76">
        <f>$R164*HLOOKUP(U$77,'Conversions and Lookups'!$B$76:$AE$78, 3, 0)</f>
        <v>2.5043807186465212</v>
      </c>
      <c r="V164" s="76">
        <f>$R164*HLOOKUP(V$77,'Conversions and Lookups'!$B$76:$AE$78, 3, 0)</f>
        <v>2.421460773862472</v>
      </c>
      <c r="W164" s="76">
        <f>$R164*HLOOKUP(W$77,'Conversions and Lookups'!$B$76:$AE$78, 3, 0)</f>
        <v>2.0562107577514848</v>
      </c>
      <c r="X164" s="76">
        <f>$R164*HLOOKUP(X$77,'Conversions and Lookups'!$B$76:$AE$78, 3, 0)</f>
        <v>1.925555997388819</v>
      </c>
      <c r="Y164" s="76">
        <f>$R164*HLOOKUP(Y$77,'Conversions and Lookups'!$B$76:$AE$78, 3, 0)</f>
        <v>1.8049724618713723</v>
      </c>
      <c r="Z164" s="76">
        <f>$R164*HLOOKUP(Z$77,'Conversions and Lookups'!$B$76:$AE$78, 3, 0)</f>
        <v>1.8024380021436788</v>
      </c>
      <c r="AA164" s="76">
        <f>$R164*HLOOKUP(AA$77,'Conversions and Lookups'!$B$76:$AE$78, 3, 0)</f>
        <v>1.7766283704666679</v>
      </c>
      <c r="AB164" s="76">
        <f>$R164*HLOOKUP(AB$77,'Conversions and Lookups'!$B$76:$AE$78, 3, 0)</f>
        <v>1.5386773734625665</v>
      </c>
      <c r="AC164" s="76">
        <f>$R164*HLOOKUP(AC$77,'Conversions and Lookups'!$B$76:$AE$78, 3, 0)</f>
        <v>1.4358026827273878</v>
      </c>
      <c r="AD164" s="76">
        <f>$R164*HLOOKUP(AD$77,'Conversions and Lookups'!$B$76:$AE$78, 3, 0)</f>
        <v>1.4193375370801102</v>
      </c>
      <c r="AE164" s="76">
        <f>$R164*HLOOKUP(AE$77,'Conversions and Lookups'!$B$76:$AE$78, 3, 0)</f>
        <v>1.4170729771674042</v>
      </c>
      <c r="AF164" s="76">
        <v>0</v>
      </c>
      <c r="AG164" s="76">
        <v>0</v>
      </c>
      <c r="AH164" s="76">
        <v>0</v>
      </c>
      <c r="AI164" s="76">
        <v>0</v>
      </c>
      <c r="AJ164" s="76">
        <v>0</v>
      </c>
      <c r="AK164" s="76">
        <v>0</v>
      </c>
      <c r="AL164" s="76">
        <v>0</v>
      </c>
      <c r="AM164" s="76">
        <v>0</v>
      </c>
      <c r="AN164" s="76">
        <v>0</v>
      </c>
      <c r="AO164" s="76">
        <v>0</v>
      </c>
      <c r="AP164" s="76">
        <v>0</v>
      </c>
      <c r="AQ164" s="76">
        <v>0</v>
      </c>
      <c r="AR164" s="77">
        <v>0</v>
      </c>
      <c r="AT164" s="82">
        <f>SUMIFS('Conversions and Lookups'!$F$58:$F$72,'Conversions and Lookups'!$G$58:$G$72,'Measure 2'!AT$77,'Conversions and Lookups'!$C$58:$C$72,'Measure 2'!$C164)*'Measure 2'!$F164</f>
        <v>17834.991301013863</v>
      </c>
      <c r="AU164" s="30">
        <f>SUMIFS('Conversions and Lookups'!$F$58:$F$72,'Conversions and Lookups'!$G$58:$G$72,'Measure 2'!AU$77,'Conversions and Lookups'!$C$58:$C$72,'Measure 2'!$C164)*'Measure 2'!$F164</f>
        <v>12802.619610112499</v>
      </c>
      <c r="AV164" s="83">
        <f>SUMIFS('Conversions and Lookups'!$F$58:$F$72,'Conversions and Lookups'!$G$58:$G$72,'Measure 2'!AV$77,'Conversions and Lookups'!$C$58:$C$72,'Measure 2'!$C164)*'Measure 2'!$F164</f>
        <v>576.39499543363627</v>
      </c>
    </row>
    <row r="165" spans="2:48" x14ac:dyDescent="0.35">
      <c r="B165" s="57" t="s">
        <v>69</v>
      </c>
      <c r="C165" s="58" t="s">
        <v>219</v>
      </c>
      <c r="D165" s="58">
        <v>1</v>
      </c>
      <c r="E165" s="59">
        <v>11084.519142954545</v>
      </c>
      <c r="F165" s="59">
        <f t="shared" si="55"/>
        <v>11084.519142954545</v>
      </c>
      <c r="G165" s="58" t="s">
        <v>279</v>
      </c>
      <c r="H165" s="60">
        <f>VLOOKUP($C165,'Conversions and Lookups'!$B$30:$E$36, 3, 0)</f>
        <v>10.38961038961039</v>
      </c>
      <c r="I165" s="61">
        <f t="shared" si="56"/>
        <v>1066.884967509375</v>
      </c>
      <c r="J165" s="62">
        <f>I165*VLOOKUP($G165,'Conversions and Lookups'!$B$41:$D$43,3, 0)</f>
        <v>10.892895518270718</v>
      </c>
      <c r="K165" s="63">
        <f>$F165*VLOOKUP($C165,'Conversions and Lookups'!$C$47:$G$52, 4, 0)</f>
        <v>9.0006295440790904E-3</v>
      </c>
      <c r="L165" s="64">
        <f>$F165*VLOOKUP($C165,'Conversions and Lookups'!$C$47:$G$52, 5, 0)</f>
        <v>6.2860308059695225E-2</v>
      </c>
      <c r="M165" s="62">
        <f t="shared" si="57"/>
        <v>10.964756455874493</v>
      </c>
      <c r="N165" s="62">
        <f t="shared" si="58"/>
        <v>54.823782279372466</v>
      </c>
      <c r="O165" s="65">
        <f t="shared" si="59"/>
        <v>131.57707747049392</v>
      </c>
      <c r="P165" s="31"/>
      <c r="Q165" s="75">
        <f>VLOOKUP($C165,'Conversions and Lookups'!$B$30:$E$36, 4, 0)</f>
        <v>0.94046835323991351</v>
      </c>
      <c r="R165" s="30">
        <f t="shared" si="60"/>
        <v>10424.639464830758</v>
      </c>
      <c r="S165">
        <v>0</v>
      </c>
      <c r="T165" s="76">
        <f>$R165*HLOOKUP(T$77,'Conversions and Lookups'!$B$76:$AE$78, 3, 0)</f>
        <v>2.7350599764885901</v>
      </c>
      <c r="U165" s="76">
        <f>$R165*HLOOKUP(U$77,'Conversions and Lookups'!$B$76:$AE$78, 3, 0)</f>
        <v>2.5043807186465212</v>
      </c>
      <c r="V165" s="76">
        <f>$R165*HLOOKUP(V$77,'Conversions and Lookups'!$B$76:$AE$78, 3, 0)</f>
        <v>2.421460773862472</v>
      </c>
      <c r="W165" s="76">
        <f>$R165*HLOOKUP(W$77,'Conversions and Lookups'!$B$76:$AE$78, 3, 0)</f>
        <v>2.0562107577514848</v>
      </c>
      <c r="X165" s="76">
        <f>$R165*HLOOKUP(X$77,'Conversions and Lookups'!$B$76:$AE$78, 3, 0)</f>
        <v>1.925555997388819</v>
      </c>
      <c r="Y165" s="76">
        <f>$R165*HLOOKUP(Y$77,'Conversions and Lookups'!$B$76:$AE$78, 3, 0)</f>
        <v>1.8049724618713723</v>
      </c>
      <c r="Z165" s="76">
        <f>$R165*HLOOKUP(Z$77,'Conversions and Lookups'!$B$76:$AE$78, 3, 0)</f>
        <v>1.8024380021436788</v>
      </c>
      <c r="AA165" s="76">
        <f>$R165*HLOOKUP(AA$77,'Conversions and Lookups'!$B$76:$AE$78, 3, 0)</f>
        <v>1.7766283704666679</v>
      </c>
      <c r="AB165" s="76">
        <f>$R165*HLOOKUP(AB$77,'Conversions and Lookups'!$B$76:$AE$78, 3, 0)</f>
        <v>1.5386773734625665</v>
      </c>
      <c r="AC165" s="76">
        <f>$R165*HLOOKUP(AC$77,'Conversions and Lookups'!$B$76:$AE$78, 3, 0)</f>
        <v>1.4358026827273878</v>
      </c>
      <c r="AD165" s="76">
        <f>$R165*HLOOKUP(AD$77,'Conversions and Lookups'!$B$76:$AE$78, 3, 0)</f>
        <v>1.4193375370801102</v>
      </c>
      <c r="AE165" s="76">
        <f>$R165*HLOOKUP(AE$77,'Conversions and Lookups'!$B$76:$AE$78, 3, 0)</f>
        <v>1.4170729771674042</v>
      </c>
      <c r="AF165" s="76">
        <v>0</v>
      </c>
      <c r="AG165" s="76">
        <v>0</v>
      </c>
      <c r="AH165" s="76">
        <v>0</v>
      </c>
      <c r="AI165" s="76">
        <v>0</v>
      </c>
      <c r="AJ165" s="76">
        <v>0</v>
      </c>
      <c r="AK165" s="76">
        <v>0</v>
      </c>
      <c r="AL165" s="76">
        <v>0</v>
      </c>
      <c r="AM165" s="76">
        <v>0</v>
      </c>
      <c r="AN165" s="76">
        <v>0</v>
      </c>
      <c r="AO165" s="76">
        <v>0</v>
      </c>
      <c r="AP165" s="76">
        <v>0</v>
      </c>
      <c r="AQ165" s="76">
        <v>0</v>
      </c>
      <c r="AR165" s="77">
        <v>0</v>
      </c>
      <c r="AT165" s="82">
        <f>SUMIFS('Conversions and Lookups'!$F$58:$F$72,'Conversions and Lookups'!$G$58:$G$72,'Measure 2'!AT$77,'Conversions and Lookups'!$C$58:$C$72,'Measure 2'!$C165)*'Measure 2'!$F165</f>
        <v>17834.991301013863</v>
      </c>
      <c r="AU165" s="30">
        <f>SUMIFS('Conversions and Lookups'!$F$58:$F$72,'Conversions and Lookups'!$G$58:$G$72,'Measure 2'!AU$77,'Conversions and Lookups'!$C$58:$C$72,'Measure 2'!$C165)*'Measure 2'!$F165</f>
        <v>12802.619610112499</v>
      </c>
      <c r="AV165" s="83">
        <f>SUMIFS('Conversions and Lookups'!$F$58:$F$72,'Conversions and Lookups'!$G$58:$G$72,'Measure 2'!AV$77,'Conversions and Lookups'!$C$58:$C$72,'Measure 2'!$C165)*'Measure 2'!$F165</f>
        <v>576.39499543363627</v>
      </c>
    </row>
    <row r="166" spans="2:48" x14ac:dyDescent="0.35">
      <c r="B166" s="57" t="s">
        <v>69</v>
      </c>
      <c r="C166" s="58" t="s">
        <v>219</v>
      </c>
      <c r="D166" s="58">
        <v>1</v>
      </c>
      <c r="E166" s="59">
        <v>11084.519142954545</v>
      </c>
      <c r="F166" s="59">
        <f t="shared" si="55"/>
        <v>11084.519142954545</v>
      </c>
      <c r="G166" s="58" t="s">
        <v>279</v>
      </c>
      <c r="H166" s="60">
        <f>VLOOKUP($C166,'Conversions and Lookups'!$B$30:$E$36, 3, 0)</f>
        <v>10.38961038961039</v>
      </c>
      <c r="I166" s="61">
        <f t="shared" si="56"/>
        <v>1066.884967509375</v>
      </c>
      <c r="J166" s="62">
        <f>I166*VLOOKUP($G166,'Conversions and Lookups'!$B$41:$D$43,3, 0)</f>
        <v>10.892895518270718</v>
      </c>
      <c r="K166" s="63">
        <f>$F166*VLOOKUP($C166,'Conversions and Lookups'!$C$47:$G$52, 4, 0)</f>
        <v>9.0006295440790904E-3</v>
      </c>
      <c r="L166" s="64">
        <f>$F166*VLOOKUP($C166,'Conversions and Lookups'!$C$47:$G$52, 5, 0)</f>
        <v>6.2860308059695225E-2</v>
      </c>
      <c r="M166" s="62">
        <f t="shared" si="57"/>
        <v>10.964756455874493</v>
      </c>
      <c r="N166" s="62">
        <f t="shared" si="58"/>
        <v>54.823782279372466</v>
      </c>
      <c r="O166" s="65">
        <f t="shared" si="59"/>
        <v>131.57707747049392</v>
      </c>
      <c r="P166" s="31"/>
      <c r="Q166" s="75">
        <f>VLOOKUP($C166,'Conversions and Lookups'!$B$30:$E$36, 4, 0)</f>
        <v>0.94046835323991351</v>
      </c>
      <c r="R166" s="30">
        <f t="shared" si="60"/>
        <v>10424.639464830758</v>
      </c>
      <c r="S166">
        <v>0</v>
      </c>
      <c r="T166" s="76">
        <f>$R166*HLOOKUP(T$77,'Conversions and Lookups'!$B$76:$AE$78, 3, 0)</f>
        <v>2.7350599764885901</v>
      </c>
      <c r="U166" s="76">
        <f>$R166*HLOOKUP(U$77,'Conversions and Lookups'!$B$76:$AE$78, 3, 0)</f>
        <v>2.5043807186465212</v>
      </c>
      <c r="V166" s="76">
        <f>$R166*HLOOKUP(V$77,'Conversions and Lookups'!$B$76:$AE$78, 3, 0)</f>
        <v>2.421460773862472</v>
      </c>
      <c r="W166" s="76">
        <f>$R166*HLOOKUP(W$77,'Conversions and Lookups'!$B$76:$AE$78, 3, 0)</f>
        <v>2.0562107577514848</v>
      </c>
      <c r="X166" s="76">
        <f>$R166*HLOOKUP(X$77,'Conversions and Lookups'!$B$76:$AE$78, 3, 0)</f>
        <v>1.925555997388819</v>
      </c>
      <c r="Y166" s="76">
        <f>$R166*HLOOKUP(Y$77,'Conversions and Lookups'!$B$76:$AE$78, 3, 0)</f>
        <v>1.8049724618713723</v>
      </c>
      <c r="Z166" s="76">
        <f>$R166*HLOOKUP(Z$77,'Conversions and Lookups'!$B$76:$AE$78, 3, 0)</f>
        <v>1.8024380021436788</v>
      </c>
      <c r="AA166" s="76">
        <f>$R166*HLOOKUP(AA$77,'Conversions and Lookups'!$B$76:$AE$78, 3, 0)</f>
        <v>1.7766283704666679</v>
      </c>
      <c r="AB166" s="76">
        <f>$R166*HLOOKUP(AB$77,'Conversions and Lookups'!$B$76:$AE$78, 3, 0)</f>
        <v>1.5386773734625665</v>
      </c>
      <c r="AC166" s="76">
        <f>$R166*HLOOKUP(AC$77,'Conversions and Lookups'!$B$76:$AE$78, 3, 0)</f>
        <v>1.4358026827273878</v>
      </c>
      <c r="AD166" s="76">
        <f>$R166*HLOOKUP(AD$77,'Conversions and Lookups'!$B$76:$AE$78, 3, 0)</f>
        <v>1.4193375370801102</v>
      </c>
      <c r="AE166" s="76">
        <f>$R166*HLOOKUP(AE$77,'Conversions and Lookups'!$B$76:$AE$78, 3, 0)</f>
        <v>1.4170729771674042</v>
      </c>
      <c r="AF166" s="76">
        <v>0</v>
      </c>
      <c r="AG166" s="76">
        <v>0</v>
      </c>
      <c r="AH166" s="76">
        <v>0</v>
      </c>
      <c r="AI166" s="76">
        <v>0</v>
      </c>
      <c r="AJ166" s="76">
        <v>0</v>
      </c>
      <c r="AK166" s="76">
        <v>0</v>
      </c>
      <c r="AL166" s="76">
        <v>0</v>
      </c>
      <c r="AM166" s="76">
        <v>0</v>
      </c>
      <c r="AN166" s="76">
        <v>0</v>
      </c>
      <c r="AO166" s="76">
        <v>0</v>
      </c>
      <c r="AP166" s="76">
        <v>0</v>
      </c>
      <c r="AQ166" s="76">
        <v>0</v>
      </c>
      <c r="AR166" s="77">
        <v>0</v>
      </c>
      <c r="AT166" s="82">
        <f>SUMIFS('Conversions and Lookups'!$F$58:$F$72,'Conversions and Lookups'!$G$58:$G$72,'Measure 2'!AT$77,'Conversions and Lookups'!$C$58:$C$72,'Measure 2'!$C166)*'Measure 2'!$F166</f>
        <v>17834.991301013863</v>
      </c>
      <c r="AU166" s="30">
        <f>SUMIFS('Conversions and Lookups'!$F$58:$F$72,'Conversions and Lookups'!$G$58:$G$72,'Measure 2'!AU$77,'Conversions and Lookups'!$C$58:$C$72,'Measure 2'!$C166)*'Measure 2'!$F166</f>
        <v>12802.619610112499</v>
      </c>
      <c r="AV166" s="83">
        <f>SUMIFS('Conversions and Lookups'!$F$58:$F$72,'Conversions and Lookups'!$G$58:$G$72,'Measure 2'!AV$77,'Conversions and Lookups'!$C$58:$C$72,'Measure 2'!$C166)*'Measure 2'!$F166</f>
        <v>576.39499543363627</v>
      </c>
    </row>
    <row r="167" spans="2:48" x14ac:dyDescent="0.35">
      <c r="B167" s="57" t="s">
        <v>69</v>
      </c>
      <c r="C167" s="58" t="s">
        <v>219</v>
      </c>
      <c r="D167" s="58">
        <v>1</v>
      </c>
      <c r="E167" s="59">
        <v>11084.519142954545</v>
      </c>
      <c r="F167" s="59">
        <f t="shared" si="55"/>
        <v>11084.519142954545</v>
      </c>
      <c r="G167" s="58" t="s">
        <v>279</v>
      </c>
      <c r="H167" s="60">
        <f>VLOOKUP($C167,'Conversions and Lookups'!$B$30:$E$36, 3, 0)</f>
        <v>10.38961038961039</v>
      </c>
      <c r="I167" s="61">
        <f t="shared" si="56"/>
        <v>1066.884967509375</v>
      </c>
      <c r="J167" s="62">
        <f>I167*VLOOKUP($G167,'Conversions and Lookups'!$B$41:$D$43,3, 0)</f>
        <v>10.892895518270718</v>
      </c>
      <c r="K167" s="63">
        <f>$F167*VLOOKUP($C167,'Conversions and Lookups'!$C$47:$G$52, 4, 0)</f>
        <v>9.0006295440790904E-3</v>
      </c>
      <c r="L167" s="64">
        <f>$F167*VLOOKUP($C167,'Conversions and Lookups'!$C$47:$G$52, 5, 0)</f>
        <v>6.2860308059695225E-2</v>
      </c>
      <c r="M167" s="62">
        <f t="shared" si="57"/>
        <v>10.964756455874493</v>
      </c>
      <c r="N167" s="62">
        <f t="shared" si="58"/>
        <v>54.823782279372466</v>
      </c>
      <c r="O167" s="65">
        <f t="shared" si="59"/>
        <v>131.57707747049392</v>
      </c>
      <c r="P167" s="31"/>
      <c r="Q167" s="75">
        <f>VLOOKUP($C167,'Conversions and Lookups'!$B$30:$E$36, 4, 0)</f>
        <v>0.94046835323991351</v>
      </c>
      <c r="R167" s="30">
        <f t="shared" si="60"/>
        <v>10424.639464830758</v>
      </c>
      <c r="S167">
        <v>0</v>
      </c>
      <c r="T167" s="76">
        <f>$R167*HLOOKUP(T$77,'Conversions and Lookups'!$B$76:$AE$78, 3, 0)</f>
        <v>2.7350599764885901</v>
      </c>
      <c r="U167" s="76">
        <f>$R167*HLOOKUP(U$77,'Conversions and Lookups'!$B$76:$AE$78, 3, 0)</f>
        <v>2.5043807186465212</v>
      </c>
      <c r="V167" s="76">
        <f>$R167*HLOOKUP(V$77,'Conversions and Lookups'!$B$76:$AE$78, 3, 0)</f>
        <v>2.421460773862472</v>
      </c>
      <c r="W167" s="76">
        <f>$R167*HLOOKUP(W$77,'Conversions and Lookups'!$B$76:$AE$78, 3, 0)</f>
        <v>2.0562107577514848</v>
      </c>
      <c r="X167" s="76">
        <f>$R167*HLOOKUP(X$77,'Conversions and Lookups'!$B$76:$AE$78, 3, 0)</f>
        <v>1.925555997388819</v>
      </c>
      <c r="Y167" s="76">
        <f>$R167*HLOOKUP(Y$77,'Conversions and Lookups'!$B$76:$AE$78, 3, 0)</f>
        <v>1.8049724618713723</v>
      </c>
      <c r="Z167" s="76">
        <f>$R167*HLOOKUP(Z$77,'Conversions and Lookups'!$B$76:$AE$78, 3, 0)</f>
        <v>1.8024380021436788</v>
      </c>
      <c r="AA167" s="76">
        <f>$R167*HLOOKUP(AA$77,'Conversions and Lookups'!$B$76:$AE$78, 3, 0)</f>
        <v>1.7766283704666679</v>
      </c>
      <c r="AB167" s="76">
        <f>$R167*HLOOKUP(AB$77,'Conversions and Lookups'!$B$76:$AE$78, 3, 0)</f>
        <v>1.5386773734625665</v>
      </c>
      <c r="AC167" s="76">
        <f>$R167*HLOOKUP(AC$77,'Conversions and Lookups'!$B$76:$AE$78, 3, 0)</f>
        <v>1.4358026827273878</v>
      </c>
      <c r="AD167" s="76">
        <f>$R167*HLOOKUP(AD$77,'Conversions and Lookups'!$B$76:$AE$78, 3, 0)</f>
        <v>1.4193375370801102</v>
      </c>
      <c r="AE167" s="76">
        <f>$R167*HLOOKUP(AE$77,'Conversions and Lookups'!$B$76:$AE$78, 3, 0)</f>
        <v>1.4170729771674042</v>
      </c>
      <c r="AF167" s="76">
        <v>0</v>
      </c>
      <c r="AG167" s="76">
        <v>0</v>
      </c>
      <c r="AH167" s="76">
        <v>0</v>
      </c>
      <c r="AI167" s="76">
        <v>0</v>
      </c>
      <c r="AJ167" s="76">
        <v>0</v>
      </c>
      <c r="AK167" s="76">
        <v>0</v>
      </c>
      <c r="AL167" s="76">
        <v>0</v>
      </c>
      <c r="AM167" s="76">
        <v>0</v>
      </c>
      <c r="AN167" s="76">
        <v>0</v>
      </c>
      <c r="AO167" s="76">
        <v>0</v>
      </c>
      <c r="AP167" s="76">
        <v>0</v>
      </c>
      <c r="AQ167" s="76">
        <v>0</v>
      </c>
      <c r="AR167" s="77">
        <v>0</v>
      </c>
      <c r="AT167" s="82">
        <f>SUMIFS('Conversions and Lookups'!$F$58:$F$72,'Conversions and Lookups'!$G$58:$G$72,'Measure 2'!AT$77,'Conversions and Lookups'!$C$58:$C$72,'Measure 2'!$C167)*'Measure 2'!$F167</f>
        <v>17834.991301013863</v>
      </c>
      <c r="AU167" s="30">
        <f>SUMIFS('Conversions and Lookups'!$F$58:$F$72,'Conversions and Lookups'!$G$58:$G$72,'Measure 2'!AU$77,'Conversions and Lookups'!$C$58:$C$72,'Measure 2'!$C167)*'Measure 2'!$F167</f>
        <v>12802.619610112499</v>
      </c>
      <c r="AV167" s="83">
        <f>SUMIFS('Conversions and Lookups'!$F$58:$F$72,'Conversions and Lookups'!$G$58:$G$72,'Measure 2'!AV$77,'Conversions and Lookups'!$C$58:$C$72,'Measure 2'!$C167)*'Measure 2'!$F167</f>
        <v>576.39499543363627</v>
      </c>
    </row>
    <row r="168" spans="2:48" x14ac:dyDescent="0.35">
      <c r="B168" s="57" t="s">
        <v>69</v>
      </c>
      <c r="C168" s="58" t="s">
        <v>212</v>
      </c>
      <c r="D168" s="58">
        <v>2</v>
      </c>
      <c r="E168" s="59">
        <v>8646.184172570689</v>
      </c>
      <c r="F168" s="59">
        <f t="shared" si="55"/>
        <v>17292.368345141378</v>
      </c>
      <c r="G168" s="58" t="s">
        <v>278</v>
      </c>
      <c r="H168" s="60">
        <f>VLOOKUP($C168,'Conversions and Lookups'!$B$30:$E$36, 3, 0)</f>
        <v>27.5</v>
      </c>
      <c r="I168" s="61">
        <f t="shared" si="56"/>
        <v>628.81339436877738</v>
      </c>
      <c r="J168" s="62">
        <f>I168*VLOOKUP($G168,'Conversions and Lookups'!$B$41:$D$43,3, 0)</f>
        <v>5.5209816025578649</v>
      </c>
      <c r="K168" s="63">
        <f>$F168*VLOOKUP($C168,'Conversions and Lookups'!$C$47:$G$52, 4, 0)</f>
        <v>2.469350199686189E-3</v>
      </c>
      <c r="L168" s="64">
        <f>$F168*VLOOKUP($C168,'Conversions and Lookups'!$C$47:$G$52, 5, 0)</f>
        <v>6.4154686560474504E-3</v>
      </c>
      <c r="M168" s="62">
        <f t="shared" si="57"/>
        <v>5.5298664214135984</v>
      </c>
      <c r="N168" s="62">
        <f t="shared" si="58"/>
        <v>27.649332107067991</v>
      </c>
      <c r="O168" s="65">
        <f t="shared" si="59"/>
        <v>66.358397056963184</v>
      </c>
      <c r="P168" s="31"/>
      <c r="Q168" s="75">
        <f>VLOOKUP($C168,'Conversions and Lookups'!$B$30:$E$36, 4, 0)</f>
        <v>0.33428046130703665</v>
      </c>
      <c r="R168" s="30">
        <f t="shared" si="60"/>
        <v>5780.5008675050576</v>
      </c>
      <c r="S168">
        <v>0</v>
      </c>
      <c r="T168" s="76">
        <f>$R168*HLOOKUP(T$77,'Conversions and Lookups'!$B$76:$AE$78, 3, 0)</f>
        <v>1.5166008014098098</v>
      </c>
      <c r="U168" s="76">
        <f>$R168*HLOOKUP(U$77,'Conversions and Lookups'!$B$76:$AE$78, 3, 0)</f>
        <v>1.3886883057719426</v>
      </c>
      <c r="V168" s="76">
        <f>$R168*HLOOKUP(V$77,'Conversions and Lookups'!$B$76:$AE$78, 3, 0)</f>
        <v>1.3427088918675358</v>
      </c>
      <c r="W168" s="76">
        <f>$R168*HLOOKUP(W$77,'Conversions and Lookups'!$B$76:$AE$78, 3, 0)</f>
        <v>1.140176416561439</v>
      </c>
      <c r="X168" s="76">
        <f>$R168*HLOOKUP(X$77,'Conversions and Lookups'!$B$76:$AE$78, 3, 0)</f>
        <v>1.0677278721136414</v>
      </c>
      <c r="Y168" s="76">
        <f>$R168*HLOOKUP(Y$77,'Conversions and Lookups'!$B$76:$AE$78, 3, 0)</f>
        <v>1.000863858828867</v>
      </c>
      <c r="Z168" s="76">
        <f>$R168*HLOOKUP(Z$77,'Conversions and Lookups'!$B$76:$AE$78, 3, 0)</f>
        <v>0.99945849160211397</v>
      </c>
      <c r="AA168" s="76">
        <f>$R168*HLOOKUP(AA$77,'Conversions and Lookups'!$B$76:$AE$78, 3, 0)</f>
        <v>0.9851469560519136</v>
      </c>
      <c r="AB168" s="76">
        <f>$R168*HLOOKUP(AB$77,'Conversions and Lookups'!$B$76:$AE$78, 3, 0)</f>
        <v>0.85320225434339925</v>
      </c>
      <c r="AC168" s="76">
        <f>$R168*HLOOKUP(AC$77,'Conversions and Lookups'!$B$76:$AE$78, 3, 0)</f>
        <v>0.79615786052573057</v>
      </c>
      <c r="AD168" s="76">
        <f>$R168*HLOOKUP(AD$77,'Conversions and Lookups'!$B$76:$AE$78, 3, 0)</f>
        <v>0.78702787679643438</v>
      </c>
      <c r="AE168" s="76">
        <f>$R168*HLOOKUP(AE$77,'Conversions and Lookups'!$B$76:$AE$78, 3, 0)</f>
        <v>0.78577217000829291</v>
      </c>
      <c r="AF168" s="76">
        <v>0</v>
      </c>
      <c r="AG168" s="76">
        <v>0</v>
      </c>
      <c r="AH168" s="76">
        <v>0</v>
      </c>
      <c r="AI168" s="76">
        <v>0</v>
      </c>
      <c r="AJ168" s="76">
        <v>0</v>
      </c>
      <c r="AK168" s="76">
        <v>0</v>
      </c>
      <c r="AL168" s="76">
        <v>0</v>
      </c>
      <c r="AM168" s="76">
        <v>0</v>
      </c>
      <c r="AN168" s="76">
        <v>0</v>
      </c>
      <c r="AO168" s="76">
        <v>0</v>
      </c>
      <c r="AP168" s="76">
        <v>0</v>
      </c>
      <c r="AQ168" s="76">
        <v>0</v>
      </c>
      <c r="AR168" s="77">
        <v>0</v>
      </c>
      <c r="AT168" s="82">
        <f>SUMIFS('Conversions and Lookups'!$F$58:$F$72,'Conversions and Lookups'!$G$58:$G$72,'Measure 2'!AT$77,'Conversions and Lookups'!$C$58:$C$72,'Measure 2'!$C168)*'Measure 2'!$F168</f>
        <v>58603.836321684124</v>
      </c>
      <c r="AU168" s="30">
        <f>SUMIFS('Conversions and Lookups'!$F$58:$F$72,'Conversions and Lookups'!$G$58:$G$72,'Measure 2'!AU$77,'Conversions and Lookups'!$C$58:$C$72,'Measure 2'!$C168)*'Measure 2'!$F168</f>
        <v>1504.4360460272999</v>
      </c>
      <c r="AV168" s="83">
        <f>SUMIFS('Conversions and Lookups'!$F$58:$F$72,'Conversions and Lookups'!$G$58:$G$72,'Measure 2'!AV$77,'Conversions and Lookups'!$C$58:$C$72,'Measure 2'!$C168)*'Measure 2'!$F168</f>
        <v>34.58473669028276</v>
      </c>
    </row>
    <row r="169" spans="2:48" x14ac:dyDescent="0.35">
      <c r="B169" s="57" t="s">
        <v>69</v>
      </c>
      <c r="C169" s="58" t="s">
        <v>219</v>
      </c>
      <c r="D169" s="58">
        <v>1</v>
      </c>
      <c r="E169" s="59">
        <v>11084.519142954545</v>
      </c>
      <c r="F169" s="59">
        <f t="shared" si="55"/>
        <v>11084.519142954545</v>
      </c>
      <c r="G169" s="58" t="s">
        <v>279</v>
      </c>
      <c r="H169" s="60">
        <f>VLOOKUP($C169,'Conversions and Lookups'!$B$30:$E$36, 3, 0)</f>
        <v>10.38961038961039</v>
      </c>
      <c r="I169" s="61">
        <f t="shared" si="56"/>
        <v>1066.884967509375</v>
      </c>
      <c r="J169" s="62">
        <f>I169*VLOOKUP($G169,'Conversions and Lookups'!$B$41:$D$43,3, 0)</f>
        <v>10.892895518270718</v>
      </c>
      <c r="K169" s="63">
        <f>$F169*VLOOKUP($C169,'Conversions and Lookups'!$C$47:$G$52, 4, 0)</f>
        <v>9.0006295440790904E-3</v>
      </c>
      <c r="L169" s="64">
        <f>$F169*VLOOKUP($C169,'Conversions and Lookups'!$C$47:$G$52, 5, 0)</f>
        <v>6.2860308059695225E-2</v>
      </c>
      <c r="M169" s="62">
        <f t="shared" si="57"/>
        <v>10.964756455874493</v>
      </c>
      <c r="N169" s="62">
        <f t="shared" si="58"/>
        <v>54.823782279372466</v>
      </c>
      <c r="O169" s="65">
        <f t="shared" si="59"/>
        <v>131.57707747049392</v>
      </c>
      <c r="P169" s="31"/>
      <c r="Q169" s="75">
        <f>VLOOKUP($C169,'Conversions and Lookups'!$B$30:$E$36, 4, 0)</f>
        <v>0.94046835323991351</v>
      </c>
      <c r="R169" s="30">
        <f t="shared" si="60"/>
        <v>10424.639464830758</v>
      </c>
      <c r="S169">
        <v>0</v>
      </c>
      <c r="T169" s="76">
        <f>$R169*HLOOKUP(T$77,'Conversions and Lookups'!$B$76:$AE$78, 3, 0)</f>
        <v>2.7350599764885901</v>
      </c>
      <c r="U169" s="76">
        <f>$R169*HLOOKUP(U$77,'Conversions and Lookups'!$B$76:$AE$78, 3, 0)</f>
        <v>2.5043807186465212</v>
      </c>
      <c r="V169" s="76">
        <f>$R169*HLOOKUP(V$77,'Conversions and Lookups'!$B$76:$AE$78, 3, 0)</f>
        <v>2.421460773862472</v>
      </c>
      <c r="W169" s="76">
        <f>$R169*HLOOKUP(W$77,'Conversions and Lookups'!$B$76:$AE$78, 3, 0)</f>
        <v>2.0562107577514848</v>
      </c>
      <c r="X169" s="76">
        <f>$R169*HLOOKUP(X$77,'Conversions and Lookups'!$B$76:$AE$78, 3, 0)</f>
        <v>1.925555997388819</v>
      </c>
      <c r="Y169" s="76">
        <f>$R169*HLOOKUP(Y$77,'Conversions and Lookups'!$B$76:$AE$78, 3, 0)</f>
        <v>1.8049724618713723</v>
      </c>
      <c r="Z169" s="76">
        <f>$R169*HLOOKUP(Z$77,'Conversions and Lookups'!$B$76:$AE$78, 3, 0)</f>
        <v>1.8024380021436788</v>
      </c>
      <c r="AA169" s="76">
        <f>$R169*HLOOKUP(AA$77,'Conversions and Lookups'!$B$76:$AE$78, 3, 0)</f>
        <v>1.7766283704666679</v>
      </c>
      <c r="AB169" s="76">
        <f>$R169*HLOOKUP(AB$77,'Conversions and Lookups'!$B$76:$AE$78, 3, 0)</f>
        <v>1.5386773734625665</v>
      </c>
      <c r="AC169" s="76">
        <f>$R169*HLOOKUP(AC$77,'Conversions and Lookups'!$B$76:$AE$78, 3, 0)</f>
        <v>1.4358026827273878</v>
      </c>
      <c r="AD169" s="76">
        <f>$R169*HLOOKUP(AD$77,'Conversions and Lookups'!$B$76:$AE$78, 3, 0)</f>
        <v>1.4193375370801102</v>
      </c>
      <c r="AE169" s="76">
        <f>$R169*HLOOKUP(AE$77,'Conversions and Lookups'!$B$76:$AE$78, 3, 0)</f>
        <v>1.4170729771674042</v>
      </c>
      <c r="AF169" s="76">
        <v>0</v>
      </c>
      <c r="AG169" s="76">
        <v>0</v>
      </c>
      <c r="AH169" s="76">
        <v>0</v>
      </c>
      <c r="AI169" s="76">
        <v>0</v>
      </c>
      <c r="AJ169" s="76">
        <v>0</v>
      </c>
      <c r="AK169" s="76">
        <v>0</v>
      </c>
      <c r="AL169" s="76">
        <v>0</v>
      </c>
      <c r="AM169" s="76">
        <v>0</v>
      </c>
      <c r="AN169" s="76">
        <v>0</v>
      </c>
      <c r="AO169" s="76">
        <v>0</v>
      </c>
      <c r="AP169" s="76">
        <v>0</v>
      </c>
      <c r="AQ169" s="76">
        <v>0</v>
      </c>
      <c r="AR169" s="77">
        <v>0</v>
      </c>
      <c r="AT169" s="82">
        <f>SUMIFS('Conversions and Lookups'!$F$58:$F$72,'Conversions and Lookups'!$G$58:$G$72,'Measure 2'!AT$77,'Conversions and Lookups'!$C$58:$C$72,'Measure 2'!$C169)*'Measure 2'!$F169</f>
        <v>17834.991301013863</v>
      </c>
      <c r="AU169" s="30">
        <f>SUMIFS('Conversions and Lookups'!$F$58:$F$72,'Conversions and Lookups'!$G$58:$G$72,'Measure 2'!AU$77,'Conversions and Lookups'!$C$58:$C$72,'Measure 2'!$C169)*'Measure 2'!$F169</f>
        <v>12802.619610112499</v>
      </c>
      <c r="AV169" s="83">
        <f>SUMIFS('Conversions and Lookups'!$F$58:$F$72,'Conversions and Lookups'!$G$58:$G$72,'Measure 2'!AV$77,'Conversions and Lookups'!$C$58:$C$72,'Measure 2'!$C169)*'Measure 2'!$F169</f>
        <v>576.39499543363627</v>
      </c>
    </row>
    <row r="170" spans="2:48" x14ac:dyDescent="0.35">
      <c r="B170" s="57" t="s">
        <v>226</v>
      </c>
      <c r="C170" s="58" t="s">
        <v>234</v>
      </c>
      <c r="D170" s="58">
        <v>20</v>
      </c>
      <c r="E170" s="59">
        <v>8646.184172570689</v>
      </c>
      <c r="F170" s="59">
        <f t="shared" si="55"/>
        <v>172923.68345141379</v>
      </c>
      <c r="G170" s="58" t="s">
        <v>278</v>
      </c>
      <c r="H170" s="60">
        <f>VLOOKUP($C170,'Conversions and Lookups'!$B$30:$E$36, 3, 0)</f>
        <v>30.7</v>
      </c>
      <c r="I170" s="61">
        <f t="shared" si="56"/>
        <v>5632.6932720330224</v>
      </c>
      <c r="J170" s="62">
        <f>I170*VLOOKUP($G170,'Conversions and Lookups'!$B$41:$D$43,3, 0)</f>
        <v>49.455046928449931</v>
      </c>
      <c r="K170" s="63">
        <f>$F170*VLOOKUP($C170,'Conversions and Lookups'!$C$47:$G$52, 4, 0)</f>
        <v>2.4693501996861891E-2</v>
      </c>
      <c r="L170" s="64">
        <f>$F170*VLOOKUP($C170,'Conversions and Lookups'!$C$47:$G$52, 5, 0)</f>
        <v>6.4154686560474516E-2</v>
      </c>
      <c r="M170" s="62">
        <f t="shared" si="57"/>
        <v>49.543895117007267</v>
      </c>
      <c r="N170" s="62">
        <f t="shared" si="58"/>
        <v>247.71947558503632</v>
      </c>
      <c r="O170" s="65">
        <f t="shared" si="59"/>
        <v>594.52674140408726</v>
      </c>
      <c r="Q170" s="75">
        <f>VLOOKUP($C170,'Conversions and Lookups'!$B$30:$E$36, 4, 0)</f>
        <v>0.27291086731073633</v>
      </c>
      <c r="R170" s="30">
        <f t="shared" si="60"/>
        <v>47192.752429292559</v>
      </c>
      <c r="S170">
        <v>0</v>
      </c>
      <c r="T170" s="76">
        <f>$R170*HLOOKUP(T$77,'Conversions and Lookups'!$B$76:$AE$78, 3, 0)</f>
        <v>12.381723970900731</v>
      </c>
      <c r="U170" s="76">
        <f>$R170*HLOOKUP(U$77,'Conversions and Lookups'!$B$76:$AE$78, 3, 0)</f>
        <v>11.337429907528971</v>
      </c>
      <c r="V170" s="76">
        <f>$R170*HLOOKUP(V$77,'Conversions and Lookups'!$B$76:$AE$78, 3, 0)</f>
        <v>10.962048059663045</v>
      </c>
      <c r="W170" s="76">
        <f>$R170*HLOOKUP(W$77,'Conversions and Lookups'!$B$76:$AE$78, 3, 0)</f>
        <v>9.3085468864787533</v>
      </c>
      <c r="X170" s="76">
        <f>$R170*HLOOKUP(X$77,'Conversions and Lookups'!$B$76:$AE$78, 3, 0)</f>
        <v>8.717067653042843</v>
      </c>
      <c r="Y170" s="76">
        <f>$R170*HLOOKUP(Y$77,'Conversions and Lookups'!$B$76:$AE$78, 3, 0)</f>
        <v>8.1711812501679919</v>
      </c>
      <c r="Z170" s="76">
        <f>$R170*HLOOKUP(Z$77,'Conversions and Lookups'!$B$76:$AE$78, 3, 0)</f>
        <v>8.1597076514047373</v>
      </c>
      <c r="AA170" s="76">
        <f>$R170*HLOOKUP(AA$77,'Conversions and Lookups'!$B$76:$AE$78, 3, 0)</f>
        <v>8.0428664347723906</v>
      </c>
      <c r="AB170" s="76">
        <f>$R170*HLOOKUP(AB$77,'Conversions and Lookups'!$B$76:$AE$78, 3, 0)</f>
        <v>6.9656529225159076</v>
      </c>
      <c r="AC170" s="76">
        <f>$R170*HLOOKUP(AC$77,'Conversions and Lookups'!$B$76:$AE$78, 3, 0)</f>
        <v>6.4999351557303724</v>
      </c>
      <c r="AD170" s="76">
        <f>$R170*HLOOKUP(AD$77,'Conversions and Lookups'!$B$76:$AE$78, 3, 0)</f>
        <v>6.4253967944886563</v>
      </c>
      <c r="AE170" s="76">
        <f>$R170*HLOOKUP(AE$77,'Conversions and Lookups'!$B$76:$AE$78, 3, 0)</f>
        <v>6.4151450427919006</v>
      </c>
      <c r="AF170" s="76">
        <v>0</v>
      </c>
      <c r="AG170" s="76">
        <v>0</v>
      </c>
      <c r="AH170" s="76">
        <v>0</v>
      </c>
      <c r="AI170" s="76">
        <v>0</v>
      </c>
      <c r="AJ170" s="76">
        <v>0</v>
      </c>
      <c r="AK170" s="76">
        <v>0</v>
      </c>
      <c r="AL170" s="76">
        <v>0</v>
      </c>
      <c r="AM170" s="76">
        <v>0</v>
      </c>
      <c r="AN170" s="76">
        <v>0</v>
      </c>
      <c r="AO170" s="76">
        <v>0</v>
      </c>
      <c r="AP170" s="76">
        <v>0</v>
      </c>
      <c r="AQ170" s="76">
        <v>0</v>
      </c>
      <c r="AR170" s="77">
        <v>0</v>
      </c>
      <c r="AT170" s="82">
        <f>SUMIFS('Conversions and Lookups'!$F$58:$F$72,'Conversions and Lookups'!$G$58:$G$72,'Measure 2'!AT$77,'Conversions and Lookups'!$C$58:$C$72,'Measure 2'!$C170)*'Measure 2'!$F170</f>
        <v>586038.36321684124</v>
      </c>
      <c r="AU170" s="30">
        <f>SUMIFS('Conversions and Lookups'!$F$58:$F$72,'Conversions and Lookups'!$G$58:$G$72,'Measure 2'!AU$77,'Conversions and Lookups'!$C$58:$C$72,'Measure 2'!$C170)*'Measure 2'!$F170</f>
        <v>15044.360460272999</v>
      </c>
      <c r="AV170" s="83">
        <f>SUMIFS('Conversions and Lookups'!$F$58:$F$72,'Conversions and Lookups'!$G$58:$G$72,'Measure 2'!AV$77,'Conversions and Lookups'!$C$58:$C$72,'Measure 2'!$C170)*'Measure 2'!$F170</f>
        <v>345.84736690282756</v>
      </c>
    </row>
    <row r="171" spans="2:48" x14ac:dyDescent="0.35">
      <c r="B171" s="57" t="s">
        <v>226</v>
      </c>
      <c r="C171" s="58" t="s">
        <v>212</v>
      </c>
      <c r="D171" s="58">
        <v>15</v>
      </c>
      <c r="E171" s="59">
        <v>8646.184172570689</v>
      </c>
      <c r="F171" s="59">
        <f t="shared" si="55"/>
        <v>129692.76258856033</v>
      </c>
      <c r="G171" s="58" t="s">
        <v>278</v>
      </c>
      <c r="H171" s="60">
        <f>VLOOKUP($C171,'Conversions and Lookups'!$B$30:$E$36, 3, 0)</f>
        <v>27.5</v>
      </c>
      <c r="I171" s="61">
        <f t="shared" si="56"/>
        <v>4716.1004577658305</v>
      </c>
      <c r="J171" s="62">
        <f>I171*VLOOKUP($G171,'Conversions and Lookups'!$B$41:$D$43,3, 0)</f>
        <v>41.407362019183992</v>
      </c>
      <c r="K171" s="63">
        <f>$F171*VLOOKUP($C171,'Conversions and Lookups'!$C$47:$G$52, 4, 0)</f>
        <v>1.8520126497646415E-2</v>
      </c>
      <c r="L171" s="64">
        <f>$F171*VLOOKUP($C171,'Conversions and Lookups'!$C$47:$G$52, 5, 0)</f>
        <v>4.811601492035588E-2</v>
      </c>
      <c r="M171" s="62">
        <f t="shared" si="57"/>
        <v>41.473998160601994</v>
      </c>
      <c r="N171" s="62">
        <f t="shared" si="58"/>
        <v>207.36999080300996</v>
      </c>
      <c r="O171" s="65">
        <f t="shared" si="59"/>
        <v>497.68797792722393</v>
      </c>
      <c r="Q171" s="75">
        <f>VLOOKUP($C171,'Conversions and Lookups'!$B$30:$E$36, 4, 0)</f>
        <v>0.33428046130703665</v>
      </c>
      <c r="R171" s="30">
        <f t="shared" si="60"/>
        <v>43353.756506287929</v>
      </c>
      <c r="S171">
        <v>0</v>
      </c>
      <c r="T171" s="76">
        <f>$R171*HLOOKUP(T$77,'Conversions and Lookups'!$B$76:$AE$78, 3, 0)</f>
        <v>11.374506010573572</v>
      </c>
      <c r="U171" s="76">
        <f>$R171*HLOOKUP(U$77,'Conversions and Lookups'!$B$76:$AE$78, 3, 0)</f>
        <v>10.415162293289569</v>
      </c>
      <c r="V171" s="76">
        <f>$R171*HLOOKUP(V$77,'Conversions and Lookups'!$B$76:$AE$78, 3, 0)</f>
        <v>10.070316689006518</v>
      </c>
      <c r="W171" s="76">
        <f>$R171*HLOOKUP(W$77,'Conversions and Lookups'!$B$76:$AE$78, 3, 0)</f>
        <v>8.5513231242107928</v>
      </c>
      <c r="X171" s="76">
        <f>$R171*HLOOKUP(X$77,'Conversions and Lookups'!$B$76:$AE$78, 3, 0)</f>
        <v>8.0079590408523096</v>
      </c>
      <c r="Y171" s="76">
        <f>$R171*HLOOKUP(Y$77,'Conversions and Lookups'!$B$76:$AE$78, 3, 0)</f>
        <v>7.5064789412165016</v>
      </c>
      <c r="Z171" s="76">
        <f>$R171*HLOOKUP(Z$77,'Conversions and Lookups'!$B$76:$AE$78, 3, 0)</f>
        <v>7.4959386870158546</v>
      </c>
      <c r="AA171" s="76">
        <f>$R171*HLOOKUP(AA$77,'Conversions and Lookups'!$B$76:$AE$78, 3, 0)</f>
        <v>7.3886021703893521</v>
      </c>
      <c r="AB171" s="76">
        <f>$R171*HLOOKUP(AB$77,'Conversions and Lookups'!$B$76:$AE$78, 3, 0)</f>
        <v>6.3990169075754944</v>
      </c>
      <c r="AC171" s="76">
        <f>$R171*HLOOKUP(AC$77,'Conversions and Lookups'!$B$76:$AE$78, 3, 0)</f>
        <v>5.9711839539429796</v>
      </c>
      <c r="AD171" s="76">
        <f>$R171*HLOOKUP(AD$77,'Conversions and Lookups'!$B$76:$AE$78, 3, 0)</f>
        <v>5.9027090759732568</v>
      </c>
      <c r="AE171" s="76">
        <f>$R171*HLOOKUP(AE$77,'Conversions and Lookups'!$B$76:$AE$78, 3, 0)</f>
        <v>5.8932912750621966</v>
      </c>
      <c r="AF171" s="76">
        <v>0</v>
      </c>
      <c r="AG171" s="76">
        <v>0</v>
      </c>
      <c r="AH171" s="76">
        <v>0</v>
      </c>
      <c r="AI171" s="76">
        <v>0</v>
      </c>
      <c r="AJ171" s="76">
        <v>0</v>
      </c>
      <c r="AK171" s="76">
        <v>0</v>
      </c>
      <c r="AL171" s="76">
        <v>0</v>
      </c>
      <c r="AM171" s="76">
        <v>0</v>
      </c>
      <c r="AN171" s="76">
        <v>0</v>
      </c>
      <c r="AO171" s="76">
        <v>0</v>
      </c>
      <c r="AP171" s="76">
        <v>0</v>
      </c>
      <c r="AQ171" s="76">
        <v>0</v>
      </c>
      <c r="AR171" s="77">
        <v>0</v>
      </c>
      <c r="AT171" s="82">
        <f>SUMIFS('Conversions and Lookups'!$F$58:$F$72,'Conversions and Lookups'!$G$58:$G$72,'Measure 2'!AT$77,'Conversions and Lookups'!$C$58:$C$72,'Measure 2'!$C171)*'Measure 2'!$F171</f>
        <v>439528.77241263096</v>
      </c>
      <c r="AU171" s="30">
        <f>SUMIFS('Conversions and Lookups'!$F$58:$F$72,'Conversions and Lookups'!$G$58:$G$72,'Measure 2'!AU$77,'Conversions and Lookups'!$C$58:$C$72,'Measure 2'!$C171)*'Measure 2'!$F171</f>
        <v>11283.270345204748</v>
      </c>
      <c r="AV171" s="83">
        <f>SUMIFS('Conversions and Lookups'!$F$58:$F$72,'Conversions and Lookups'!$G$58:$G$72,'Measure 2'!AV$77,'Conversions and Lookups'!$C$58:$C$72,'Measure 2'!$C171)*'Measure 2'!$F171</f>
        <v>259.38552517712066</v>
      </c>
    </row>
    <row r="172" spans="2:48" x14ac:dyDescent="0.35">
      <c r="B172" s="57" t="s">
        <v>226</v>
      </c>
      <c r="C172" s="58" t="s">
        <v>212</v>
      </c>
      <c r="D172" s="58">
        <v>15</v>
      </c>
      <c r="E172" s="59">
        <v>8646.184172570689</v>
      </c>
      <c r="F172" s="59">
        <f t="shared" si="55"/>
        <v>129692.76258856033</v>
      </c>
      <c r="G172" s="58" t="s">
        <v>278</v>
      </c>
      <c r="H172" s="60">
        <f>VLOOKUP($C172,'Conversions and Lookups'!$B$30:$E$36, 3, 0)</f>
        <v>27.5</v>
      </c>
      <c r="I172" s="61">
        <f t="shared" si="56"/>
        <v>4716.1004577658305</v>
      </c>
      <c r="J172" s="62">
        <f>I172*VLOOKUP($G172,'Conversions and Lookups'!$B$41:$D$43,3, 0)</f>
        <v>41.407362019183992</v>
      </c>
      <c r="K172" s="63">
        <f>$F172*VLOOKUP($C172,'Conversions and Lookups'!$C$47:$G$52, 4, 0)</f>
        <v>1.8520126497646415E-2</v>
      </c>
      <c r="L172" s="64">
        <f>$F172*VLOOKUP($C172,'Conversions and Lookups'!$C$47:$G$52, 5, 0)</f>
        <v>4.811601492035588E-2</v>
      </c>
      <c r="M172" s="62">
        <f t="shared" si="57"/>
        <v>41.473998160601994</v>
      </c>
      <c r="N172" s="62">
        <f t="shared" si="58"/>
        <v>207.36999080300996</v>
      </c>
      <c r="O172" s="65">
        <f t="shared" si="59"/>
        <v>497.68797792722393</v>
      </c>
      <c r="Q172" s="75">
        <f>VLOOKUP($C172,'Conversions and Lookups'!$B$30:$E$36, 4, 0)</f>
        <v>0.33428046130703665</v>
      </c>
      <c r="R172" s="30">
        <f t="shared" si="60"/>
        <v>43353.756506287929</v>
      </c>
      <c r="S172">
        <v>0</v>
      </c>
      <c r="T172" s="76">
        <f>$R172*HLOOKUP(T$77,'Conversions and Lookups'!$B$76:$AE$78, 3, 0)</f>
        <v>11.374506010573572</v>
      </c>
      <c r="U172" s="76">
        <f>$R172*HLOOKUP(U$77,'Conversions and Lookups'!$B$76:$AE$78, 3, 0)</f>
        <v>10.415162293289569</v>
      </c>
      <c r="V172" s="76">
        <f>$R172*HLOOKUP(V$77,'Conversions and Lookups'!$B$76:$AE$78, 3, 0)</f>
        <v>10.070316689006518</v>
      </c>
      <c r="W172" s="76">
        <f>$R172*HLOOKUP(W$77,'Conversions and Lookups'!$B$76:$AE$78, 3, 0)</f>
        <v>8.5513231242107928</v>
      </c>
      <c r="X172" s="76">
        <f>$R172*HLOOKUP(X$77,'Conversions and Lookups'!$B$76:$AE$78, 3, 0)</f>
        <v>8.0079590408523096</v>
      </c>
      <c r="Y172" s="76">
        <f>$R172*HLOOKUP(Y$77,'Conversions and Lookups'!$B$76:$AE$78, 3, 0)</f>
        <v>7.5064789412165016</v>
      </c>
      <c r="Z172" s="76">
        <f>$R172*HLOOKUP(Z$77,'Conversions and Lookups'!$B$76:$AE$78, 3, 0)</f>
        <v>7.4959386870158546</v>
      </c>
      <c r="AA172" s="76">
        <f>$R172*HLOOKUP(AA$77,'Conversions and Lookups'!$B$76:$AE$78, 3, 0)</f>
        <v>7.3886021703893521</v>
      </c>
      <c r="AB172" s="76">
        <f>$R172*HLOOKUP(AB$77,'Conversions and Lookups'!$B$76:$AE$78, 3, 0)</f>
        <v>6.3990169075754944</v>
      </c>
      <c r="AC172" s="76">
        <f>$R172*HLOOKUP(AC$77,'Conversions and Lookups'!$B$76:$AE$78, 3, 0)</f>
        <v>5.9711839539429796</v>
      </c>
      <c r="AD172" s="76">
        <f>$R172*HLOOKUP(AD$77,'Conversions and Lookups'!$B$76:$AE$78, 3, 0)</f>
        <v>5.9027090759732568</v>
      </c>
      <c r="AE172" s="76">
        <f>$R172*HLOOKUP(AE$77,'Conversions and Lookups'!$B$76:$AE$78, 3, 0)</f>
        <v>5.8932912750621966</v>
      </c>
      <c r="AF172" s="76">
        <v>0</v>
      </c>
      <c r="AG172" s="76">
        <v>0</v>
      </c>
      <c r="AH172" s="76">
        <v>0</v>
      </c>
      <c r="AI172" s="76">
        <v>0</v>
      </c>
      <c r="AJ172" s="76">
        <v>0</v>
      </c>
      <c r="AK172" s="76">
        <v>0</v>
      </c>
      <c r="AL172" s="76">
        <v>0</v>
      </c>
      <c r="AM172" s="76">
        <v>0</v>
      </c>
      <c r="AN172" s="76">
        <v>0</v>
      </c>
      <c r="AO172" s="76">
        <v>0</v>
      </c>
      <c r="AP172" s="76">
        <v>0</v>
      </c>
      <c r="AQ172" s="76">
        <v>0</v>
      </c>
      <c r="AR172" s="77">
        <v>0</v>
      </c>
      <c r="AT172" s="82">
        <f>SUMIFS('Conversions and Lookups'!$F$58:$F$72,'Conversions and Lookups'!$G$58:$G$72,'Measure 2'!AT$77,'Conversions and Lookups'!$C$58:$C$72,'Measure 2'!$C172)*'Measure 2'!$F172</f>
        <v>439528.77241263096</v>
      </c>
      <c r="AU172" s="30">
        <f>SUMIFS('Conversions and Lookups'!$F$58:$F$72,'Conversions and Lookups'!$G$58:$G$72,'Measure 2'!AU$77,'Conversions and Lookups'!$C$58:$C$72,'Measure 2'!$C172)*'Measure 2'!$F172</f>
        <v>11283.270345204748</v>
      </c>
      <c r="AV172" s="83">
        <f>SUMIFS('Conversions and Lookups'!$F$58:$F$72,'Conversions and Lookups'!$G$58:$G$72,'Measure 2'!AV$77,'Conversions and Lookups'!$C$58:$C$72,'Measure 2'!$C172)*'Measure 2'!$F172</f>
        <v>259.38552517712066</v>
      </c>
    </row>
    <row r="173" spans="2:48" x14ac:dyDescent="0.35">
      <c r="B173" s="57" t="s">
        <v>67</v>
      </c>
      <c r="C173" s="58" t="s">
        <v>234</v>
      </c>
      <c r="D173" s="58">
        <v>3</v>
      </c>
      <c r="E173" s="59">
        <v>5000</v>
      </c>
      <c r="F173" s="59">
        <f t="shared" si="55"/>
        <v>15000</v>
      </c>
      <c r="G173" s="58" t="s">
        <v>278</v>
      </c>
      <c r="H173" s="60">
        <f>VLOOKUP($C173,'Conversions and Lookups'!$B$30:$E$36, 3, 0)</f>
        <v>30.7</v>
      </c>
      <c r="I173" s="61">
        <f t="shared" si="56"/>
        <v>488.59934853420197</v>
      </c>
      <c r="J173" s="62">
        <f>I173*VLOOKUP($G173,'Conversions and Lookups'!$B$41:$D$43,3, 0)</f>
        <v>4.2899022801302928</v>
      </c>
      <c r="K173" s="63">
        <f>$F173*VLOOKUP($C173,'Conversions and Lookups'!$C$47:$G$52, 4, 0)</f>
        <v>2.1420000000000002E-3</v>
      </c>
      <c r="L173" s="64">
        <f>$F173*VLOOKUP($C173,'Conversions and Lookups'!$C$47:$G$52, 5, 0)</f>
        <v>5.5649999999999996E-3</v>
      </c>
      <c r="M173" s="62">
        <f t="shared" si="57"/>
        <v>4.2976092801302928</v>
      </c>
      <c r="N173" s="62">
        <f t="shared" si="58"/>
        <v>21.488046400651463</v>
      </c>
      <c r="O173" s="65">
        <f t="shared" si="59"/>
        <v>51.571311361563517</v>
      </c>
      <c r="Q173" s="75">
        <f>VLOOKUP($C173,'Conversions and Lookups'!$B$30:$E$36, 4, 0)</f>
        <v>0.27291086731073633</v>
      </c>
      <c r="R173" s="30">
        <f t="shared" si="60"/>
        <v>4093.6630096610447</v>
      </c>
      <c r="S173">
        <v>0</v>
      </c>
      <c r="T173" s="76">
        <f>$R173*HLOOKUP(T$77,'Conversions and Lookups'!$B$76:$AE$78, 3, 0)</f>
        <v>1.0740336769179115</v>
      </c>
      <c r="U173" s="76">
        <f>$R173*HLOOKUP(U$77,'Conversions and Lookups'!$B$76:$AE$78, 3, 0)</f>
        <v>0.98344798826076696</v>
      </c>
      <c r="V173" s="76">
        <f>$R173*HLOOKUP(V$77,'Conversions and Lookups'!$B$76:$AE$78, 3, 0)</f>
        <v>0.95088606495677397</v>
      </c>
      <c r="W173" s="76">
        <f>$R173*HLOOKUP(W$77,'Conversions and Lookups'!$B$76:$AE$78, 3, 0)</f>
        <v>0.80745563887096183</v>
      </c>
      <c r="X173" s="76">
        <f>$R173*HLOOKUP(X$77,'Conversions and Lookups'!$B$76:$AE$78, 3, 0)</f>
        <v>0.75614867891928195</v>
      </c>
      <c r="Y173" s="76">
        <f>$R173*HLOOKUP(Y$77,'Conversions and Lookups'!$B$76:$AE$78, 3, 0)</f>
        <v>0.70879659920590121</v>
      </c>
      <c r="Z173" s="76">
        <f>$R173*HLOOKUP(Z$77,'Conversions and Lookups'!$B$76:$AE$78, 3, 0)</f>
        <v>0.70780133945886281</v>
      </c>
      <c r="AA173" s="76">
        <f>$R173*HLOOKUP(AA$77,'Conversions and Lookups'!$B$76:$AE$78, 3, 0)</f>
        <v>0.69766612712412424</v>
      </c>
      <c r="AB173" s="76">
        <f>$R173*HLOOKUP(AB$77,'Conversions and Lookups'!$B$76:$AE$78, 3, 0)</f>
        <v>0.60422489130643353</v>
      </c>
      <c r="AC173" s="76">
        <f>$R173*HLOOKUP(AC$77,'Conversions and Lookups'!$B$76:$AE$78, 3, 0)</f>
        <v>0.56382691711138455</v>
      </c>
      <c r="AD173" s="76">
        <f>$R173*HLOOKUP(AD$77,'Conversions and Lookups'!$B$76:$AE$78, 3, 0)</f>
        <v>0.55736120115906451</v>
      </c>
      <c r="AE173" s="76">
        <f>$R173*HLOOKUP(AE$77,'Conversions and Lookups'!$B$76:$AE$78, 3, 0)</f>
        <v>0.55647192866392636</v>
      </c>
      <c r="AF173" s="76">
        <v>0</v>
      </c>
      <c r="AG173" s="76">
        <v>0</v>
      </c>
      <c r="AH173" s="76">
        <v>0</v>
      </c>
      <c r="AI173" s="76">
        <v>0</v>
      </c>
      <c r="AJ173" s="76">
        <v>0</v>
      </c>
      <c r="AK173" s="76">
        <v>0</v>
      </c>
      <c r="AL173" s="76">
        <v>0</v>
      </c>
      <c r="AM173" s="76">
        <v>0</v>
      </c>
      <c r="AN173" s="76">
        <v>0</v>
      </c>
      <c r="AO173" s="76">
        <v>0</v>
      </c>
      <c r="AP173" s="76">
        <v>0</v>
      </c>
      <c r="AQ173" s="76">
        <v>0</v>
      </c>
      <c r="AR173" s="77">
        <v>0</v>
      </c>
      <c r="AT173" s="82">
        <f>SUMIFS('Conversions and Lookups'!$F$58:$F$72,'Conversions and Lookups'!$G$58:$G$72,'Measure 2'!AT$77,'Conversions and Lookups'!$C$58:$C$72,'Measure 2'!$C173)*'Measure 2'!$F173</f>
        <v>50835</v>
      </c>
      <c r="AU173" s="30">
        <f>SUMIFS('Conversions and Lookups'!$F$58:$F$72,'Conversions and Lookups'!$G$58:$G$72,'Measure 2'!AU$77,'Conversions and Lookups'!$C$58:$C$72,'Measure 2'!$C173)*'Measure 2'!$F173</f>
        <v>1305</v>
      </c>
      <c r="AV173" s="83">
        <f>SUMIFS('Conversions and Lookups'!$F$58:$F$72,'Conversions and Lookups'!$G$58:$G$72,'Measure 2'!AV$77,'Conversions and Lookups'!$C$58:$C$72,'Measure 2'!$C173)*'Measure 2'!$F173</f>
        <v>30</v>
      </c>
    </row>
    <row r="174" spans="2:48" x14ac:dyDescent="0.35">
      <c r="B174" s="57" t="s">
        <v>67</v>
      </c>
      <c r="C174" s="58" t="s">
        <v>214</v>
      </c>
      <c r="D174" s="58">
        <v>4</v>
      </c>
      <c r="E174" s="59">
        <v>10000</v>
      </c>
      <c r="F174" s="59">
        <f t="shared" si="55"/>
        <v>40000</v>
      </c>
      <c r="G174" s="58" t="s">
        <v>279</v>
      </c>
      <c r="H174" s="60">
        <f>VLOOKUP($C174,'Conversions and Lookups'!$B$30:$E$36, 3, 0)</f>
        <v>15.064935064935064</v>
      </c>
      <c r="I174" s="61">
        <f t="shared" si="56"/>
        <v>2655.1724137931037</v>
      </c>
      <c r="J174" s="62">
        <f>I174*VLOOKUP($G174,'Conversions and Lookups'!$B$41:$D$43,3, 0)</f>
        <v>27.109310344827591</v>
      </c>
      <c r="K174" s="63">
        <f>$F174*VLOOKUP($C174,'Conversions and Lookups'!$C$47:$G$52, 4, 0)</f>
        <v>3.2480000000000002E-2</v>
      </c>
      <c r="L174" s="64">
        <f>$F174*VLOOKUP($C174,'Conversions and Lookups'!$C$47:$G$52, 5, 0)</f>
        <v>0.22683999999999999</v>
      </c>
      <c r="M174" s="62">
        <f t="shared" si="57"/>
        <v>27.36863034482759</v>
      </c>
      <c r="N174" s="62">
        <f t="shared" si="58"/>
        <v>136.84315172413795</v>
      </c>
      <c r="O174" s="65">
        <f t="shared" si="59"/>
        <v>328.42356413793107</v>
      </c>
      <c r="Q174" s="75">
        <f>VLOOKUP($C174,'Conversions and Lookups'!$B$30:$E$36, 4, 0)</f>
        <v>0.64775229952066338</v>
      </c>
      <c r="R174" s="30">
        <f t="shared" si="60"/>
        <v>25910.091980826535</v>
      </c>
      <c r="S174">
        <v>0</v>
      </c>
      <c r="T174" s="76">
        <f>$R174*HLOOKUP(T$77,'Conversions and Lookups'!$B$76:$AE$78, 3, 0)</f>
        <v>6.7978998988860591</v>
      </c>
      <c r="U174" s="76">
        <f>$R174*HLOOKUP(U$77,'Conversions and Lookups'!$B$76:$AE$78, 3, 0)</f>
        <v>6.224554335337225</v>
      </c>
      <c r="V174" s="76">
        <f>$R174*HLOOKUP(V$77,'Conversions and Lookups'!$B$76:$AE$78, 3, 0)</f>
        <v>6.0184595918549242</v>
      </c>
      <c r="W174" s="76">
        <f>$R174*HLOOKUP(W$77,'Conversions and Lookups'!$B$76:$AE$78, 3, 0)</f>
        <v>5.1106429191190204</v>
      </c>
      <c r="X174" s="76">
        <f>$R174*HLOOKUP(X$77,'Conversions and Lookups'!$B$76:$AE$78, 3, 0)</f>
        <v>4.785904891473046</v>
      </c>
      <c r="Y174" s="76">
        <f>$R174*HLOOKUP(Y$77,'Conversions and Lookups'!$B$76:$AE$78, 3, 0)</f>
        <v>4.4861985556164674</v>
      </c>
      <c r="Z174" s="76">
        <f>$R174*HLOOKUP(Z$77,'Conversions and Lookups'!$B$76:$AE$78, 3, 0)</f>
        <v>4.4798992409123208</v>
      </c>
      <c r="AA174" s="76">
        <f>$R174*HLOOKUP(AA$77,'Conversions and Lookups'!$B$76:$AE$78, 3, 0)</f>
        <v>4.4157502664563051</v>
      </c>
      <c r="AB174" s="76">
        <f>$R174*HLOOKUP(AB$77,'Conversions and Lookups'!$B$76:$AE$78, 3, 0)</f>
        <v>3.8243310389515632</v>
      </c>
      <c r="AC174" s="76">
        <f>$R174*HLOOKUP(AC$77,'Conversions and Lookups'!$B$76:$AE$78, 3, 0)</f>
        <v>3.5686394432431414</v>
      </c>
      <c r="AD174" s="76">
        <f>$R174*HLOOKUP(AD$77,'Conversions and Lookups'!$B$76:$AE$78, 3, 0)</f>
        <v>3.52771587560918</v>
      </c>
      <c r="AE174" s="76">
        <f>$R174*HLOOKUP(AE$77,'Conversions and Lookups'!$B$76:$AE$78, 3, 0)</f>
        <v>3.5220873878487873</v>
      </c>
      <c r="AF174" s="76">
        <v>0</v>
      </c>
      <c r="AG174" s="76">
        <v>0</v>
      </c>
      <c r="AH174" s="76">
        <v>0</v>
      </c>
      <c r="AI174" s="76">
        <v>0</v>
      </c>
      <c r="AJ174" s="76">
        <v>0</v>
      </c>
      <c r="AK174" s="76">
        <v>0</v>
      </c>
      <c r="AL174" s="76">
        <v>0</v>
      </c>
      <c r="AM174" s="76">
        <v>0</v>
      </c>
      <c r="AN174" s="76">
        <v>0</v>
      </c>
      <c r="AO174" s="76">
        <v>0</v>
      </c>
      <c r="AP174" s="76">
        <v>0</v>
      </c>
      <c r="AQ174" s="76">
        <v>0</v>
      </c>
      <c r="AR174" s="77">
        <v>0</v>
      </c>
      <c r="AT174" s="82">
        <f>SUMIFS('Conversions and Lookups'!$F$58:$F$72,'Conversions and Lookups'!$G$58:$G$72,'Measure 2'!AT$77,'Conversions and Lookups'!$C$58:$C$72,'Measure 2'!$C174)*'Measure 2'!$F174</f>
        <v>64360</v>
      </c>
      <c r="AU174" s="30">
        <f>SUMIFS('Conversions and Lookups'!$F$58:$F$72,'Conversions and Lookups'!$G$58:$G$72,'Measure 2'!AU$77,'Conversions and Lookups'!$C$58:$C$72,'Measure 2'!$C174)*'Measure 2'!$F174</f>
        <v>46200</v>
      </c>
      <c r="AV174" s="83">
        <f>SUMIFS('Conversions and Lookups'!$F$58:$F$72,'Conversions and Lookups'!$G$58:$G$72,'Measure 2'!AV$77,'Conversions and Lookups'!$C$58:$C$72,'Measure 2'!$C174)*'Measure 2'!$F174</f>
        <v>2080</v>
      </c>
    </row>
    <row r="175" spans="2:48" x14ac:dyDescent="0.35">
      <c r="B175" s="57" t="s">
        <v>67</v>
      </c>
      <c r="C175" s="58" t="s">
        <v>222</v>
      </c>
      <c r="D175" s="58">
        <v>1</v>
      </c>
      <c r="E175" s="59">
        <v>10000</v>
      </c>
      <c r="F175" s="59">
        <f t="shared" si="55"/>
        <v>10000</v>
      </c>
      <c r="G175" s="58" t="s">
        <v>279</v>
      </c>
      <c r="H175" s="60">
        <f>VLOOKUP($C175,'Conversions and Lookups'!$B$30:$E$36, 3, 0)</f>
        <v>20.9</v>
      </c>
      <c r="I175" s="61">
        <f t="shared" si="56"/>
        <v>478.46889952153111</v>
      </c>
      <c r="J175" s="62">
        <f>I175*VLOOKUP($G175,'Conversions and Lookups'!$B$41:$D$43,3, 0)</f>
        <v>4.8851674641148328</v>
      </c>
      <c r="K175" s="63">
        <f>$F175*VLOOKUP($C175,'Conversions and Lookups'!$C$47:$G$52, 4, 0)</f>
        <v>2.212E-3</v>
      </c>
      <c r="L175" s="64">
        <f>$F175*VLOOKUP($C175,'Conversions and Lookups'!$C$47:$G$52, 5, 0)</f>
        <v>3.1799999999999997E-3</v>
      </c>
      <c r="M175" s="62">
        <f t="shared" si="57"/>
        <v>4.8905594641148333</v>
      </c>
      <c r="N175" s="62">
        <f t="shared" si="58"/>
        <v>24.452797320574167</v>
      </c>
      <c r="O175" s="65">
        <f t="shared" si="59"/>
        <v>58.686713569378</v>
      </c>
      <c r="Q175" s="75">
        <f>VLOOKUP($C175,'Conversions and Lookups'!$B$30:$E$36, 4, 0)</f>
        <v>0.43888523151195957</v>
      </c>
      <c r="R175" s="30">
        <f t="shared" si="60"/>
        <v>4388.8523151195959</v>
      </c>
      <c r="S175">
        <v>0</v>
      </c>
      <c r="T175" s="76">
        <f>$R175*HLOOKUP(T$77,'Conversions and Lookups'!$B$76:$AE$78, 3, 0)</f>
        <v>1.1514810032806997</v>
      </c>
      <c r="U175" s="76">
        <f>$R175*HLOOKUP(U$77,'Conversions and Lookups'!$B$76:$AE$78, 3, 0)</f>
        <v>1.0543632853734481</v>
      </c>
      <c r="V175" s="76">
        <f>$R175*HLOOKUP(V$77,'Conversions and Lookups'!$B$76:$AE$78, 3, 0)</f>
        <v>1.0194533594366502</v>
      </c>
      <c r="W175" s="76">
        <f>$R175*HLOOKUP(W$77,'Conversions and Lookups'!$B$76:$AE$78, 3, 0)</f>
        <v>0.86568033119771137</v>
      </c>
      <c r="X175" s="76">
        <f>$R175*HLOOKUP(X$77,'Conversions and Lookups'!$B$76:$AE$78, 3, 0)</f>
        <v>0.81067368569849541</v>
      </c>
      <c r="Y175" s="76">
        <f>$R175*HLOOKUP(Y$77,'Conversions and Lookups'!$B$76:$AE$78, 3, 0)</f>
        <v>0.75990710227789127</v>
      </c>
      <c r="Z175" s="76">
        <f>$R175*HLOOKUP(Z$77,'Conversions and Lookups'!$B$76:$AE$78, 3, 0)</f>
        <v>0.75884007550147459</v>
      </c>
      <c r="AA175" s="76">
        <f>$R175*HLOOKUP(AA$77,'Conversions and Lookups'!$B$76:$AE$78, 3, 0)</f>
        <v>0.74797402472627184</v>
      </c>
      <c r="AB175" s="76">
        <f>$R175*HLOOKUP(AB$77,'Conversions and Lookups'!$B$76:$AE$78, 3, 0)</f>
        <v>0.64779484945506061</v>
      </c>
      <c r="AC175" s="76">
        <f>$R175*HLOOKUP(AC$77,'Conversions and Lookups'!$B$76:$AE$78, 3, 0)</f>
        <v>0.60448382405955237</v>
      </c>
      <c r="AD175" s="76">
        <f>$R175*HLOOKUP(AD$77,'Conversions and Lookups'!$B$76:$AE$78, 3, 0)</f>
        <v>0.59755187280726907</v>
      </c>
      <c r="AE175" s="76">
        <f>$R175*HLOOKUP(AE$77,'Conversions and Lookups'!$B$76:$AE$78, 3, 0)</f>
        <v>0.59659847590091686</v>
      </c>
      <c r="AF175" s="76">
        <v>0</v>
      </c>
      <c r="AG175" s="76">
        <v>0</v>
      </c>
      <c r="AH175" s="76">
        <v>0</v>
      </c>
      <c r="AI175" s="76">
        <v>0</v>
      </c>
      <c r="AJ175" s="76">
        <v>0</v>
      </c>
      <c r="AK175" s="76">
        <v>0</v>
      </c>
      <c r="AL175" s="76">
        <v>0</v>
      </c>
      <c r="AM175" s="76">
        <v>0</v>
      </c>
      <c r="AN175" s="76">
        <v>0</v>
      </c>
      <c r="AO175" s="76">
        <v>0</v>
      </c>
      <c r="AP175" s="76">
        <v>0</v>
      </c>
      <c r="AQ175" s="76">
        <v>0</v>
      </c>
      <c r="AR175" s="77">
        <v>0</v>
      </c>
      <c r="AT175" s="82">
        <f>SUMIFS('Conversions and Lookups'!$F$58:$F$72,'Conversions and Lookups'!$G$58:$G$72,'Measure 2'!AT$77,'Conversions and Lookups'!$C$58:$C$72,'Measure 2'!$C175)*'Measure 2'!$F175</f>
        <v>30310</v>
      </c>
      <c r="AU175" s="30">
        <f>SUMIFS('Conversions and Lookups'!$F$58:$F$72,'Conversions and Lookups'!$G$58:$G$72,'Measure 2'!AU$77,'Conversions and Lookups'!$C$58:$C$72,'Measure 2'!$C175)*'Measure 2'!$F175</f>
        <v>1230</v>
      </c>
      <c r="AV175" s="83">
        <f>SUMIFS('Conversions and Lookups'!$F$58:$F$72,'Conversions and Lookups'!$G$58:$G$72,'Measure 2'!AV$77,'Conversions and Lookups'!$C$58:$C$72,'Measure 2'!$C175)*'Measure 2'!$F175</f>
        <v>20</v>
      </c>
    </row>
    <row r="176" spans="2:48" x14ac:dyDescent="0.35">
      <c r="B176" s="57" t="s">
        <v>119</v>
      </c>
      <c r="C176" s="58" t="s">
        <v>234</v>
      </c>
      <c r="D176" s="58">
        <v>8</v>
      </c>
      <c r="E176" s="59">
        <v>6225.96</v>
      </c>
      <c r="F176" s="59">
        <f t="shared" si="55"/>
        <v>49807.68</v>
      </c>
      <c r="G176" s="58" t="s">
        <v>278</v>
      </c>
      <c r="H176" s="60">
        <f>VLOOKUP($C176,'Conversions and Lookups'!$B$30:$E$36, 3, 0)</f>
        <v>30.7</v>
      </c>
      <c r="I176" s="61">
        <f t="shared" si="56"/>
        <v>1622.4</v>
      </c>
      <c r="J176" s="62">
        <f>I176*VLOOKUP($G176,'Conversions and Lookups'!$B$41:$D$43,3, 0)</f>
        <v>14.244672</v>
      </c>
      <c r="K176" s="63">
        <f>$F176*VLOOKUP($C176,'Conversions and Lookups'!$C$47:$G$52, 4, 0)</f>
        <v>7.1125367040000007E-3</v>
      </c>
      <c r="L176" s="64">
        <f>$F176*VLOOKUP($C176,'Conversions and Lookups'!$C$47:$G$52, 5, 0)</f>
        <v>1.8478649279999999E-2</v>
      </c>
      <c r="M176" s="62">
        <f t="shared" si="57"/>
        <v>14.270263185984</v>
      </c>
      <c r="N176" s="62">
        <f t="shared" si="58"/>
        <v>71.351315929919991</v>
      </c>
      <c r="O176" s="65">
        <f t="shared" si="59"/>
        <v>171.243158231808</v>
      </c>
      <c r="Q176" s="75">
        <f>VLOOKUP($C176,'Conversions and Lookups'!$B$30:$E$36, 4, 0)</f>
        <v>0.27291086731073633</v>
      </c>
      <c r="R176" s="30">
        <f t="shared" si="60"/>
        <v>13593.057147535616</v>
      </c>
      <c r="S176">
        <v>0</v>
      </c>
      <c r="T176" s="76">
        <f>$R176*HLOOKUP(T$77,'Conversions and Lookups'!$B$76:$AE$78, 3, 0)</f>
        <v>3.5663417126100483</v>
      </c>
      <c r="U176" s="76">
        <f>$R176*HLOOKUP(U$77,'Conversions and Lookups'!$B$76:$AE$78, 3, 0)</f>
        <v>3.2655508463957359</v>
      </c>
      <c r="V176" s="76">
        <f>$R176*HLOOKUP(V$77,'Conversions and Lookups'!$B$76:$AE$78, 3, 0)</f>
        <v>3.1574285893217477</v>
      </c>
      <c r="W176" s="76">
        <f>$R176*HLOOKUP(W$77,'Conversions and Lookups'!$B$76:$AE$78, 3, 0)</f>
        <v>2.6811661383386953</v>
      </c>
      <c r="X176" s="76">
        <f>$R176*HLOOKUP(X$77,'Conversions and Lookups'!$B$76:$AE$78, 3, 0)</f>
        <v>2.5108007621356228</v>
      </c>
      <c r="Y176" s="76">
        <f>$R176*HLOOKUP(Y$77,'Conversions and Lookups'!$B$76:$AE$78, 3, 0)</f>
        <v>2.3535676132223853</v>
      </c>
      <c r="Z176" s="76">
        <f>$R176*HLOOKUP(Z$77,'Conversions and Lookups'!$B$76:$AE$78, 3, 0)</f>
        <v>2.3502628412892275</v>
      </c>
      <c r="AA176" s="76">
        <f>$R176*HLOOKUP(AA$77,'Conversions and Lookups'!$B$76:$AE$78, 3, 0)</f>
        <v>2.3166087471091799</v>
      </c>
      <c r="AB176" s="76">
        <f>$R176*HLOOKUP(AB$77,'Conversions and Lookups'!$B$76:$AE$78, 3, 0)</f>
        <v>2.0063360022817083</v>
      </c>
      <c r="AC176" s="76">
        <f>$R176*HLOOKUP(AC$77,'Conversions and Lookups'!$B$76:$AE$78, 3, 0)</f>
        <v>1.8721940441913578</v>
      </c>
      <c r="AD176" s="76">
        <f>$R176*HLOOKUP(AD$77,'Conversions and Lookups'!$B$76:$AE$78, 3, 0)</f>
        <v>1.8507245567830877</v>
      </c>
      <c r="AE176" s="76">
        <f>$R176*HLOOKUP(AE$77,'Conversions and Lookups'!$B$76:$AE$78, 3, 0)</f>
        <v>1.8477717167917114</v>
      </c>
      <c r="AF176" s="76">
        <v>0</v>
      </c>
      <c r="AG176" s="76">
        <v>0</v>
      </c>
      <c r="AH176" s="76">
        <v>0</v>
      </c>
      <c r="AI176" s="76">
        <v>0</v>
      </c>
      <c r="AJ176" s="76">
        <v>0</v>
      </c>
      <c r="AK176" s="76">
        <v>0</v>
      </c>
      <c r="AL176" s="76">
        <v>0</v>
      </c>
      <c r="AM176" s="76">
        <v>0</v>
      </c>
      <c r="AN176" s="76">
        <v>0</v>
      </c>
      <c r="AO176" s="76">
        <v>0</v>
      </c>
      <c r="AP176" s="76">
        <v>0</v>
      </c>
      <c r="AQ176" s="76">
        <v>0</v>
      </c>
      <c r="AR176" s="77">
        <v>0</v>
      </c>
      <c r="AT176" s="82">
        <f>SUMIFS('Conversions and Lookups'!$F$58:$F$72,'Conversions and Lookups'!$G$58:$G$72,'Measure 2'!AT$77,'Conversions and Lookups'!$C$58:$C$72,'Measure 2'!$C176)*'Measure 2'!$F176</f>
        <v>168798.22751999999</v>
      </c>
      <c r="AU176" s="30">
        <f>SUMIFS('Conversions and Lookups'!$F$58:$F$72,'Conversions and Lookups'!$G$58:$G$72,'Measure 2'!AU$77,'Conversions and Lookups'!$C$58:$C$72,'Measure 2'!$C176)*'Measure 2'!$F176</f>
        <v>4333.2681599999996</v>
      </c>
      <c r="AV176" s="83">
        <f>SUMIFS('Conversions and Lookups'!$F$58:$F$72,'Conversions and Lookups'!$G$58:$G$72,'Measure 2'!AV$77,'Conversions and Lookups'!$C$58:$C$72,'Measure 2'!$C176)*'Measure 2'!$F176</f>
        <v>99.61536000000001</v>
      </c>
    </row>
    <row r="177" spans="2:48" x14ac:dyDescent="0.35">
      <c r="B177" s="57" t="s">
        <v>119</v>
      </c>
      <c r="C177" s="58" t="s">
        <v>222</v>
      </c>
      <c r="D177" s="58">
        <v>1</v>
      </c>
      <c r="E177" s="59">
        <v>11419.759999999998</v>
      </c>
      <c r="F177" s="59">
        <f t="shared" si="55"/>
        <v>11419.759999999998</v>
      </c>
      <c r="G177" s="58" t="s">
        <v>279</v>
      </c>
      <c r="H177" s="60">
        <f>VLOOKUP($C177,'Conversions and Lookups'!$B$30:$E$36, 3, 0)</f>
        <v>20.9</v>
      </c>
      <c r="I177" s="61">
        <f t="shared" si="56"/>
        <v>546.4</v>
      </c>
      <c r="J177" s="62">
        <f>I177*VLOOKUP($G177,'Conversions and Lookups'!$B$41:$D$43,3, 0)</f>
        <v>5.5787440000000004</v>
      </c>
      <c r="K177" s="63">
        <f>$F177*VLOOKUP($C177,'Conversions and Lookups'!$C$47:$G$52, 4, 0)</f>
        <v>2.5260509119999996E-3</v>
      </c>
      <c r="L177" s="64">
        <f>$F177*VLOOKUP($C177,'Conversions and Lookups'!$C$47:$G$52, 5, 0)</f>
        <v>3.631483679999999E-3</v>
      </c>
      <c r="M177" s="62">
        <f t="shared" si="57"/>
        <v>5.5849015345920012</v>
      </c>
      <c r="N177" s="62">
        <f t="shared" si="58"/>
        <v>27.924507672960004</v>
      </c>
      <c r="O177" s="65">
        <f t="shared" si="59"/>
        <v>67.018818415104022</v>
      </c>
      <c r="Q177" s="75">
        <f>VLOOKUP($C177,'Conversions and Lookups'!$B$30:$E$36, 4, 0)</f>
        <v>0.43888523151195957</v>
      </c>
      <c r="R177" s="30">
        <f t="shared" si="60"/>
        <v>5011.9640114110143</v>
      </c>
      <c r="S177">
        <v>0</v>
      </c>
      <c r="T177" s="76">
        <f>$R177*HLOOKUP(T$77,'Conversions and Lookups'!$B$76:$AE$78, 3, 0)</f>
        <v>1.3149636702024798</v>
      </c>
      <c r="U177" s="76">
        <f>$R177*HLOOKUP(U$77,'Conversions and Lookups'!$B$76:$AE$78, 3, 0)</f>
        <v>1.2040575671776284</v>
      </c>
      <c r="V177" s="76">
        <f>$R177*HLOOKUP(V$77,'Conversions and Lookups'!$B$76:$AE$78, 3, 0)</f>
        <v>1.1641912695960277</v>
      </c>
      <c r="W177" s="76">
        <f>$R177*HLOOKUP(W$77,'Conversions and Lookups'!$B$76:$AE$78, 3, 0)</f>
        <v>0.98858616189983739</v>
      </c>
      <c r="X177" s="76">
        <f>$R177*HLOOKUP(X$77,'Conversions and Lookups'!$B$76:$AE$78, 3, 0)</f>
        <v>0.92576989289922473</v>
      </c>
      <c r="Y177" s="76">
        <f>$R177*HLOOKUP(Y$77,'Conversions and Lookups'!$B$76:$AE$78, 3, 0)</f>
        <v>0.86779567303089689</v>
      </c>
      <c r="Z177" s="76">
        <f>$R177*HLOOKUP(Z$77,'Conversions and Lookups'!$B$76:$AE$78, 3, 0)</f>
        <v>0.86657715406087177</v>
      </c>
      <c r="AA177" s="76">
        <f>$R177*HLOOKUP(AA$77,'Conversions and Lookups'!$B$76:$AE$78, 3, 0)</f>
        <v>0.85416838486080882</v>
      </c>
      <c r="AB177" s="76">
        <f>$R177*HLOOKUP(AB$77,'Conversions and Lookups'!$B$76:$AE$78, 3, 0)</f>
        <v>0.73976617100129205</v>
      </c>
      <c r="AC177" s="76">
        <f>$R177*HLOOKUP(AC$77,'Conversions and Lookups'!$B$76:$AE$78, 3, 0)</f>
        <v>0.6903060194642312</v>
      </c>
      <c r="AD177" s="76">
        <f>$R177*HLOOKUP(AD$77,'Conversions and Lookups'!$B$76:$AE$78, 3, 0)</f>
        <v>0.6823898975009538</v>
      </c>
      <c r="AE177" s="76">
        <f>$R177*HLOOKUP(AE$77,'Conversions and Lookups'!$B$76:$AE$78, 3, 0)</f>
        <v>0.68130114111542528</v>
      </c>
      <c r="AF177" s="76">
        <v>0</v>
      </c>
      <c r="AG177" s="76">
        <v>0</v>
      </c>
      <c r="AH177" s="76">
        <v>0</v>
      </c>
      <c r="AI177" s="76">
        <v>0</v>
      </c>
      <c r="AJ177" s="76">
        <v>0</v>
      </c>
      <c r="AK177" s="76">
        <v>0</v>
      </c>
      <c r="AL177" s="76">
        <v>0</v>
      </c>
      <c r="AM177" s="76">
        <v>0</v>
      </c>
      <c r="AN177" s="76">
        <v>0</v>
      </c>
      <c r="AO177" s="76">
        <v>0</v>
      </c>
      <c r="AP177" s="76">
        <v>0</v>
      </c>
      <c r="AQ177" s="76">
        <v>0</v>
      </c>
      <c r="AR177" s="77">
        <v>0</v>
      </c>
      <c r="AT177" s="82">
        <f>SUMIFS('Conversions and Lookups'!$F$58:$F$72,'Conversions and Lookups'!$G$58:$G$72,'Measure 2'!AT$77,'Conversions and Lookups'!$C$58:$C$72,'Measure 2'!$C177)*'Measure 2'!$F177</f>
        <v>34613.292559999994</v>
      </c>
      <c r="AU177" s="30">
        <f>SUMIFS('Conversions and Lookups'!$F$58:$F$72,'Conversions and Lookups'!$G$58:$G$72,'Measure 2'!AU$77,'Conversions and Lookups'!$C$58:$C$72,'Measure 2'!$C177)*'Measure 2'!$F177</f>
        <v>1404.6304799999998</v>
      </c>
      <c r="AV177" s="83">
        <f>SUMIFS('Conversions and Lookups'!$F$58:$F$72,'Conversions and Lookups'!$G$58:$G$72,'Measure 2'!AV$77,'Conversions and Lookups'!$C$58:$C$72,'Measure 2'!$C177)*'Measure 2'!$F177</f>
        <v>22.839519999999997</v>
      </c>
    </row>
    <row r="178" spans="2:48" x14ac:dyDescent="0.35">
      <c r="B178" s="57" t="s">
        <v>119</v>
      </c>
      <c r="C178" s="58" t="s">
        <v>219</v>
      </c>
      <c r="D178" s="58">
        <v>12</v>
      </c>
      <c r="E178" s="59">
        <v>5211.4285714285716</v>
      </c>
      <c r="F178" s="59">
        <f t="shared" si="55"/>
        <v>62537.142857142855</v>
      </c>
      <c r="G178" s="58" t="s">
        <v>279</v>
      </c>
      <c r="H178" s="60">
        <f>VLOOKUP($C178,'Conversions and Lookups'!$B$30:$E$36, 3, 0)</f>
        <v>10.38961038961039</v>
      </c>
      <c r="I178" s="61">
        <f t="shared" si="56"/>
        <v>6019.2</v>
      </c>
      <c r="J178" s="62">
        <f>I178*VLOOKUP($G178,'Conversions and Lookups'!$B$41:$D$43,3, 0)</f>
        <v>61.456032</v>
      </c>
      <c r="K178" s="63">
        <f>$F178*VLOOKUP($C178,'Conversions and Lookups'!$C$47:$G$52, 4, 0)</f>
        <v>5.0780159999999998E-2</v>
      </c>
      <c r="L178" s="64">
        <f>$F178*VLOOKUP($C178,'Conversions and Lookups'!$C$47:$G$52, 5, 0)</f>
        <v>0.35464813714285709</v>
      </c>
      <c r="M178" s="62">
        <f t="shared" si="57"/>
        <v>61.861460297142862</v>
      </c>
      <c r="N178" s="62">
        <f t="shared" si="58"/>
        <v>309.30730148571433</v>
      </c>
      <c r="O178" s="65">
        <f t="shared" si="59"/>
        <v>742.33752356571438</v>
      </c>
      <c r="Q178" s="75">
        <f>VLOOKUP($C178,'Conversions and Lookups'!$B$30:$E$36, 4, 0)</f>
        <v>0.94046835323991351</v>
      </c>
      <c r="R178" s="30">
        <f t="shared" si="60"/>
        <v>58814.203759186363</v>
      </c>
      <c r="S178">
        <v>0</v>
      </c>
      <c r="T178" s="76">
        <f>$R178*HLOOKUP(T$77,'Conversions and Lookups'!$B$76:$AE$78, 3, 0)</f>
        <v>15.43078542845385</v>
      </c>
      <c r="U178" s="76">
        <f>$R178*HLOOKUP(U$77,'Conversions and Lookups'!$B$76:$AE$78, 3, 0)</f>
        <v>14.129328728726959</v>
      </c>
      <c r="V178" s="76">
        <f>$R178*HLOOKUP(V$77,'Conversions and Lookups'!$B$76:$AE$78, 3, 0)</f>
        <v>13.661507223275143</v>
      </c>
      <c r="W178" s="76">
        <f>$R178*HLOOKUP(W$77,'Conversions and Lookups'!$B$76:$AE$78, 3, 0)</f>
        <v>11.600823115870719</v>
      </c>
      <c r="X178" s="76">
        <f>$R178*HLOOKUP(X$77,'Conversions and Lookups'!$B$76:$AE$78, 3, 0)</f>
        <v>10.863689162797144</v>
      </c>
      <c r="Y178" s="76">
        <f>$R178*HLOOKUP(Y$77,'Conversions and Lookups'!$B$76:$AE$78, 3, 0)</f>
        <v>10.183375502852135</v>
      </c>
      <c r="Z178" s="76">
        <f>$R178*HLOOKUP(Z$77,'Conversions and Lookups'!$B$76:$AE$78, 3, 0)</f>
        <v>10.169076473005884</v>
      </c>
      <c r="AA178" s="76">
        <f>$R178*HLOOKUP(AA$77,'Conversions and Lookups'!$B$76:$AE$78, 3, 0)</f>
        <v>10.023462522372636</v>
      </c>
      <c r="AB178" s="76">
        <f>$R178*HLOOKUP(AB$77,'Conversions and Lookups'!$B$76:$AE$78, 3, 0)</f>
        <v>8.6809797948198177</v>
      </c>
      <c r="AC178" s="76">
        <f>$R178*HLOOKUP(AC$77,'Conversions and Lookups'!$B$76:$AE$78, 3, 0)</f>
        <v>8.1005766985809089</v>
      </c>
      <c r="AD178" s="76">
        <f>$R178*HLOOKUP(AD$77,'Conversions and Lookups'!$B$76:$AE$78, 3, 0)</f>
        <v>8.0076828930645974</v>
      </c>
      <c r="AE178" s="76">
        <f>$R178*HLOOKUP(AE$77,'Conversions and Lookups'!$B$76:$AE$78, 3, 0)</f>
        <v>7.9949065962362882</v>
      </c>
      <c r="AF178" s="76">
        <v>0</v>
      </c>
      <c r="AG178" s="76">
        <v>0</v>
      </c>
      <c r="AH178" s="76">
        <v>0</v>
      </c>
      <c r="AI178" s="76">
        <v>0</v>
      </c>
      <c r="AJ178" s="76">
        <v>0</v>
      </c>
      <c r="AK178" s="76">
        <v>0</v>
      </c>
      <c r="AL178" s="76">
        <v>0</v>
      </c>
      <c r="AM178" s="76">
        <v>0</v>
      </c>
      <c r="AN178" s="76">
        <v>0</v>
      </c>
      <c r="AO178" s="76">
        <v>0</v>
      </c>
      <c r="AP178" s="76">
        <v>0</v>
      </c>
      <c r="AQ178" s="76">
        <v>0</v>
      </c>
      <c r="AR178" s="77">
        <v>0</v>
      </c>
      <c r="AT178" s="82">
        <f>SUMIFS('Conversions and Lookups'!$F$58:$F$72,'Conversions and Lookups'!$G$58:$G$72,'Measure 2'!AT$77,'Conversions and Lookups'!$C$58:$C$72,'Measure 2'!$C178)*'Measure 2'!$F178</f>
        <v>100622.26285714285</v>
      </c>
      <c r="AU178" s="30">
        <f>SUMIFS('Conversions and Lookups'!$F$58:$F$72,'Conversions and Lookups'!$G$58:$G$72,'Measure 2'!AU$77,'Conversions and Lookups'!$C$58:$C$72,'Measure 2'!$C178)*'Measure 2'!$F178</f>
        <v>72230.399999999994</v>
      </c>
      <c r="AV178" s="83">
        <f>SUMIFS('Conversions and Lookups'!$F$58:$F$72,'Conversions and Lookups'!$G$58:$G$72,'Measure 2'!AV$77,'Conversions and Lookups'!$C$58:$C$72,'Measure 2'!$C178)*'Measure 2'!$F178</f>
        <v>3251.9314285714281</v>
      </c>
    </row>
    <row r="179" spans="2:48" x14ac:dyDescent="0.35">
      <c r="B179" s="57" t="s">
        <v>119</v>
      </c>
      <c r="C179" s="58" t="s">
        <v>219</v>
      </c>
      <c r="D179" s="58">
        <v>15</v>
      </c>
      <c r="E179" s="59">
        <v>6073.7662337662341</v>
      </c>
      <c r="F179" s="59">
        <f t="shared" si="55"/>
        <v>91106.493506493513</v>
      </c>
      <c r="G179" s="58" t="s">
        <v>279</v>
      </c>
      <c r="H179" s="60">
        <f>VLOOKUP($C179,'Conversions and Lookups'!$B$30:$E$36, 3, 0)</f>
        <v>10.38961038961039</v>
      </c>
      <c r="I179" s="61">
        <f t="shared" si="56"/>
        <v>8769</v>
      </c>
      <c r="J179" s="62">
        <f>I179*VLOOKUP($G179,'Conversions and Lookups'!$B$41:$D$43,3, 0)</f>
        <v>89.531490000000005</v>
      </c>
      <c r="K179" s="63">
        <f>$F179*VLOOKUP($C179,'Conversions and Lookups'!$C$47:$G$52, 4, 0)</f>
        <v>7.3978472727272732E-2</v>
      </c>
      <c r="L179" s="64">
        <f>$F179*VLOOKUP($C179,'Conversions and Lookups'!$C$47:$G$52, 5, 0)</f>
        <v>0.51666492467532465</v>
      </c>
      <c r="M179" s="62">
        <f t="shared" si="57"/>
        <v>90.122133397402607</v>
      </c>
      <c r="N179" s="62">
        <f t="shared" si="58"/>
        <v>450.61066698701302</v>
      </c>
      <c r="O179" s="65">
        <f t="shared" si="59"/>
        <v>1081.4656007688313</v>
      </c>
      <c r="Q179" s="75">
        <f>VLOOKUP($C179,'Conversions and Lookups'!$B$30:$E$36, 4, 0)</f>
        <v>0.94046835323991351</v>
      </c>
      <c r="R179" s="30">
        <f t="shared" si="60"/>
        <v>85682.773917514831</v>
      </c>
      <c r="S179">
        <v>0</v>
      </c>
      <c r="T179" s="76">
        <f>$R179*HLOOKUP(T$77,'Conversions and Lookups'!$B$76:$AE$78, 3, 0)</f>
        <v>22.480156403195082</v>
      </c>
      <c r="U179" s="76">
        <f>$R179*HLOOKUP(U$77,'Conversions and Lookups'!$B$76:$AE$78, 3, 0)</f>
        <v>20.584144674077407</v>
      </c>
      <c r="V179" s="76">
        <f>$R179*HLOOKUP(V$77,'Conversions and Lookups'!$B$76:$AE$78, 3, 0)</f>
        <v>19.90260447250461</v>
      </c>
      <c r="W179" s="76">
        <f>$R179*HLOOKUP(W$77,'Conversions and Lookups'!$B$76:$AE$78, 3, 0)</f>
        <v>16.900521315635029</v>
      </c>
      <c r="X179" s="76">
        <f>$R179*HLOOKUP(X$77,'Conversions and Lookups'!$B$76:$AE$78, 3, 0)</f>
        <v>15.826636474708959</v>
      </c>
      <c r="Y179" s="76">
        <f>$R179*HLOOKUP(Y$77,'Conversions and Lookups'!$B$76:$AE$78, 3, 0)</f>
        <v>14.835529602689789</v>
      </c>
      <c r="Z179" s="76">
        <f>$R179*HLOOKUP(Z$77,'Conversions and Lookups'!$B$76:$AE$78, 3, 0)</f>
        <v>14.814698230959033</v>
      </c>
      <c r="AA179" s="76">
        <f>$R179*HLOOKUP(AA$77,'Conversions and Lookups'!$B$76:$AE$78, 3, 0)</f>
        <v>14.602562277160697</v>
      </c>
      <c r="AB179" s="76">
        <f>$R179*HLOOKUP(AB$77,'Conversions and Lookups'!$B$76:$AE$78, 3, 0)</f>
        <v>12.646782266875164</v>
      </c>
      <c r="AC179" s="76">
        <f>$R179*HLOOKUP(AC$77,'Conversions and Lookups'!$B$76:$AE$78, 3, 0)</f>
        <v>11.801228912456139</v>
      </c>
      <c r="AD179" s="76">
        <f>$R179*HLOOKUP(AD$77,'Conversions and Lookups'!$B$76:$AE$78, 3, 0)</f>
        <v>11.665897675651824</v>
      </c>
      <c r="AE179" s="76">
        <f>$R179*HLOOKUP(AE$77,'Conversions and Lookups'!$B$76:$AE$78, 3, 0)</f>
        <v>11.647284679425175</v>
      </c>
      <c r="AF179" s="76">
        <v>0</v>
      </c>
      <c r="AG179" s="76">
        <v>0</v>
      </c>
      <c r="AH179" s="76">
        <v>0</v>
      </c>
      <c r="AI179" s="76">
        <v>0</v>
      </c>
      <c r="AJ179" s="76">
        <v>0</v>
      </c>
      <c r="AK179" s="76">
        <v>0</v>
      </c>
      <c r="AL179" s="76">
        <v>0</v>
      </c>
      <c r="AM179" s="76">
        <v>0</v>
      </c>
      <c r="AN179" s="76">
        <v>0</v>
      </c>
      <c r="AO179" s="76">
        <v>0</v>
      </c>
      <c r="AP179" s="76">
        <v>0</v>
      </c>
      <c r="AQ179" s="76">
        <v>0</v>
      </c>
      <c r="AR179" s="77">
        <v>0</v>
      </c>
      <c r="AT179" s="82">
        <f>SUMIFS('Conversions and Lookups'!$F$58:$F$72,'Conversions and Lookups'!$G$58:$G$72,'Measure 2'!AT$77,'Conversions and Lookups'!$C$58:$C$72,'Measure 2'!$C179)*'Measure 2'!$F179</f>
        <v>146590.34805194807</v>
      </c>
      <c r="AU179" s="30">
        <f>SUMIFS('Conversions and Lookups'!$F$58:$F$72,'Conversions and Lookups'!$G$58:$G$72,'Measure 2'!AU$77,'Conversions and Lookups'!$C$58:$C$72,'Measure 2'!$C179)*'Measure 2'!$F179</f>
        <v>105228.00000000001</v>
      </c>
      <c r="AV179" s="83">
        <f>SUMIFS('Conversions and Lookups'!$F$58:$F$72,'Conversions and Lookups'!$G$58:$G$72,'Measure 2'!AV$77,'Conversions and Lookups'!$C$58:$C$72,'Measure 2'!$C179)*'Measure 2'!$F179</f>
        <v>4737.5376623376624</v>
      </c>
    </row>
    <row r="180" spans="2:48" x14ac:dyDescent="0.35">
      <c r="B180" s="57" t="s">
        <v>119</v>
      </c>
      <c r="C180" s="58" t="s">
        <v>219</v>
      </c>
      <c r="D180" s="58">
        <v>1</v>
      </c>
      <c r="E180" s="59">
        <v>4549.6103896103896</v>
      </c>
      <c r="F180" s="59">
        <f t="shared" si="55"/>
        <v>4549.6103896103896</v>
      </c>
      <c r="G180" s="58" t="s">
        <v>279</v>
      </c>
      <c r="H180" s="60">
        <f>VLOOKUP($C180,'Conversions and Lookups'!$B$30:$E$36, 3, 0)</f>
        <v>10.38961038961039</v>
      </c>
      <c r="I180" s="61">
        <f t="shared" si="56"/>
        <v>437.9</v>
      </c>
      <c r="J180" s="62">
        <f>I180*VLOOKUP($G180,'Conversions and Lookups'!$B$41:$D$43,3, 0)</f>
        <v>4.4709589999999997</v>
      </c>
      <c r="K180" s="63">
        <f>$F180*VLOOKUP($C180,'Conversions and Lookups'!$C$47:$G$52, 4, 0)</f>
        <v>3.6942836363636363E-3</v>
      </c>
      <c r="L180" s="64">
        <f>$F180*VLOOKUP($C180,'Conversions and Lookups'!$C$47:$G$52, 5, 0)</f>
        <v>2.5800840519480516E-2</v>
      </c>
      <c r="M180" s="62">
        <f t="shared" si="57"/>
        <v>4.5004541241558442</v>
      </c>
      <c r="N180" s="62">
        <f t="shared" si="58"/>
        <v>22.502270620779221</v>
      </c>
      <c r="O180" s="65">
        <f t="shared" si="59"/>
        <v>54.005449489870131</v>
      </c>
      <c r="Q180" s="75">
        <f>VLOOKUP($C180,'Conversions and Lookups'!$B$30:$E$36, 4, 0)</f>
        <v>0.94046835323991351</v>
      </c>
      <c r="R180" s="30">
        <f t="shared" si="60"/>
        <v>4278.7645910000847</v>
      </c>
      <c r="S180">
        <v>0</v>
      </c>
      <c r="T180" s="76">
        <f>$R180*HLOOKUP(T$77,'Conversions and Lookups'!$B$76:$AE$78, 3, 0)</f>
        <v>1.1225978434210429</v>
      </c>
      <c r="U180" s="76">
        <f>$R180*HLOOKUP(U$77,'Conversions and Lookups'!$B$76:$AE$78, 3, 0)</f>
        <v>1.0279161766197396</v>
      </c>
      <c r="V180" s="76">
        <f>$R180*HLOOKUP(V$77,'Conversions and Lookups'!$B$76:$AE$78, 3, 0)</f>
        <v>0.99388191338918552</v>
      </c>
      <c r="W180" s="76">
        <f>$R180*HLOOKUP(W$77,'Conversions and Lookups'!$B$76:$AE$78, 3, 0)</f>
        <v>0.84396604904967243</v>
      </c>
      <c r="X180" s="76">
        <f>$R180*HLOOKUP(X$77,'Conversions and Lookups'!$B$76:$AE$78, 3, 0)</f>
        <v>0.79033916207949062</v>
      </c>
      <c r="Y180" s="76">
        <f>$R180*HLOOKUP(Y$77,'Conversions and Lookups'!$B$76:$AE$78, 3, 0)</f>
        <v>0.74084598164190418</v>
      </c>
      <c r="Z180" s="76">
        <f>$R180*HLOOKUP(Z$77,'Conversions and Lookups'!$B$76:$AE$78, 3, 0)</f>
        <v>0.73980571961876607</v>
      </c>
      <c r="AA180" s="76">
        <f>$R180*HLOOKUP(AA$77,'Conversions and Lookups'!$B$76:$AE$78, 3, 0)</f>
        <v>0.72921222729714552</v>
      </c>
      <c r="AB180" s="76">
        <f>$R180*HLOOKUP(AB$77,'Conversions and Lookups'!$B$76:$AE$78, 3, 0)</f>
        <v>0.63154589516075199</v>
      </c>
      <c r="AC180" s="76">
        <f>$R180*HLOOKUP(AC$77,'Conversions and Lookups'!$B$76:$AE$78, 3, 0)</f>
        <v>0.58932126134844831</v>
      </c>
      <c r="AD180" s="76">
        <f>$R180*HLOOKUP(AD$77,'Conversions and Lookups'!$B$76:$AE$78, 3, 0)</f>
        <v>0.5825631876118067</v>
      </c>
      <c r="AE180" s="76">
        <f>$R180*HLOOKUP(AE$77,'Conversions and Lookups'!$B$76:$AE$78, 3, 0)</f>
        <v>0.58163370522525759</v>
      </c>
      <c r="AF180" s="76">
        <v>0</v>
      </c>
      <c r="AG180" s="76">
        <v>0</v>
      </c>
      <c r="AH180" s="76">
        <v>0</v>
      </c>
      <c r="AI180" s="76">
        <v>0</v>
      </c>
      <c r="AJ180" s="76">
        <v>0</v>
      </c>
      <c r="AK180" s="76">
        <v>0</v>
      </c>
      <c r="AL180" s="76">
        <v>0</v>
      </c>
      <c r="AM180" s="76">
        <v>0</v>
      </c>
      <c r="AN180" s="76">
        <v>0</v>
      </c>
      <c r="AO180" s="76">
        <v>0</v>
      </c>
      <c r="AP180" s="76">
        <v>0</v>
      </c>
      <c r="AQ180" s="76">
        <v>0</v>
      </c>
      <c r="AR180" s="77">
        <v>0</v>
      </c>
      <c r="AT180" s="82">
        <f>SUMIFS('Conversions and Lookups'!$F$58:$F$72,'Conversions and Lookups'!$G$58:$G$72,'Measure 2'!AT$77,'Conversions and Lookups'!$C$58:$C$72,'Measure 2'!$C180)*'Measure 2'!$F180</f>
        <v>7320.3231168831171</v>
      </c>
      <c r="AU180" s="30">
        <f>SUMIFS('Conversions and Lookups'!$F$58:$F$72,'Conversions and Lookups'!$G$58:$G$72,'Measure 2'!AU$77,'Conversions and Lookups'!$C$58:$C$72,'Measure 2'!$C180)*'Measure 2'!$F180</f>
        <v>5254.8</v>
      </c>
      <c r="AV180" s="83">
        <f>SUMIFS('Conversions and Lookups'!$F$58:$F$72,'Conversions and Lookups'!$G$58:$G$72,'Measure 2'!AV$77,'Conversions and Lookups'!$C$58:$C$72,'Measure 2'!$C180)*'Measure 2'!$F180</f>
        <v>236.57974025974025</v>
      </c>
    </row>
    <row r="181" spans="2:48" x14ac:dyDescent="0.35">
      <c r="B181" s="57" t="s">
        <v>114</v>
      </c>
      <c r="C181" s="58" t="s">
        <v>212</v>
      </c>
      <c r="D181" s="58">
        <v>2</v>
      </c>
      <c r="E181" s="59">
        <v>12500</v>
      </c>
      <c r="F181" s="59">
        <f t="shared" si="55"/>
        <v>25000</v>
      </c>
      <c r="G181" s="58" t="s">
        <v>278</v>
      </c>
      <c r="H181" s="60">
        <f>VLOOKUP($C181,'Conversions and Lookups'!$B$30:$E$36, 3, 0)</f>
        <v>27.5</v>
      </c>
      <c r="I181" s="61">
        <f t="shared" si="56"/>
        <v>909.09090909090912</v>
      </c>
      <c r="J181" s="62">
        <f>I181*VLOOKUP($G181,'Conversions and Lookups'!$B$41:$D$43,3, 0)</f>
        <v>7.9818181818181815</v>
      </c>
      <c r="K181" s="63">
        <f>$F181*VLOOKUP($C181,'Conversions and Lookups'!$C$47:$G$52, 4, 0)</f>
        <v>3.5700000000000003E-3</v>
      </c>
      <c r="L181" s="64">
        <f>$F181*VLOOKUP($C181,'Conversions and Lookups'!$C$47:$G$52, 5, 0)</f>
        <v>9.2749999999999985E-3</v>
      </c>
      <c r="M181" s="62">
        <f t="shared" si="57"/>
        <v>7.994663181818181</v>
      </c>
      <c r="N181" s="62">
        <f t="shared" si="58"/>
        <v>39.973315909090907</v>
      </c>
      <c r="O181" s="65">
        <f t="shared" si="59"/>
        <v>95.935958181818165</v>
      </c>
      <c r="Q181" s="75">
        <f>VLOOKUP($C181,'Conversions and Lookups'!$B$30:$E$36, 4, 0)</f>
        <v>0.33428046130703665</v>
      </c>
      <c r="R181" s="30">
        <f t="shared" si="60"/>
        <v>8357.0115326759169</v>
      </c>
      <c r="S181">
        <v>0</v>
      </c>
      <c r="T181" s="76">
        <f>$R181*HLOOKUP(T$77,'Conversions and Lookups'!$B$76:$AE$78, 3, 0)</f>
        <v>2.1925868844852707</v>
      </c>
      <c r="U181" s="76">
        <f>$R181*HLOOKUP(U$77,'Conversions and Lookups'!$B$76:$AE$78, 3, 0)</f>
        <v>2.0076606599727578</v>
      </c>
      <c r="V181" s="76">
        <f>$R181*HLOOKUP(V$77,'Conversions and Lookups'!$B$76:$AE$78, 3, 0)</f>
        <v>1.9411870963366271</v>
      </c>
      <c r="W181" s="76">
        <f>$R181*HLOOKUP(W$77,'Conversions and Lookups'!$B$76:$AE$78, 3, 0)</f>
        <v>1.6483809415293214</v>
      </c>
      <c r="X181" s="76">
        <f>$R181*HLOOKUP(X$77,'Conversions and Lookups'!$B$76:$AE$78, 3, 0)</f>
        <v>1.5436403082600889</v>
      </c>
      <c r="Y181" s="76">
        <f>$R181*HLOOKUP(Y$77,'Conversions and Lookups'!$B$76:$AE$78, 3, 0)</f>
        <v>1.4469733683270731</v>
      </c>
      <c r="Z181" s="76">
        <f>$R181*HLOOKUP(Z$77,'Conversions and Lookups'!$B$76:$AE$78, 3, 0)</f>
        <v>1.4449415945429638</v>
      </c>
      <c r="AA181" s="76">
        <f>$R181*HLOOKUP(AA$77,'Conversions and Lookups'!$B$76:$AE$78, 3, 0)</f>
        <v>1.4242510574451035</v>
      </c>
      <c r="AB181" s="76">
        <f>$R181*HLOOKUP(AB$77,'Conversions and Lookups'!$B$76:$AE$78, 3, 0)</f>
        <v>1.2334953739623566</v>
      </c>
      <c r="AC181" s="76">
        <f>$R181*HLOOKUP(AC$77,'Conversions and Lookups'!$B$76:$AE$78, 3, 0)</f>
        <v>1.1510248981444848</v>
      </c>
      <c r="AD181" s="76">
        <f>$R181*HLOOKUP(AD$77,'Conversions and Lookups'!$B$76:$AE$78, 3, 0)</f>
        <v>1.1378254572884532</v>
      </c>
      <c r="AE181" s="76">
        <f>$R181*HLOOKUP(AE$77,'Conversions and Lookups'!$B$76:$AE$78, 3, 0)</f>
        <v>1.136010051262109</v>
      </c>
      <c r="AF181" s="76">
        <v>0</v>
      </c>
      <c r="AG181" s="76">
        <v>0</v>
      </c>
      <c r="AH181" s="76">
        <v>0</v>
      </c>
      <c r="AI181" s="76">
        <v>0</v>
      </c>
      <c r="AJ181" s="76">
        <v>0</v>
      </c>
      <c r="AK181" s="76">
        <v>0</v>
      </c>
      <c r="AL181" s="76">
        <v>0</v>
      </c>
      <c r="AM181" s="76">
        <v>0</v>
      </c>
      <c r="AN181" s="76">
        <v>0</v>
      </c>
      <c r="AO181" s="76">
        <v>0</v>
      </c>
      <c r="AP181" s="76">
        <v>0</v>
      </c>
      <c r="AQ181" s="76">
        <v>0</v>
      </c>
      <c r="AR181" s="77">
        <v>0</v>
      </c>
      <c r="AT181" s="82">
        <f>SUMIFS('Conversions and Lookups'!$F$58:$F$72,'Conversions and Lookups'!$G$58:$G$72,'Measure 2'!AT$77,'Conversions and Lookups'!$C$58:$C$72,'Measure 2'!$C181)*'Measure 2'!$F181</f>
        <v>84725</v>
      </c>
      <c r="AU181" s="30">
        <f>SUMIFS('Conversions and Lookups'!$F$58:$F$72,'Conversions and Lookups'!$G$58:$G$72,'Measure 2'!AU$77,'Conversions and Lookups'!$C$58:$C$72,'Measure 2'!$C181)*'Measure 2'!$F181</f>
        <v>2175</v>
      </c>
      <c r="AV181" s="83">
        <f>SUMIFS('Conversions and Lookups'!$F$58:$F$72,'Conversions and Lookups'!$G$58:$G$72,'Measure 2'!AV$77,'Conversions and Lookups'!$C$58:$C$72,'Measure 2'!$C181)*'Measure 2'!$F181</f>
        <v>50</v>
      </c>
    </row>
    <row r="182" spans="2:48" x14ac:dyDescent="0.35">
      <c r="B182" s="57" t="s">
        <v>114</v>
      </c>
      <c r="C182" s="58" t="s">
        <v>234</v>
      </c>
      <c r="D182" s="58">
        <v>48</v>
      </c>
      <c r="E182" s="59">
        <v>2500</v>
      </c>
      <c r="F182" s="59">
        <f t="shared" si="55"/>
        <v>120000</v>
      </c>
      <c r="G182" s="58" t="s">
        <v>278</v>
      </c>
      <c r="H182" s="60">
        <f>VLOOKUP($C182,'Conversions and Lookups'!$B$30:$E$36, 3, 0)</f>
        <v>30.7</v>
      </c>
      <c r="I182" s="61">
        <f t="shared" si="56"/>
        <v>3908.7947882736157</v>
      </c>
      <c r="J182" s="62">
        <f>I182*VLOOKUP($G182,'Conversions and Lookups'!$B$41:$D$43,3, 0)</f>
        <v>34.319218241042343</v>
      </c>
      <c r="K182" s="63">
        <f>$F182*VLOOKUP($C182,'Conversions and Lookups'!$C$47:$G$52, 4, 0)</f>
        <v>1.7136000000000002E-2</v>
      </c>
      <c r="L182" s="64">
        <f>$F182*VLOOKUP($C182,'Conversions and Lookups'!$C$47:$G$52, 5, 0)</f>
        <v>4.4519999999999997E-2</v>
      </c>
      <c r="M182" s="62">
        <f t="shared" si="57"/>
        <v>34.380874241042342</v>
      </c>
      <c r="N182" s="62">
        <f t="shared" si="58"/>
        <v>171.9043712052117</v>
      </c>
      <c r="O182" s="65">
        <f t="shared" si="59"/>
        <v>412.57049089250813</v>
      </c>
      <c r="Q182" s="75">
        <f>VLOOKUP($C182,'Conversions and Lookups'!$B$30:$E$36, 4, 0)</f>
        <v>0.27291086731073633</v>
      </c>
      <c r="R182" s="30">
        <f t="shared" si="60"/>
        <v>32749.304077288358</v>
      </c>
      <c r="S182">
        <v>0</v>
      </c>
      <c r="T182" s="76">
        <f>$R182*HLOOKUP(T$77,'Conversions and Lookups'!$B$76:$AE$78, 3, 0)</f>
        <v>8.5922694153432921</v>
      </c>
      <c r="U182" s="76">
        <f>$R182*HLOOKUP(U$77,'Conversions and Lookups'!$B$76:$AE$78, 3, 0)</f>
        <v>7.8675839060861357</v>
      </c>
      <c r="V182" s="76">
        <f>$R182*HLOOKUP(V$77,'Conversions and Lookups'!$B$76:$AE$78, 3, 0)</f>
        <v>7.6070885196541917</v>
      </c>
      <c r="W182" s="76">
        <f>$R182*HLOOKUP(W$77,'Conversions and Lookups'!$B$76:$AE$78, 3, 0)</f>
        <v>6.4596451109676947</v>
      </c>
      <c r="X182" s="76">
        <f>$R182*HLOOKUP(X$77,'Conversions and Lookups'!$B$76:$AE$78, 3, 0)</f>
        <v>6.0491894313542556</v>
      </c>
      <c r="Y182" s="76">
        <f>$R182*HLOOKUP(Y$77,'Conversions and Lookups'!$B$76:$AE$78, 3, 0)</f>
        <v>5.6703727936472097</v>
      </c>
      <c r="Z182" s="76">
        <f>$R182*HLOOKUP(Z$77,'Conversions and Lookups'!$B$76:$AE$78, 3, 0)</f>
        <v>5.6624107156709025</v>
      </c>
      <c r="AA182" s="76">
        <f>$R182*HLOOKUP(AA$77,'Conversions and Lookups'!$B$76:$AE$78, 3, 0)</f>
        <v>5.5813290169929939</v>
      </c>
      <c r="AB182" s="76">
        <f>$R182*HLOOKUP(AB$77,'Conversions and Lookups'!$B$76:$AE$78, 3, 0)</f>
        <v>4.8337991304514683</v>
      </c>
      <c r="AC182" s="76">
        <f>$R182*HLOOKUP(AC$77,'Conversions and Lookups'!$B$76:$AE$78, 3, 0)</f>
        <v>4.5106153368910764</v>
      </c>
      <c r="AD182" s="76">
        <f>$R182*HLOOKUP(AD$77,'Conversions and Lookups'!$B$76:$AE$78, 3, 0)</f>
        <v>4.4588896092725161</v>
      </c>
      <c r="AE182" s="76">
        <f>$R182*HLOOKUP(AE$77,'Conversions and Lookups'!$B$76:$AE$78, 3, 0)</f>
        <v>4.4517754293114109</v>
      </c>
      <c r="AF182" s="76">
        <v>0</v>
      </c>
      <c r="AG182" s="76">
        <v>0</v>
      </c>
      <c r="AH182" s="76">
        <v>0</v>
      </c>
      <c r="AI182" s="76">
        <v>0</v>
      </c>
      <c r="AJ182" s="76">
        <v>0</v>
      </c>
      <c r="AK182" s="76">
        <v>0</v>
      </c>
      <c r="AL182" s="76">
        <v>0</v>
      </c>
      <c r="AM182" s="76">
        <v>0</v>
      </c>
      <c r="AN182" s="76">
        <v>0</v>
      </c>
      <c r="AO182" s="76">
        <v>0</v>
      </c>
      <c r="AP182" s="76">
        <v>0</v>
      </c>
      <c r="AQ182" s="76">
        <v>0</v>
      </c>
      <c r="AR182" s="77">
        <v>0</v>
      </c>
      <c r="AT182" s="82">
        <f>SUMIFS('Conversions and Lookups'!$F$58:$F$72,'Conversions and Lookups'!$G$58:$G$72,'Measure 2'!AT$77,'Conversions and Lookups'!$C$58:$C$72,'Measure 2'!$C182)*'Measure 2'!$F182</f>
        <v>406680</v>
      </c>
      <c r="AU182" s="30">
        <f>SUMIFS('Conversions and Lookups'!$F$58:$F$72,'Conversions and Lookups'!$G$58:$G$72,'Measure 2'!AU$77,'Conversions and Lookups'!$C$58:$C$72,'Measure 2'!$C182)*'Measure 2'!$F182</f>
        <v>10440</v>
      </c>
      <c r="AV182" s="83">
        <f>SUMIFS('Conversions and Lookups'!$F$58:$F$72,'Conversions and Lookups'!$G$58:$G$72,'Measure 2'!AV$77,'Conversions and Lookups'!$C$58:$C$72,'Measure 2'!$C182)*'Measure 2'!$F182</f>
        <v>240</v>
      </c>
    </row>
    <row r="183" spans="2:48" x14ac:dyDescent="0.35">
      <c r="B183" s="57" t="s">
        <v>113</v>
      </c>
      <c r="C183" s="58" t="s">
        <v>234</v>
      </c>
      <c r="D183" s="58">
        <v>1</v>
      </c>
      <c r="E183" s="59">
        <v>8646.184172570689</v>
      </c>
      <c r="F183" s="59">
        <f t="shared" si="55"/>
        <v>8646.184172570689</v>
      </c>
      <c r="G183" s="58" t="s">
        <v>278</v>
      </c>
      <c r="H183" s="60">
        <f>VLOOKUP($C183,'Conversions and Lookups'!$B$30:$E$36, 3, 0)</f>
        <v>30.7</v>
      </c>
      <c r="I183" s="61">
        <f t="shared" si="56"/>
        <v>281.63466360165114</v>
      </c>
      <c r="J183" s="62">
        <f>I183*VLOOKUP($G183,'Conversions and Lookups'!$B$41:$D$43,3, 0)</f>
        <v>2.4727523464224967</v>
      </c>
      <c r="K183" s="63">
        <f>$F183*VLOOKUP($C183,'Conversions and Lookups'!$C$47:$G$52, 4, 0)</f>
        <v>1.2346750998430945E-3</v>
      </c>
      <c r="L183" s="64">
        <f>$F183*VLOOKUP($C183,'Conversions and Lookups'!$C$47:$G$52, 5, 0)</f>
        <v>3.2077343280237252E-3</v>
      </c>
      <c r="M183" s="62">
        <f t="shared" si="57"/>
        <v>2.4771947558503635</v>
      </c>
      <c r="N183" s="62">
        <f t="shared" si="58"/>
        <v>12.385973779251817</v>
      </c>
      <c r="O183" s="65">
        <f t="shared" si="59"/>
        <v>29.726337070204362</v>
      </c>
      <c r="Q183" s="75">
        <f>VLOOKUP($C183,'Conversions and Lookups'!$B$30:$E$36, 4, 0)</f>
        <v>0.27291086731073633</v>
      </c>
      <c r="R183" s="30">
        <f t="shared" si="60"/>
        <v>2359.637621464628</v>
      </c>
      <c r="S183">
        <v>0</v>
      </c>
      <c r="T183" s="76">
        <f>$R183*HLOOKUP(T$77,'Conversions and Lookups'!$B$76:$AE$78, 3, 0)</f>
        <v>0.61908619854503655</v>
      </c>
      <c r="U183" s="76">
        <f>$R183*HLOOKUP(U$77,'Conversions and Lookups'!$B$76:$AE$78, 3, 0)</f>
        <v>0.56687149537644865</v>
      </c>
      <c r="V183" s="76">
        <f>$R183*HLOOKUP(V$77,'Conversions and Lookups'!$B$76:$AE$78, 3, 0)</f>
        <v>0.54810240298315227</v>
      </c>
      <c r="W183" s="76">
        <f>$R183*HLOOKUP(W$77,'Conversions and Lookups'!$B$76:$AE$78, 3, 0)</f>
        <v>0.46542734432393768</v>
      </c>
      <c r="X183" s="76">
        <f>$R183*HLOOKUP(X$77,'Conversions and Lookups'!$B$76:$AE$78, 3, 0)</f>
        <v>0.43585338265214213</v>
      </c>
      <c r="Y183" s="76">
        <f>$R183*HLOOKUP(Y$77,'Conversions and Lookups'!$B$76:$AE$78, 3, 0)</f>
        <v>0.40855906250839957</v>
      </c>
      <c r="Z183" s="76">
        <f>$R183*HLOOKUP(Z$77,'Conversions and Lookups'!$B$76:$AE$78, 3, 0)</f>
        <v>0.40798538257023687</v>
      </c>
      <c r="AA183" s="76">
        <f>$R183*HLOOKUP(AA$77,'Conversions and Lookups'!$B$76:$AE$78, 3, 0)</f>
        <v>0.40214332173861955</v>
      </c>
      <c r="AB183" s="76">
        <f>$R183*HLOOKUP(AB$77,'Conversions and Lookups'!$B$76:$AE$78, 3, 0)</f>
        <v>0.34828264612579535</v>
      </c>
      <c r="AC183" s="76">
        <f>$R183*HLOOKUP(AC$77,'Conversions and Lookups'!$B$76:$AE$78, 3, 0)</f>
        <v>0.3249967577865186</v>
      </c>
      <c r="AD183" s="76">
        <f>$R183*HLOOKUP(AD$77,'Conversions and Lookups'!$B$76:$AE$78, 3, 0)</f>
        <v>0.32126983972443279</v>
      </c>
      <c r="AE183" s="76">
        <f>$R183*HLOOKUP(AE$77,'Conversions and Lookups'!$B$76:$AE$78, 3, 0)</f>
        <v>0.32075725213959505</v>
      </c>
      <c r="AF183" s="76">
        <v>0</v>
      </c>
      <c r="AG183" s="76">
        <v>0</v>
      </c>
      <c r="AH183" s="76">
        <v>0</v>
      </c>
      <c r="AI183" s="76">
        <v>0</v>
      </c>
      <c r="AJ183" s="76">
        <v>0</v>
      </c>
      <c r="AK183" s="76">
        <v>0</v>
      </c>
      <c r="AL183" s="76">
        <v>0</v>
      </c>
      <c r="AM183" s="76">
        <v>0</v>
      </c>
      <c r="AN183" s="76">
        <v>0</v>
      </c>
      <c r="AO183" s="76">
        <v>0</v>
      </c>
      <c r="AP183" s="76">
        <v>0</v>
      </c>
      <c r="AQ183" s="76">
        <v>0</v>
      </c>
      <c r="AR183" s="77">
        <v>0</v>
      </c>
      <c r="AT183" s="82">
        <f>SUMIFS('Conversions and Lookups'!$F$58:$F$72,'Conversions and Lookups'!$G$58:$G$72,'Measure 2'!AT$77,'Conversions and Lookups'!$C$58:$C$72,'Measure 2'!$C183)*'Measure 2'!$F183</f>
        <v>29301.918160842062</v>
      </c>
      <c r="AU183" s="30">
        <f>SUMIFS('Conversions and Lookups'!$F$58:$F$72,'Conversions and Lookups'!$G$58:$G$72,'Measure 2'!AU$77,'Conversions and Lookups'!$C$58:$C$72,'Measure 2'!$C183)*'Measure 2'!$F183</f>
        <v>752.21802301364994</v>
      </c>
      <c r="AV183" s="83">
        <f>SUMIFS('Conversions and Lookups'!$F$58:$F$72,'Conversions and Lookups'!$G$58:$G$72,'Measure 2'!AV$77,'Conversions and Lookups'!$C$58:$C$72,'Measure 2'!$C183)*'Measure 2'!$F183</f>
        <v>17.29236834514138</v>
      </c>
    </row>
    <row r="184" spans="2:48" x14ac:dyDescent="0.35">
      <c r="B184" s="57" t="s">
        <v>113</v>
      </c>
      <c r="C184" s="58" t="s">
        <v>212</v>
      </c>
      <c r="D184" s="58">
        <v>2</v>
      </c>
      <c r="E184" s="59">
        <v>8646.184172570689</v>
      </c>
      <c r="F184" s="59">
        <f t="shared" si="55"/>
        <v>17292.368345141378</v>
      </c>
      <c r="G184" s="58" t="s">
        <v>278</v>
      </c>
      <c r="H184" s="60">
        <f>VLOOKUP($C184,'Conversions and Lookups'!$B$30:$E$36, 3, 0)</f>
        <v>27.5</v>
      </c>
      <c r="I184" s="61">
        <f t="shared" si="56"/>
        <v>628.81339436877738</v>
      </c>
      <c r="J184" s="62">
        <f>I184*VLOOKUP($G184,'Conversions and Lookups'!$B$41:$D$43,3, 0)</f>
        <v>5.5209816025578649</v>
      </c>
      <c r="K184" s="63">
        <f>$F184*VLOOKUP($C184,'Conversions and Lookups'!$C$47:$G$52, 4, 0)</f>
        <v>2.469350199686189E-3</v>
      </c>
      <c r="L184" s="64">
        <f>$F184*VLOOKUP($C184,'Conversions and Lookups'!$C$47:$G$52, 5, 0)</f>
        <v>6.4154686560474504E-3</v>
      </c>
      <c r="M184" s="62">
        <f t="shared" si="57"/>
        <v>5.5298664214135984</v>
      </c>
      <c r="N184" s="62">
        <f t="shared" si="58"/>
        <v>27.649332107067991</v>
      </c>
      <c r="O184" s="65">
        <f t="shared" si="59"/>
        <v>66.358397056963184</v>
      </c>
      <c r="Q184" s="75">
        <f>VLOOKUP($C184,'Conversions and Lookups'!$B$30:$E$36, 4, 0)</f>
        <v>0.33428046130703665</v>
      </c>
      <c r="R184" s="30">
        <f t="shared" si="60"/>
        <v>5780.5008675050576</v>
      </c>
      <c r="S184">
        <v>0</v>
      </c>
      <c r="T184" s="76">
        <f>$R184*HLOOKUP(T$77,'Conversions and Lookups'!$B$76:$AE$78, 3, 0)</f>
        <v>1.5166008014098098</v>
      </c>
      <c r="U184" s="76">
        <f>$R184*HLOOKUP(U$77,'Conversions and Lookups'!$B$76:$AE$78, 3, 0)</f>
        <v>1.3886883057719426</v>
      </c>
      <c r="V184" s="76">
        <f>$R184*HLOOKUP(V$77,'Conversions and Lookups'!$B$76:$AE$78, 3, 0)</f>
        <v>1.3427088918675358</v>
      </c>
      <c r="W184" s="76">
        <f>$R184*HLOOKUP(W$77,'Conversions and Lookups'!$B$76:$AE$78, 3, 0)</f>
        <v>1.140176416561439</v>
      </c>
      <c r="X184" s="76">
        <f>$R184*HLOOKUP(X$77,'Conversions and Lookups'!$B$76:$AE$78, 3, 0)</f>
        <v>1.0677278721136414</v>
      </c>
      <c r="Y184" s="76">
        <f>$R184*HLOOKUP(Y$77,'Conversions and Lookups'!$B$76:$AE$78, 3, 0)</f>
        <v>1.000863858828867</v>
      </c>
      <c r="Z184" s="76">
        <f>$R184*HLOOKUP(Z$77,'Conversions and Lookups'!$B$76:$AE$78, 3, 0)</f>
        <v>0.99945849160211397</v>
      </c>
      <c r="AA184" s="76">
        <f>$R184*HLOOKUP(AA$77,'Conversions and Lookups'!$B$76:$AE$78, 3, 0)</f>
        <v>0.9851469560519136</v>
      </c>
      <c r="AB184" s="76">
        <f>$R184*HLOOKUP(AB$77,'Conversions and Lookups'!$B$76:$AE$78, 3, 0)</f>
        <v>0.85320225434339925</v>
      </c>
      <c r="AC184" s="76">
        <f>$R184*HLOOKUP(AC$77,'Conversions and Lookups'!$B$76:$AE$78, 3, 0)</f>
        <v>0.79615786052573057</v>
      </c>
      <c r="AD184" s="76">
        <f>$R184*HLOOKUP(AD$77,'Conversions and Lookups'!$B$76:$AE$78, 3, 0)</f>
        <v>0.78702787679643438</v>
      </c>
      <c r="AE184" s="76">
        <f>$R184*HLOOKUP(AE$77,'Conversions and Lookups'!$B$76:$AE$78, 3, 0)</f>
        <v>0.78577217000829291</v>
      </c>
      <c r="AF184" s="76">
        <v>0</v>
      </c>
      <c r="AG184" s="76">
        <v>0</v>
      </c>
      <c r="AH184" s="76">
        <v>0</v>
      </c>
      <c r="AI184" s="76">
        <v>0</v>
      </c>
      <c r="AJ184" s="76">
        <v>0</v>
      </c>
      <c r="AK184" s="76">
        <v>0</v>
      </c>
      <c r="AL184" s="76">
        <v>0</v>
      </c>
      <c r="AM184" s="76">
        <v>0</v>
      </c>
      <c r="AN184" s="76">
        <v>0</v>
      </c>
      <c r="AO184" s="76">
        <v>0</v>
      </c>
      <c r="AP184" s="76">
        <v>0</v>
      </c>
      <c r="AQ184" s="76">
        <v>0</v>
      </c>
      <c r="AR184" s="77">
        <v>0</v>
      </c>
      <c r="AT184" s="82">
        <f>SUMIFS('Conversions and Lookups'!$F$58:$F$72,'Conversions and Lookups'!$G$58:$G$72,'Measure 2'!AT$77,'Conversions and Lookups'!$C$58:$C$72,'Measure 2'!$C184)*'Measure 2'!$F184</f>
        <v>58603.836321684124</v>
      </c>
      <c r="AU184" s="30">
        <f>SUMIFS('Conversions and Lookups'!$F$58:$F$72,'Conversions and Lookups'!$G$58:$G$72,'Measure 2'!AU$77,'Conversions and Lookups'!$C$58:$C$72,'Measure 2'!$C184)*'Measure 2'!$F184</f>
        <v>1504.4360460272999</v>
      </c>
      <c r="AV184" s="83">
        <f>SUMIFS('Conversions and Lookups'!$F$58:$F$72,'Conversions and Lookups'!$G$58:$G$72,'Measure 2'!AV$77,'Conversions and Lookups'!$C$58:$C$72,'Measure 2'!$C184)*'Measure 2'!$F184</f>
        <v>34.58473669028276</v>
      </c>
    </row>
    <row r="185" spans="2:48" x14ac:dyDescent="0.35">
      <c r="B185" s="66" t="s">
        <v>113</v>
      </c>
      <c r="C185" s="67" t="s">
        <v>222</v>
      </c>
      <c r="D185" s="67">
        <v>2</v>
      </c>
      <c r="E185" s="68">
        <v>9557.5524831531493</v>
      </c>
      <c r="F185" s="68">
        <f t="shared" si="55"/>
        <v>19115.104966306299</v>
      </c>
      <c r="G185" s="67" t="s">
        <v>278</v>
      </c>
      <c r="H185" s="69">
        <f>VLOOKUP($C185,'Conversions and Lookups'!$B$30:$E$36, 3, 0)</f>
        <v>20.9</v>
      </c>
      <c r="I185" s="70">
        <f t="shared" si="56"/>
        <v>914.59832374671294</v>
      </c>
      <c r="J185" s="71">
        <f>I185*VLOOKUP($G185,'Conversions and Lookups'!$B$41:$D$43,3, 0)</f>
        <v>8.0301732824961398</v>
      </c>
      <c r="K185" s="72">
        <f>$F185*VLOOKUP($C185,'Conversions and Lookups'!$C$47:$G$52, 4, 0)</f>
        <v>4.2282612185469528E-3</v>
      </c>
      <c r="L185" s="73">
        <f>$F185*VLOOKUP($C185,'Conversions and Lookups'!$C$47:$G$52, 5, 0)</f>
        <v>6.0786033792854018E-3</v>
      </c>
      <c r="M185" s="71">
        <f t="shared" si="57"/>
        <v>8.0404801470939713</v>
      </c>
      <c r="N185" s="71">
        <f t="shared" si="58"/>
        <v>40.202400735469858</v>
      </c>
      <c r="O185" s="74">
        <f t="shared" si="59"/>
        <v>96.485761765127648</v>
      </c>
      <c r="Q185" s="78">
        <f>VLOOKUP($C185,'Conversions and Lookups'!$B$30:$E$36, 4, 0)</f>
        <v>0.43888523151195957</v>
      </c>
      <c r="R185" s="79">
        <f t="shared" si="60"/>
        <v>8389.3372685127488</v>
      </c>
      <c r="S185" s="52">
        <v>0</v>
      </c>
      <c r="T185" s="80">
        <f>$R185*HLOOKUP(T$77,'Conversions and Lookups'!$B$76:$AE$78, 3, 0)</f>
        <v>2.2010680244418261</v>
      </c>
      <c r="U185" s="80">
        <f>$R185*HLOOKUP(U$77,'Conversions and Lookups'!$B$76:$AE$78, 3, 0)</f>
        <v>2.0154264872533023</v>
      </c>
      <c r="V185" s="80">
        <f>$R185*HLOOKUP(V$77,'Conversions and Lookups'!$B$76:$AE$78, 3, 0)</f>
        <v>1.9486957973885153</v>
      </c>
      <c r="W185" s="80">
        <f>$R185*HLOOKUP(W$77,'Conversions and Lookups'!$B$76:$AE$78, 3, 0)</f>
        <v>1.6547570398111056</v>
      </c>
      <c r="X185" s="80">
        <f>$R185*HLOOKUP(X$77,'Conversions and Lookups'!$B$76:$AE$78, 3, 0)</f>
        <v>1.5496112595549141</v>
      </c>
      <c r="Y185" s="80">
        <f>$R185*HLOOKUP(Y$77,'Conversions and Lookups'!$B$76:$AE$78, 3, 0)</f>
        <v>1.4525704024683548</v>
      </c>
      <c r="Z185" s="80">
        <f>$R185*HLOOKUP(Z$77,'Conversions and Lookups'!$B$76:$AE$78, 3, 0)</f>
        <v>1.4505307695850485</v>
      </c>
      <c r="AA185" s="80">
        <f>$R185*HLOOKUP(AA$77,'Conversions and Lookups'!$B$76:$AE$78, 3, 0)</f>
        <v>1.4297601994713269</v>
      </c>
      <c r="AB185" s="80">
        <f>$R185*HLOOKUP(AB$77,'Conversions and Lookups'!$B$76:$AE$78, 3, 0)</f>
        <v>1.238266654396607</v>
      </c>
      <c r="AC185" s="80">
        <f>$R185*HLOOKUP(AC$77,'Conversions and Lookups'!$B$76:$AE$78, 3, 0)</f>
        <v>1.1554771747332573</v>
      </c>
      <c r="AD185" s="80">
        <f>$R185*HLOOKUP(AD$77,'Conversions and Lookups'!$B$76:$AE$78, 3, 0)</f>
        <v>1.1422266771523859</v>
      </c>
      <c r="AE185" s="80">
        <f>$R185*HLOOKUP(AE$77,'Conversions and Lookups'!$B$76:$AE$78, 3, 0)</f>
        <v>1.1404042489584385</v>
      </c>
      <c r="AF185" s="80">
        <v>0</v>
      </c>
      <c r="AG185" s="80">
        <v>0</v>
      </c>
      <c r="AH185" s="80">
        <v>0</v>
      </c>
      <c r="AI185" s="80">
        <v>0</v>
      </c>
      <c r="AJ185" s="80">
        <v>0</v>
      </c>
      <c r="AK185" s="80">
        <v>0</v>
      </c>
      <c r="AL185" s="80">
        <v>0</v>
      </c>
      <c r="AM185" s="80">
        <v>0</v>
      </c>
      <c r="AN185" s="80">
        <v>0</v>
      </c>
      <c r="AO185" s="80">
        <v>0</v>
      </c>
      <c r="AP185" s="80">
        <v>0</v>
      </c>
      <c r="AQ185" s="80">
        <v>0</v>
      </c>
      <c r="AR185" s="81">
        <v>0</v>
      </c>
      <c r="AT185" s="84">
        <f>SUMIFS('Conversions and Lookups'!$F$58:$F$72,'Conversions and Lookups'!$G$58:$G$72,'Measure 2'!AT$77,'Conversions and Lookups'!$C$58:$C$72,'Measure 2'!$C185)*'Measure 2'!$F185</f>
        <v>57937.88315287439</v>
      </c>
      <c r="AU185" s="79">
        <f>SUMIFS('Conversions and Lookups'!$F$58:$F$72,'Conversions and Lookups'!$G$58:$G$72,'Measure 2'!AU$77,'Conversions and Lookups'!$C$58:$C$72,'Measure 2'!$C185)*'Measure 2'!$F185</f>
        <v>2351.1579108556748</v>
      </c>
      <c r="AV185" s="85">
        <f>SUMIFS('Conversions and Lookups'!$F$58:$F$72,'Conversions and Lookups'!$G$58:$G$72,'Measure 2'!AV$77,'Conversions and Lookups'!$C$58:$C$72,'Measure 2'!$C185)*'Measure 2'!$F185</f>
        <v>38.230209932612595</v>
      </c>
    </row>
    <row r="187" spans="2:48" x14ac:dyDescent="0.35">
      <c r="B187" s="99" t="s">
        <v>16</v>
      </c>
      <c r="C187" s="3">
        <v>2025</v>
      </c>
      <c r="D187" s="3">
        <f>C187+1</f>
        <v>2026</v>
      </c>
      <c r="E187" s="3">
        <f t="shared" ref="E187:AB187" si="61">D187+1</f>
        <v>2027</v>
      </c>
      <c r="F187" s="3">
        <f t="shared" si="61"/>
        <v>2028</v>
      </c>
      <c r="G187" s="3">
        <f t="shared" si="61"/>
        <v>2029</v>
      </c>
      <c r="H187" s="3">
        <f t="shared" si="61"/>
        <v>2030</v>
      </c>
      <c r="I187" s="3">
        <f t="shared" si="61"/>
        <v>2031</v>
      </c>
      <c r="J187" s="3">
        <f t="shared" si="61"/>
        <v>2032</v>
      </c>
      <c r="K187" s="3">
        <f t="shared" si="61"/>
        <v>2033</v>
      </c>
      <c r="L187" s="3">
        <f t="shared" si="61"/>
        <v>2034</v>
      </c>
      <c r="M187" s="3">
        <f t="shared" si="61"/>
        <v>2035</v>
      </c>
      <c r="N187" s="3">
        <f t="shared" si="61"/>
        <v>2036</v>
      </c>
      <c r="O187" s="3">
        <f t="shared" si="61"/>
        <v>2037</v>
      </c>
      <c r="P187" s="3">
        <f t="shared" si="61"/>
        <v>2038</v>
      </c>
      <c r="Q187" s="3">
        <f t="shared" si="61"/>
        <v>2039</v>
      </c>
      <c r="R187" s="3">
        <f t="shared" si="61"/>
        <v>2040</v>
      </c>
      <c r="S187" s="3">
        <f t="shared" si="61"/>
        <v>2041</v>
      </c>
      <c r="T187" s="3">
        <f t="shared" si="61"/>
        <v>2042</v>
      </c>
      <c r="U187" s="3">
        <f t="shared" si="61"/>
        <v>2043</v>
      </c>
      <c r="V187" s="3">
        <f t="shared" si="61"/>
        <v>2044</v>
      </c>
      <c r="W187" s="3">
        <f t="shared" si="61"/>
        <v>2045</v>
      </c>
      <c r="X187" s="3">
        <f t="shared" si="61"/>
        <v>2046</v>
      </c>
      <c r="Y187" s="3">
        <f t="shared" si="61"/>
        <v>2047</v>
      </c>
      <c r="Z187" s="3">
        <f t="shared" si="61"/>
        <v>2048</v>
      </c>
      <c r="AA187" s="3">
        <f t="shared" si="61"/>
        <v>2049</v>
      </c>
      <c r="AB187" s="3">
        <f t="shared" si="61"/>
        <v>2050</v>
      </c>
    </row>
    <row r="188" spans="2:48" x14ac:dyDescent="0.35">
      <c r="B188" s="3" t="s">
        <v>280</v>
      </c>
      <c r="C188" s="45">
        <v>0</v>
      </c>
      <c r="D188" s="45">
        <f t="shared" ref="D188:O188" si="62">$M$78-T$78</f>
        <v>1302.8607977379897</v>
      </c>
      <c r="E188" s="45">
        <f t="shared" si="62"/>
        <v>1341.3251917754358</v>
      </c>
      <c r="F188" s="45">
        <f t="shared" si="62"/>
        <v>1355.1515993145158</v>
      </c>
      <c r="G188" s="45">
        <f t="shared" si="62"/>
        <v>1416.0548667920584</v>
      </c>
      <c r="H188" s="45">
        <f t="shared" si="62"/>
        <v>1437.8407708758073</v>
      </c>
      <c r="I188" s="45">
        <f t="shared" si="62"/>
        <v>1457.9473581258273</v>
      </c>
      <c r="J188" s="45">
        <f t="shared" si="62"/>
        <v>1458.369964209053</v>
      </c>
      <c r="K188" s="45">
        <f t="shared" si="62"/>
        <v>1462.6735667612406</v>
      </c>
      <c r="L188" s="45">
        <f t="shared" si="62"/>
        <v>1502.3504800476323</v>
      </c>
      <c r="M188" s="45">
        <f t="shared" si="62"/>
        <v>1519.5042227722054</v>
      </c>
      <c r="N188" s="45">
        <f t="shared" si="62"/>
        <v>1522.2496878651027</v>
      </c>
      <c r="O188" s="45">
        <f t="shared" si="62"/>
        <v>1522.6272897596925</v>
      </c>
      <c r="P188" s="45">
        <v>0</v>
      </c>
      <c r="Q188" s="45">
        <f>P188</f>
        <v>0</v>
      </c>
      <c r="R188" s="45">
        <f t="shared" ref="R188:AB188" si="63">Q188</f>
        <v>0</v>
      </c>
      <c r="S188" s="45">
        <f t="shared" si="63"/>
        <v>0</v>
      </c>
      <c r="T188" s="45">
        <f t="shared" si="63"/>
        <v>0</v>
      </c>
      <c r="U188" s="45">
        <f t="shared" si="63"/>
        <v>0</v>
      </c>
      <c r="V188" s="45">
        <f t="shared" si="63"/>
        <v>0</v>
      </c>
      <c r="W188" s="45">
        <f t="shared" si="63"/>
        <v>0</v>
      </c>
      <c r="X188" s="45">
        <f t="shared" si="63"/>
        <v>0</v>
      </c>
      <c r="Y188" s="45">
        <f t="shared" si="63"/>
        <v>0</v>
      </c>
      <c r="Z188" s="45">
        <f t="shared" si="63"/>
        <v>0</v>
      </c>
      <c r="AA188" s="45">
        <f t="shared" si="63"/>
        <v>0</v>
      </c>
      <c r="AB188" s="45">
        <f t="shared" si="63"/>
        <v>0</v>
      </c>
    </row>
    <row r="189" spans="2:48" x14ac:dyDescent="0.35">
      <c r="C189" s="32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653B6-6061-47D3-AC4E-CDF3E14888BD}">
  <sheetPr>
    <pageSetUpPr autoPageBreaks="0"/>
  </sheetPr>
  <dimension ref="A1:AJ129"/>
  <sheetViews>
    <sheetView zoomScale="90" workbookViewId="0">
      <selection activeCell="D112" sqref="D112"/>
    </sheetView>
  </sheetViews>
  <sheetFormatPr defaultRowHeight="14.5" x14ac:dyDescent="0.35"/>
  <cols>
    <col min="2" max="2" width="34.7265625" bestFit="1" customWidth="1"/>
    <col min="3" max="3" width="15.7265625" customWidth="1"/>
    <col min="4" max="4" width="21" bestFit="1" customWidth="1"/>
    <col min="5" max="5" width="28" customWidth="1"/>
    <col min="6" max="6" width="25.1796875" bestFit="1" customWidth="1"/>
    <col min="7" max="7" width="26.54296875" customWidth="1"/>
    <col min="8" max="8" width="25.1796875" bestFit="1" customWidth="1"/>
    <col min="9" max="9" width="13.453125" bestFit="1" customWidth="1"/>
    <col min="10" max="10" width="46.453125" bestFit="1" customWidth="1"/>
    <col min="11" max="12" width="13.1796875" customWidth="1"/>
    <col min="13" max="13" width="12" customWidth="1"/>
  </cols>
  <sheetData>
    <row r="1" spans="1:16" s="9" customFormat="1" ht="18.5" x14ac:dyDescent="0.45">
      <c r="A1" s="8" t="s">
        <v>281</v>
      </c>
    </row>
    <row r="3" spans="1:16" x14ac:dyDescent="0.35">
      <c r="B3" s="10" t="s">
        <v>282</v>
      </c>
      <c r="G3" s="10" t="s">
        <v>283</v>
      </c>
    </row>
    <row r="4" spans="1:16" x14ac:dyDescent="0.35">
      <c r="B4" s="11" t="s">
        <v>40</v>
      </c>
      <c r="C4" s="11" t="s">
        <v>41</v>
      </c>
      <c r="D4" s="11" t="s">
        <v>42</v>
      </c>
      <c r="G4" s="11" t="s">
        <v>284</v>
      </c>
      <c r="H4" s="11" t="s">
        <v>199</v>
      </c>
      <c r="L4" s="131"/>
    </row>
    <row r="5" spans="1:16" x14ac:dyDescent="0.35">
      <c r="B5" s="3" t="s">
        <v>285</v>
      </c>
      <c r="C5" s="3">
        <v>1.155</v>
      </c>
      <c r="D5" s="3" t="s">
        <v>286</v>
      </c>
      <c r="G5" s="3" t="s">
        <v>211</v>
      </c>
      <c r="H5" s="3" t="s">
        <v>212</v>
      </c>
      <c r="J5" s="22"/>
      <c r="K5" s="22"/>
      <c r="L5" s="2"/>
      <c r="M5" s="2"/>
      <c r="N5" s="2"/>
      <c r="O5" s="2"/>
      <c r="P5" s="15"/>
    </row>
    <row r="6" spans="1:16" x14ac:dyDescent="0.35">
      <c r="B6" s="3" t="s">
        <v>287</v>
      </c>
      <c r="C6" s="3">
        <v>3.1E-2</v>
      </c>
      <c r="D6" s="3" t="s">
        <v>288</v>
      </c>
      <c r="G6" s="3" t="s">
        <v>213</v>
      </c>
      <c r="H6" s="3" t="s">
        <v>214</v>
      </c>
      <c r="J6" s="22"/>
      <c r="K6" s="22"/>
      <c r="L6" s="2"/>
      <c r="M6" s="2"/>
      <c r="N6" s="2"/>
      <c r="O6" s="2"/>
      <c r="P6" s="15"/>
    </row>
    <row r="7" spans="1:16" x14ac:dyDescent="0.35">
      <c r="B7" s="3" t="s">
        <v>289</v>
      </c>
      <c r="C7" s="3">
        <v>0.90771849999999998</v>
      </c>
      <c r="D7" s="3" t="s">
        <v>290</v>
      </c>
      <c r="G7" s="3" t="s">
        <v>216</v>
      </c>
      <c r="H7" s="3" t="s">
        <v>212</v>
      </c>
      <c r="J7" s="22"/>
      <c r="K7" s="22"/>
      <c r="L7" s="2"/>
      <c r="M7" s="2"/>
      <c r="N7" s="2"/>
      <c r="O7" s="2"/>
      <c r="P7" s="15"/>
    </row>
    <row r="8" spans="1:16" x14ac:dyDescent="0.35">
      <c r="B8" s="3" t="s">
        <v>291</v>
      </c>
      <c r="C8" s="34">
        <v>9.9999999999999995E-7</v>
      </c>
      <c r="D8" s="3" t="s">
        <v>292</v>
      </c>
      <c r="G8" s="3" t="s">
        <v>218</v>
      </c>
      <c r="H8" s="3" t="s">
        <v>219</v>
      </c>
      <c r="P8" s="15"/>
    </row>
    <row r="9" spans="1:16" x14ac:dyDescent="0.35">
      <c r="B9" s="3" t="s">
        <v>293</v>
      </c>
      <c r="C9" s="34">
        <v>4.53592E-4</v>
      </c>
      <c r="D9" s="3" t="s">
        <v>294</v>
      </c>
      <c r="G9" s="3" t="s">
        <v>221</v>
      </c>
      <c r="H9" s="3" t="s">
        <v>222</v>
      </c>
      <c r="K9" s="22"/>
      <c r="P9" s="15"/>
    </row>
    <row r="10" spans="1:16" x14ac:dyDescent="0.35">
      <c r="B10" s="3" t="s">
        <v>295</v>
      </c>
      <c r="C10" s="34">
        <v>1E-3</v>
      </c>
      <c r="D10" s="3" t="s">
        <v>296</v>
      </c>
      <c r="G10" s="3" t="s">
        <v>223</v>
      </c>
      <c r="H10" s="3" t="s">
        <v>212</v>
      </c>
      <c r="P10" s="15"/>
    </row>
    <row r="11" spans="1:16" x14ac:dyDescent="0.35">
      <c r="B11" s="3" t="s">
        <v>297</v>
      </c>
      <c r="C11" s="34">
        <v>293.10000000000002</v>
      </c>
      <c r="D11" s="3" t="s">
        <v>298</v>
      </c>
      <c r="G11" s="3" t="s">
        <v>224</v>
      </c>
      <c r="H11" s="3" t="s">
        <v>225</v>
      </c>
      <c r="K11" s="22"/>
      <c r="P11" s="15"/>
    </row>
    <row r="12" spans="1:16" x14ac:dyDescent="0.35">
      <c r="B12" s="16" t="s">
        <v>299</v>
      </c>
      <c r="G12" s="3" t="s">
        <v>227</v>
      </c>
      <c r="H12" s="3" t="s">
        <v>212</v>
      </c>
      <c r="P12" s="15"/>
    </row>
    <row r="13" spans="1:16" x14ac:dyDescent="0.35">
      <c r="B13" s="16"/>
      <c r="G13" s="3" t="s">
        <v>228</v>
      </c>
      <c r="H13" s="3" t="s">
        <v>212</v>
      </c>
      <c r="P13" s="15"/>
    </row>
    <row r="14" spans="1:16" x14ac:dyDescent="0.35">
      <c r="B14" s="10" t="s">
        <v>300</v>
      </c>
      <c r="G14" s="3" t="s">
        <v>229</v>
      </c>
      <c r="H14" s="3" t="s">
        <v>214</v>
      </c>
      <c r="P14" s="15"/>
    </row>
    <row r="15" spans="1:16" x14ac:dyDescent="0.35">
      <c r="B15" s="11" t="s">
        <v>301</v>
      </c>
      <c r="C15" s="11" t="s">
        <v>302</v>
      </c>
      <c r="G15" s="3" t="s">
        <v>230</v>
      </c>
      <c r="H15" s="3" t="s">
        <v>214</v>
      </c>
      <c r="P15" s="15"/>
    </row>
    <row r="16" spans="1:16" x14ac:dyDescent="0.35">
      <c r="B16" s="3" t="s">
        <v>184</v>
      </c>
      <c r="C16" s="3">
        <v>1</v>
      </c>
      <c r="G16" s="3" t="s">
        <v>235</v>
      </c>
      <c r="H16" s="3" t="s">
        <v>212</v>
      </c>
      <c r="P16" s="15"/>
    </row>
    <row r="17" spans="2:16" x14ac:dyDescent="0.35">
      <c r="B17" s="3" t="s">
        <v>303</v>
      </c>
      <c r="C17" s="3">
        <v>28</v>
      </c>
      <c r="G17" s="20" t="s">
        <v>236</v>
      </c>
      <c r="H17" s="3" t="s">
        <v>212</v>
      </c>
      <c r="P17" s="15"/>
    </row>
    <row r="18" spans="2:16" x14ac:dyDescent="0.35">
      <c r="B18" s="3" t="s">
        <v>304</v>
      </c>
      <c r="C18" s="3">
        <v>265</v>
      </c>
      <c r="G18" s="3" t="s">
        <v>237</v>
      </c>
      <c r="H18" s="3" t="s">
        <v>225</v>
      </c>
      <c r="P18" s="15"/>
    </row>
    <row r="19" spans="2:16" x14ac:dyDescent="0.35">
      <c r="G19" s="3" t="s">
        <v>238</v>
      </c>
      <c r="H19" s="3" t="s">
        <v>222</v>
      </c>
      <c r="P19" s="15"/>
    </row>
    <row r="20" spans="2:16" x14ac:dyDescent="0.35">
      <c r="B20" s="10" t="s">
        <v>305</v>
      </c>
      <c r="C20" s="10"/>
      <c r="G20" s="3" t="s">
        <v>239</v>
      </c>
      <c r="H20" s="3" t="s">
        <v>219</v>
      </c>
      <c r="P20" s="15"/>
    </row>
    <row r="21" spans="2:16" x14ac:dyDescent="0.35">
      <c r="B21" s="11" t="s">
        <v>306</v>
      </c>
      <c r="C21" s="11" t="s">
        <v>307</v>
      </c>
      <c r="G21" s="3" t="s">
        <v>244</v>
      </c>
      <c r="H21" s="3" t="s">
        <v>234</v>
      </c>
      <c r="P21" s="15"/>
    </row>
    <row r="22" spans="2:16" x14ac:dyDescent="0.35">
      <c r="B22" s="3" t="s">
        <v>234</v>
      </c>
      <c r="C22" s="17">
        <v>8646.184172570689</v>
      </c>
      <c r="G22" s="3" t="s">
        <v>245</v>
      </c>
      <c r="H22" s="3" t="s">
        <v>212</v>
      </c>
      <c r="P22" s="15"/>
    </row>
    <row r="23" spans="2:16" x14ac:dyDescent="0.35">
      <c r="B23" s="3" t="s">
        <v>212</v>
      </c>
      <c r="C23" s="17">
        <v>8646.184172570689</v>
      </c>
      <c r="G23" s="3" t="s">
        <v>246</v>
      </c>
      <c r="H23" s="3" t="s">
        <v>212</v>
      </c>
      <c r="P23" s="15"/>
    </row>
    <row r="24" spans="2:16" x14ac:dyDescent="0.35">
      <c r="B24" s="3" t="s">
        <v>214</v>
      </c>
      <c r="C24" s="17">
        <v>5745.0145382258061</v>
      </c>
      <c r="G24" s="3" t="s">
        <v>247</v>
      </c>
      <c r="H24" s="3" t="s">
        <v>234</v>
      </c>
      <c r="P24" s="15"/>
    </row>
    <row r="25" spans="2:16" x14ac:dyDescent="0.35">
      <c r="B25" s="3" t="s">
        <v>219</v>
      </c>
      <c r="C25" s="17">
        <v>11084.519142954545</v>
      </c>
      <c r="G25" s="3" t="s">
        <v>248</v>
      </c>
      <c r="H25" s="3" t="s">
        <v>214</v>
      </c>
    </row>
    <row r="26" spans="2:16" x14ac:dyDescent="0.35">
      <c r="B26" s="3" t="s">
        <v>222</v>
      </c>
      <c r="C26" s="17">
        <v>9557.5524831531493</v>
      </c>
      <c r="G26" s="3" t="s">
        <v>249</v>
      </c>
      <c r="H26" s="3" t="s">
        <v>222</v>
      </c>
    </row>
    <row r="27" spans="2:16" x14ac:dyDescent="0.35">
      <c r="B27" s="3" t="s">
        <v>225</v>
      </c>
      <c r="C27" s="17">
        <v>5745.0145382258061</v>
      </c>
      <c r="G27" s="3" t="s">
        <v>250</v>
      </c>
      <c r="H27" s="3" t="s">
        <v>222</v>
      </c>
    </row>
    <row r="28" spans="2:16" x14ac:dyDescent="0.35">
      <c r="G28" s="3" t="s">
        <v>251</v>
      </c>
      <c r="H28" s="3" t="s">
        <v>219</v>
      </c>
    </row>
    <row r="29" spans="2:16" x14ac:dyDescent="0.35">
      <c r="B29" s="10" t="s">
        <v>308</v>
      </c>
      <c r="G29" s="3" t="s">
        <v>252</v>
      </c>
      <c r="H29" s="3" t="s">
        <v>219</v>
      </c>
    </row>
    <row r="30" spans="2:16" x14ac:dyDescent="0.35">
      <c r="B30" s="11" t="s">
        <v>199</v>
      </c>
      <c r="C30" s="11" t="s">
        <v>154</v>
      </c>
      <c r="D30" s="11" t="s">
        <v>309</v>
      </c>
      <c r="E30" s="11" t="s">
        <v>310</v>
      </c>
      <c r="G30" s="3" t="s">
        <v>253</v>
      </c>
      <c r="H30" s="3" t="s">
        <v>219</v>
      </c>
    </row>
    <row r="31" spans="2:16" x14ac:dyDescent="0.35">
      <c r="B31" s="3" t="s">
        <v>212</v>
      </c>
      <c r="C31" s="3" t="s">
        <v>278</v>
      </c>
      <c r="D31" s="3">
        <v>27.5</v>
      </c>
      <c r="E31" s="18">
        <v>0.33428046130703665</v>
      </c>
      <c r="G31" s="3" t="s">
        <v>254</v>
      </c>
      <c r="H31" s="3" t="s">
        <v>234</v>
      </c>
    </row>
    <row r="32" spans="2:16" x14ac:dyDescent="0.35">
      <c r="B32" s="3" t="s">
        <v>214</v>
      </c>
      <c r="C32" s="3" t="s">
        <v>279</v>
      </c>
      <c r="D32" s="19">
        <v>15.064935064935064</v>
      </c>
      <c r="E32" s="18">
        <v>0.64775229952066338</v>
      </c>
      <c r="G32" t="s">
        <v>311</v>
      </c>
    </row>
    <row r="33" spans="1:7" x14ac:dyDescent="0.35">
      <c r="B33" s="3" t="s">
        <v>219</v>
      </c>
      <c r="C33" s="3" t="s">
        <v>279</v>
      </c>
      <c r="D33" s="19">
        <v>10.38961038961039</v>
      </c>
      <c r="E33" s="18">
        <v>0.94046835323991351</v>
      </c>
    </row>
    <row r="34" spans="1:7" x14ac:dyDescent="0.35">
      <c r="B34" s="3" t="s">
        <v>222</v>
      </c>
      <c r="C34" s="3" t="s">
        <v>279</v>
      </c>
      <c r="D34" s="3">
        <v>20.9</v>
      </c>
      <c r="E34" s="18">
        <v>0.43888523151195957</v>
      </c>
    </row>
    <row r="35" spans="1:7" x14ac:dyDescent="0.35">
      <c r="B35" s="3" t="s">
        <v>225</v>
      </c>
      <c r="C35" s="3" t="s">
        <v>278</v>
      </c>
      <c r="D35" s="19">
        <v>15.064935064935064</v>
      </c>
      <c r="E35" s="19">
        <v>0.64775229952066338</v>
      </c>
    </row>
    <row r="36" spans="1:7" x14ac:dyDescent="0.35">
      <c r="B36" s="3" t="s">
        <v>234</v>
      </c>
      <c r="C36" s="3" t="s">
        <v>278</v>
      </c>
      <c r="D36" s="3">
        <v>30.7</v>
      </c>
      <c r="E36" s="18">
        <v>0.27291086731073633</v>
      </c>
    </row>
    <row r="38" spans="1:7" s="9" customFormat="1" ht="18.5" x14ac:dyDescent="0.45">
      <c r="A38" s="8" t="s">
        <v>312</v>
      </c>
    </row>
    <row r="40" spans="1:7" x14ac:dyDescent="0.35">
      <c r="B40" s="10" t="s">
        <v>313</v>
      </c>
    </row>
    <row r="41" spans="1:7" x14ac:dyDescent="0.35">
      <c r="B41" s="11"/>
      <c r="C41" s="11" t="s">
        <v>314</v>
      </c>
      <c r="D41" s="11" t="s">
        <v>315</v>
      </c>
    </row>
    <row r="42" spans="1:7" x14ac:dyDescent="0.35">
      <c r="B42" s="3" t="s">
        <v>278</v>
      </c>
      <c r="C42" s="3">
        <v>8.7799999999999994</v>
      </c>
      <c r="D42" s="3">
        <v>8.7799999999999996E-3</v>
      </c>
    </row>
    <row r="43" spans="1:7" x14ac:dyDescent="0.35">
      <c r="B43" s="3" t="s">
        <v>279</v>
      </c>
      <c r="C43" s="3">
        <v>10.210000000000001</v>
      </c>
      <c r="D43" s="3">
        <v>1.021E-2</v>
      </c>
    </row>
    <row r="44" spans="1:7" x14ac:dyDescent="0.35">
      <c r="B44" s="12" t="s">
        <v>316</v>
      </c>
    </row>
    <row r="46" spans="1:7" x14ac:dyDescent="0.35">
      <c r="B46" s="10" t="s">
        <v>317</v>
      </c>
    </row>
    <row r="47" spans="1:7" x14ac:dyDescent="0.35">
      <c r="B47" s="11" t="s">
        <v>154</v>
      </c>
      <c r="C47" s="11" t="s">
        <v>199</v>
      </c>
      <c r="D47" s="11" t="s">
        <v>318</v>
      </c>
      <c r="E47" s="11" t="s">
        <v>319</v>
      </c>
      <c r="F47" s="11" t="s">
        <v>320</v>
      </c>
      <c r="G47" s="11" t="s">
        <v>321</v>
      </c>
    </row>
    <row r="48" spans="1:7" x14ac:dyDescent="0.35">
      <c r="B48" s="3" t="s">
        <v>278</v>
      </c>
      <c r="C48" s="3" t="s">
        <v>212</v>
      </c>
      <c r="D48" s="3">
        <v>5.1000000000000004E-3</v>
      </c>
      <c r="E48" s="3">
        <v>1.4E-3</v>
      </c>
      <c r="F48" s="3">
        <v>1.4280000000000001E-7</v>
      </c>
      <c r="G48" s="3">
        <v>3.7099999999999997E-7</v>
      </c>
    </row>
    <row r="49" spans="2:7" x14ac:dyDescent="0.35">
      <c r="B49" s="3" t="s">
        <v>278</v>
      </c>
      <c r="C49" s="3" t="s">
        <v>234</v>
      </c>
      <c r="D49" s="3">
        <v>5.1000000000000004E-3</v>
      </c>
      <c r="E49" s="3">
        <v>1.4E-3</v>
      </c>
      <c r="F49" s="3">
        <v>1.4280000000000001E-7</v>
      </c>
      <c r="G49" s="3">
        <v>3.7099999999999997E-7</v>
      </c>
    </row>
    <row r="50" spans="2:7" x14ac:dyDescent="0.35">
      <c r="B50" s="3" t="s">
        <v>278</v>
      </c>
      <c r="C50" s="3" t="s">
        <v>222</v>
      </c>
      <c r="D50" s="3">
        <v>7.9000000000000008E-3</v>
      </c>
      <c r="E50" s="3">
        <v>1.1999999999999999E-3</v>
      </c>
      <c r="F50" s="3">
        <v>2.212E-7</v>
      </c>
      <c r="G50" s="3">
        <v>3.1799999999999996E-7</v>
      </c>
    </row>
    <row r="51" spans="2:7" x14ac:dyDescent="0.35">
      <c r="B51" s="3" t="s">
        <v>279</v>
      </c>
      <c r="C51" s="3" t="s">
        <v>214</v>
      </c>
      <c r="D51" s="3">
        <v>2.9000000000000001E-2</v>
      </c>
      <c r="E51" s="3">
        <v>2.1399999999999999E-2</v>
      </c>
      <c r="F51" s="3">
        <v>8.1200000000000002E-7</v>
      </c>
      <c r="G51" s="3">
        <v>5.6709999999999996E-6</v>
      </c>
    </row>
    <row r="52" spans="2:7" x14ac:dyDescent="0.35">
      <c r="B52" s="3" t="s">
        <v>279</v>
      </c>
      <c r="C52" s="3" t="s">
        <v>219</v>
      </c>
      <c r="D52" s="3">
        <v>2.9000000000000001E-2</v>
      </c>
      <c r="E52" s="3">
        <v>2.1399999999999999E-2</v>
      </c>
      <c r="F52" s="3">
        <v>8.1200000000000002E-7</v>
      </c>
      <c r="G52" s="3">
        <v>5.6709999999999996E-6</v>
      </c>
    </row>
    <row r="53" spans="2:7" x14ac:dyDescent="0.35">
      <c r="B53" s="12" t="s">
        <v>322</v>
      </c>
    </row>
    <row r="55" spans="2:7" x14ac:dyDescent="0.35">
      <c r="B55" s="10" t="s">
        <v>323</v>
      </c>
    </row>
    <row r="56" spans="2:7" x14ac:dyDescent="0.35">
      <c r="B56" t="s">
        <v>324</v>
      </c>
    </row>
    <row r="57" spans="2:7" x14ac:dyDescent="0.35">
      <c r="B57" s="11" t="s">
        <v>154</v>
      </c>
      <c r="C57" s="11" t="s">
        <v>199</v>
      </c>
      <c r="D57" s="11" t="s">
        <v>325</v>
      </c>
      <c r="E57" s="11" t="s">
        <v>326</v>
      </c>
      <c r="F57" s="11" t="s">
        <v>327</v>
      </c>
      <c r="G57" t="s">
        <v>328</v>
      </c>
    </row>
    <row r="58" spans="2:7" x14ac:dyDescent="0.35">
      <c r="B58" s="3" t="s">
        <v>278</v>
      </c>
      <c r="C58" s="3" t="s">
        <v>212</v>
      </c>
      <c r="D58" s="3" t="s">
        <v>329</v>
      </c>
      <c r="E58" s="3" t="s">
        <v>330</v>
      </c>
      <c r="F58" s="14">
        <v>3.3889999999999998</v>
      </c>
      <c r="G58" t="s">
        <v>275</v>
      </c>
    </row>
    <row r="59" spans="2:7" x14ac:dyDescent="0.35">
      <c r="B59" s="3" t="s">
        <v>278</v>
      </c>
      <c r="C59" s="3" t="s">
        <v>212</v>
      </c>
      <c r="D59" s="3" t="s">
        <v>329</v>
      </c>
      <c r="E59" s="3" t="s">
        <v>331</v>
      </c>
      <c r="F59" s="14">
        <v>8.6999999999999994E-2</v>
      </c>
      <c r="G59" t="s">
        <v>276</v>
      </c>
    </row>
    <row r="60" spans="2:7" x14ac:dyDescent="0.35">
      <c r="B60" s="3" t="s">
        <v>278</v>
      </c>
      <c r="C60" s="3" t="s">
        <v>212</v>
      </c>
      <c r="D60" s="3" t="s">
        <v>329</v>
      </c>
      <c r="E60" s="3" t="s">
        <v>332</v>
      </c>
      <c r="F60" s="14">
        <v>2E-3</v>
      </c>
      <c r="G60" t="s">
        <v>277</v>
      </c>
    </row>
    <row r="61" spans="2:7" x14ac:dyDescent="0.35">
      <c r="B61" s="3" t="s">
        <v>278</v>
      </c>
      <c r="C61" s="3" t="s">
        <v>234</v>
      </c>
      <c r="D61" s="3" t="s">
        <v>329</v>
      </c>
      <c r="E61" s="3" t="s">
        <v>330</v>
      </c>
      <c r="F61" s="14">
        <v>3.3889999999999998</v>
      </c>
      <c r="G61" t="s">
        <v>275</v>
      </c>
    </row>
    <row r="62" spans="2:7" x14ac:dyDescent="0.35">
      <c r="B62" s="3" t="s">
        <v>278</v>
      </c>
      <c r="C62" s="3" t="s">
        <v>234</v>
      </c>
      <c r="D62" s="3" t="s">
        <v>329</v>
      </c>
      <c r="E62" s="3" t="s">
        <v>331</v>
      </c>
      <c r="F62" s="14">
        <v>8.6999999999999994E-2</v>
      </c>
      <c r="G62" t="s">
        <v>276</v>
      </c>
    </row>
    <row r="63" spans="2:7" x14ac:dyDescent="0.35">
      <c r="B63" s="3" t="s">
        <v>278</v>
      </c>
      <c r="C63" s="3" t="s">
        <v>234</v>
      </c>
      <c r="D63" s="3" t="s">
        <v>329</v>
      </c>
      <c r="E63" s="3" t="s">
        <v>332</v>
      </c>
      <c r="F63" s="14">
        <v>2E-3</v>
      </c>
      <c r="G63" t="s">
        <v>277</v>
      </c>
    </row>
    <row r="64" spans="2:7" x14ac:dyDescent="0.35">
      <c r="B64" s="3" t="s">
        <v>278</v>
      </c>
      <c r="C64" s="3" t="s">
        <v>222</v>
      </c>
      <c r="D64" s="3" t="s">
        <v>333</v>
      </c>
      <c r="E64" s="3" t="s">
        <v>330</v>
      </c>
      <c r="F64" s="14">
        <v>3.0310000000000001</v>
      </c>
      <c r="G64" t="s">
        <v>275</v>
      </c>
    </row>
    <row r="65" spans="2:31" x14ac:dyDescent="0.35">
      <c r="B65" s="3" t="s">
        <v>278</v>
      </c>
      <c r="C65" s="3" t="s">
        <v>222</v>
      </c>
      <c r="D65" s="3" t="s">
        <v>333</v>
      </c>
      <c r="E65" s="3" t="s">
        <v>331</v>
      </c>
      <c r="F65" s="14">
        <v>0.123</v>
      </c>
      <c r="G65" t="s">
        <v>276</v>
      </c>
    </row>
    <row r="66" spans="2:31" x14ac:dyDescent="0.35">
      <c r="B66" s="3" t="s">
        <v>278</v>
      </c>
      <c r="C66" s="3" t="s">
        <v>222</v>
      </c>
      <c r="D66" s="3" t="s">
        <v>333</v>
      </c>
      <c r="E66" s="3" t="s">
        <v>332</v>
      </c>
      <c r="F66" s="14">
        <v>2E-3</v>
      </c>
      <c r="G66" t="s">
        <v>277</v>
      </c>
    </row>
    <row r="67" spans="2:31" x14ac:dyDescent="0.35">
      <c r="B67" s="3" t="s">
        <v>279</v>
      </c>
      <c r="C67" s="3" t="s">
        <v>214</v>
      </c>
      <c r="D67" s="3" t="s">
        <v>333</v>
      </c>
      <c r="E67" s="3" t="s">
        <v>330</v>
      </c>
      <c r="F67" s="14">
        <v>1.609</v>
      </c>
      <c r="G67" t="s">
        <v>275</v>
      </c>
    </row>
    <row r="68" spans="2:31" x14ac:dyDescent="0.35">
      <c r="B68" s="3" t="s">
        <v>279</v>
      </c>
      <c r="C68" s="3" t="s">
        <v>214</v>
      </c>
      <c r="D68" s="3" t="s">
        <v>333</v>
      </c>
      <c r="E68" s="3" t="s">
        <v>331</v>
      </c>
      <c r="F68" s="14">
        <v>1.155</v>
      </c>
      <c r="G68" t="s">
        <v>276</v>
      </c>
    </row>
    <row r="69" spans="2:31" x14ac:dyDescent="0.35">
      <c r="B69" s="3" t="s">
        <v>279</v>
      </c>
      <c r="C69" s="3" t="s">
        <v>214</v>
      </c>
      <c r="D69" s="3" t="s">
        <v>333</v>
      </c>
      <c r="E69" s="3" t="s">
        <v>332</v>
      </c>
      <c r="F69" s="14">
        <v>5.1999999999999998E-2</v>
      </c>
      <c r="G69" t="s">
        <v>277</v>
      </c>
    </row>
    <row r="70" spans="2:31" x14ac:dyDescent="0.35">
      <c r="B70" s="3" t="s">
        <v>279</v>
      </c>
      <c r="C70" s="3" t="s">
        <v>219</v>
      </c>
      <c r="D70" s="3" t="s">
        <v>333</v>
      </c>
      <c r="E70" s="3" t="s">
        <v>330</v>
      </c>
      <c r="F70" s="14">
        <v>1.609</v>
      </c>
      <c r="G70" t="s">
        <v>275</v>
      </c>
    </row>
    <row r="71" spans="2:31" x14ac:dyDescent="0.35">
      <c r="B71" s="3" t="s">
        <v>279</v>
      </c>
      <c r="C71" s="3" t="s">
        <v>219</v>
      </c>
      <c r="D71" s="3" t="s">
        <v>333</v>
      </c>
      <c r="E71" s="3" t="s">
        <v>331</v>
      </c>
      <c r="F71" s="14">
        <v>1.155</v>
      </c>
      <c r="G71" t="s">
        <v>276</v>
      </c>
    </row>
    <row r="72" spans="2:31" x14ac:dyDescent="0.35">
      <c r="B72" s="3" t="s">
        <v>279</v>
      </c>
      <c r="C72" s="3" t="s">
        <v>219</v>
      </c>
      <c r="D72" s="3" t="s">
        <v>333</v>
      </c>
      <c r="E72" s="3" t="s">
        <v>332</v>
      </c>
      <c r="F72" s="14">
        <v>5.1999999999999998E-2</v>
      </c>
      <c r="G72" t="s">
        <v>277</v>
      </c>
    </row>
    <row r="73" spans="2:31" x14ac:dyDescent="0.35">
      <c r="B73" s="12" t="s">
        <v>334</v>
      </c>
    </row>
    <row r="75" spans="2:31" x14ac:dyDescent="0.35">
      <c r="B75" s="10" t="s">
        <v>335</v>
      </c>
    </row>
    <row r="76" spans="2:31" x14ac:dyDescent="0.35">
      <c r="B76" s="11"/>
      <c r="C76" s="11">
        <v>2022</v>
      </c>
      <c r="D76" s="11">
        <v>2023</v>
      </c>
      <c r="E76" s="11">
        <v>2024</v>
      </c>
      <c r="F76" s="11">
        <v>2025</v>
      </c>
      <c r="G76" s="11">
        <v>2026</v>
      </c>
      <c r="H76" s="11">
        <v>2027</v>
      </c>
      <c r="I76" s="11">
        <v>2028</v>
      </c>
      <c r="J76" s="11">
        <v>2029</v>
      </c>
      <c r="K76" s="11">
        <v>2030</v>
      </c>
      <c r="L76" s="11">
        <v>2031</v>
      </c>
      <c r="M76" s="11">
        <v>2032</v>
      </c>
      <c r="N76" s="11">
        <v>2033</v>
      </c>
      <c r="O76" s="11">
        <v>2034</v>
      </c>
      <c r="P76" s="11">
        <v>2035</v>
      </c>
      <c r="Q76" s="11">
        <v>2036</v>
      </c>
      <c r="R76" s="11">
        <v>2037</v>
      </c>
      <c r="S76" s="11">
        <v>2038</v>
      </c>
      <c r="T76" s="11">
        <v>2039</v>
      </c>
      <c r="U76" s="11">
        <v>2040</v>
      </c>
      <c r="V76" s="11">
        <v>2041</v>
      </c>
      <c r="W76" s="11">
        <v>2042</v>
      </c>
      <c r="X76" s="11">
        <v>2043</v>
      </c>
      <c r="Y76" s="11">
        <v>2044</v>
      </c>
      <c r="Z76" s="11">
        <v>2045</v>
      </c>
      <c r="AA76" s="11">
        <v>2046</v>
      </c>
      <c r="AB76" s="11">
        <v>2047</v>
      </c>
      <c r="AC76" s="11">
        <v>2048</v>
      </c>
      <c r="AD76" s="11">
        <v>2049</v>
      </c>
      <c r="AE76" s="11">
        <v>2050</v>
      </c>
    </row>
    <row r="77" spans="2:31" x14ac:dyDescent="0.35">
      <c r="B77" s="3" t="s">
        <v>336</v>
      </c>
      <c r="C77" s="13">
        <f>H91</f>
        <v>0.29175513711599999</v>
      </c>
      <c r="D77" s="13">
        <f t="shared" ref="D77:AE77" si="0">I91</f>
        <v>0.29704143876427924</v>
      </c>
      <c r="E77" s="13">
        <f t="shared" si="0"/>
        <v>0.28210042693596771</v>
      </c>
      <c r="F77" s="13">
        <f t="shared" si="0"/>
        <v>0.26818060104289365</v>
      </c>
      <c r="G77" s="13">
        <f t="shared" si="0"/>
        <v>0.26236494659750742</v>
      </c>
      <c r="H77" s="13">
        <f t="shared" si="0"/>
        <v>0.24023667457234016</v>
      </c>
      <c r="I77" s="13">
        <f t="shared" si="0"/>
        <v>0.23228244794764075</v>
      </c>
      <c r="J77" s="13">
        <f t="shared" si="0"/>
        <v>0.19724526346339855</v>
      </c>
      <c r="K77" s="13">
        <f t="shared" si="0"/>
        <v>0.1847119992864022</v>
      </c>
      <c r="L77" s="13">
        <f t="shared" si="0"/>
        <v>0.17314483325401753</v>
      </c>
      <c r="M77" s="13">
        <f t="shared" si="0"/>
        <v>0.17290171120301101</v>
      </c>
      <c r="N77" s="13">
        <f t="shared" si="0"/>
        <v>0.17042588153388105</v>
      </c>
      <c r="O77" s="13">
        <f t="shared" si="0"/>
        <v>0.14760005644833557</v>
      </c>
      <c r="P77" s="13">
        <f t="shared" si="0"/>
        <v>0.13773163931196902</v>
      </c>
      <c r="Q77" s="13">
        <f t="shared" si="0"/>
        <v>0.13615219421913627</v>
      </c>
      <c r="R77" s="13">
        <f t="shared" si="0"/>
        <v>0.13593496273402392</v>
      </c>
      <c r="S77" s="13">
        <f t="shared" si="0"/>
        <v>0.13821196326167867</v>
      </c>
      <c r="T77" s="13">
        <f t="shared" si="0"/>
        <v>0.13531120671874997</v>
      </c>
      <c r="U77" s="13">
        <f t="shared" si="0"/>
        <v>0.13374114367894013</v>
      </c>
      <c r="V77" s="13">
        <f t="shared" si="0"/>
        <v>0.13587852850350773</v>
      </c>
      <c r="W77" s="13">
        <f t="shared" si="0"/>
        <v>0.13504963916149756</v>
      </c>
      <c r="X77" s="13">
        <f t="shared" si="0"/>
        <v>0.13373168679273195</v>
      </c>
      <c r="Y77" s="13">
        <f t="shared" si="0"/>
        <v>0.13256568807248006</v>
      </c>
      <c r="Z77" s="13">
        <f t="shared" si="0"/>
        <v>0.13311947443751443</v>
      </c>
      <c r="AA77" s="13">
        <f t="shared" si="0"/>
        <v>0.13072444912811565</v>
      </c>
      <c r="AB77" s="13">
        <f t="shared" si="0"/>
        <v>0.12528692010973425</v>
      </c>
      <c r="AC77" s="13">
        <f t="shared" si="0"/>
        <v>0.11920166355494718</v>
      </c>
      <c r="AD77" s="13">
        <f t="shared" si="0"/>
        <v>0.11955396526599268</v>
      </c>
      <c r="AE77" s="13">
        <f t="shared" si="0"/>
        <v>0.11395378682577054</v>
      </c>
    </row>
    <row r="78" spans="2:31" x14ac:dyDescent="0.35">
      <c r="B78" s="3" t="s">
        <v>337</v>
      </c>
      <c r="C78" s="13">
        <f>C77/1000</f>
        <v>2.9175513711599997E-4</v>
      </c>
      <c r="D78" s="13">
        <f t="shared" ref="D78:AE78" si="1">D77/1000</f>
        <v>2.9704143876427925E-4</v>
      </c>
      <c r="E78" s="13">
        <f t="shared" si="1"/>
        <v>2.8210042693596773E-4</v>
      </c>
      <c r="F78" s="13">
        <f t="shared" si="1"/>
        <v>2.6818060104289365E-4</v>
      </c>
      <c r="G78" s="13">
        <f t="shared" si="1"/>
        <v>2.6236494659750742E-4</v>
      </c>
      <c r="H78" s="13">
        <f t="shared" si="1"/>
        <v>2.4023667457234016E-4</v>
      </c>
      <c r="I78" s="13">
        <f t="shared" si="1"/>
        <v>2.3228244794764076E-4</v>
      </c>
      <c r="J78" s="13">
        <f t="shared" si="1"/>
        <v>1.9724526346339856E-4</v>
      </c>
      <c r="K78" s="13">
        <f t="shared" si="1"/>
        <v>1.8471199928640219E-4</v>
      </c>
      <c r="L78" s="13">
        <f t="shared" si="1"/>
        <v>1.7314483325401754E-4</v>
      </c>
      <c r="M78" s="13">
        <f t="shared" si="1"/>
        <v>1.72901711203011E-4</v>
      </c>
      <c r="N78" s="13">
        <f t="shared" si="1"/>
        <v>1.7042588153388106E-4</v>
      </c>
      <c r="O78" s="13">
        <f t="shared" si="1"/>
        <v>1.4760005644833557E-4</v>
      </c>
      <c r="P78" s="13">
        <f t="shared" si="1"/>
        <v>1.3773163931196902E-4</v>
      </c>
      <c r="Q78" s="13">
        <f t="shared" si="1"/>
        <v>1.3615219421913628E-4</v>
      </c>
      <c r="R78" s="13">
        <f t="shared" si="1"/>
        <v>1.3593496273402392E-4</v>
      </c>
      <c r="S78" s="13">
        <f t="shared" si="1"/>
        <v>1.3821196326167868E-4</v>
      </c>
      <c r="T78" s="13">
        <f t="shared" si="1"/>
        <v>1.3531120671874997E-4</v>
      </c>
      <c r="U78" s="13">
        <f t="shared" si="1"/>
        <v>1.3374114367894013E-4</v>
      </c>
      <c r="V78" s="13">
        <f t="shared" si="1"/>
        <v>1.3587852850350772E-4</v>
      </c>
      <c r="W78" s="13">
        <f t="shared" si="1"/>
        <v>1.3504963916149756E-4</v>
      </c>
      <c r="X78" s="13">
        <f t="shared" si="1"/>
        <v>1.3373168679273195E-4</v>
      </c>
      <c r="Y78" s="13">
        <f t="shared" si="1"/>
        <v>1.3256568807248006E-4</v>
      </c>
      <c r="Z78" s="13">
        <f t="shared" si="1"/>
        <v>1.3311947443751443E-4</v>
      </c>
      <c r="AA78" s="13">
        <f t="shared" si="1"/>
        <v>1.3072444912811564E-4</v>
      </c>
      <c r="AB78" s="13">
        <f t="shared" si="1"/>
        <v>1.2528692010973423E-4</v>
      </c>
      <c r="AC78" s="13">
        <f t="shared" si="1"/>
        <v>1.1920166355494718E-4</v>
      </c>
      <c r="AD78" s="13">
        <f t="shared" si="1"/>
        <v>1.1955396526599269E-4</v>
      </c>
      <c r="AE78" s="13">
        <f t="shared" si="1"/>
        <v>1.1395378682577054E-4</v>
      </c>
    </row>
    <row r="79" spans="2:31" x14ac:dyDescent="0.35">
      <c r="B79" s="12" t="s">
        <v>338</v>
      </c>
    </row>
    <row r="81" spans="1:36" x14ac:dyDescent="0.35">
      <c r="B81" s="35" t="s">
        <v>339</v>
      </c>
    </row>
    <row r="82" spans="1:36" x14ac:dyDescent="0.35">
      <c r="A82" s="109" t="s">
        <v>63</v>
      </c>
      <c r="B82" s="110" t="s">
        <v>340</v>
      </c>
      <c r="C82" s="110" t="s">
        <v>341</v>
      </c>
      <c r="D82" s="110" t="s">
        <v>342</v>
      </c>
      <c r="E82" s="110" t="s">
        <v>343</v>
      </c>
      <c r="F82" s="110" t="s">
        <v>344</v>
      </c>
      <c r="G82" s="110" t="s">
        <v>345</v>
      </c>
      <c r="H82" s="110">
        <v>2022</v>
      </c>
      <c r="I82" s="110">
        <v>2023</v>
      </c>
      <c r="J82" s="110">
        <v>2024</v>
      </c>
      <c r="K82" s="110">
        <v>2025</v>
      </c>
      <c r="L82" s="110">
        <v>2026</v>
      </c>
      <c r="M82" s="110">
        <v>2027</v>
      </c>
      <c r="N82" s="110">
        <v>2028</v>
      </c>
      <c r="O82" s="110">
        <v>2029</v>
      </c>
      <c r="P82" s="110">
        <v>2030</v>
      </c>
      <c r="Q82" s="110">
        <v>2031</v>
      </c>
      <c r="R82" s="110">
        <v>2032</v>
      </c>
      <c r="S82" s="110">
        <v>2033</v>
      </c>
      <c r="T82" s="110">
        <v>2034</v>
      </c>
      <c r="U82" s="110">
        <v>2035</v>
      </c>
      <c r="V82" s="110">
        <v>2036</v>
      </c>
      <c r="W82" s="110">
        <v>2037</v>
      </c>
      <c r="X82" s="110">
        <v>2038</v>
      </c>
      <c r="Y82" s="110">
        <v>2039</v>
      </c>
      <c r="Z82" s="110">
        <v>2040</v>
      </c>
      <c r="AA82" s="110">
        <v>2041</v>
      </c>
      <c r="AB82" s="110">
        <v>2042</v>
      </c>
      <c r="AC82" s="110">
        <v>2043</v>
      </c>
      <c r="AD82" s="110">
        <v>2044</v>
      </c>
      <c r="AE82" s="110">
        <v>2045</v>
      </c>
      <c r="AF82" s="110">
        <v>2046</v>
      </c>
      <c r="AG82" s="110">
        <v>2047</v>
      </c>
      <c r="AH82" s="110">
        <v>2048</v>
      </c>
      <c r="AI82" s="110">
        <v>2049</v>
      </c>
      <c r="AJ82" s="111">
        <v>2050</v>
      </c>
    </row>
    <row r="83" spans="1:36" x14ac:dyDescent="0.35">
      <c r="A83" s="101" t="s">
        <v>346</v>
      </c>
      <c r="B83" s="95" t="s">
        <v>347</v>
      </c>
      <c r="C83" s="95" t="s">
        <v>348</v>
      </c>
      <c r="D83" s="95" t="s">
        <v>349</v>
      </c>
      <c r="E83" s="95" t="s">
        <v>350</v>
      </c>
      <c r="F83" s="102" t="s">
        <v>184</v>
      </c>
      <c r="G83" s="102" t="s">
        <v>351</v>
      </c>
      <c r="H83" s="103">
        <v>0.29819138080000002</v>
      </c>
      <c r="I83" s="103">
        <v>0.30295244634078622</v>
      </c>
      <c r="J83" s="103">
        <v>0.29030675295059477</v>
      </c>
      <c r="K83" s="103">
        <v>0.27480072547552992</v>
      </c>
      <c r="L83" s="103">
        <v>0.26976579698785369</v>
      </c>
      <c r="M83" s="103">
        <v>0.26072078385657993</v>
      </c>
      <c r="N83" s="103">
        <v>0.24341490165656349</v>
      </c>
      <c r="O83" s="103">
        <v>0.22587302185871797</v>
      </c>
      <c r="P83" s="103">
        <v>0.20686085077267952</v>
      </c>
      <c r="Q83" s="103">
        <v>0.20177760449286811</v>
      </c>
      <c r="R83" s="103">
        <v>0.200744406592649</v>
      </c>
      <c r="S83" s="103">
        <v>0.20097876720543142</v>
      </c>
      <c r="T83" s="103">
        <v>0.19574223184173606</v>
      </c>
      <c r="U83" s="103">
        <v>0.18613581298566179</v>
      </c>
      <c r="V83" s="103">
        <v>0.18672678239757498</v>
      </c>
      <c r="W83" s="103">
        <v>0.18968495886278214</v>
      </c>
      <c r="X83" s="103">
        <v>0.19658101028508559</v>
      </c>
      <c r="Y83" s="103">
        <v>0.1963029690812241</v>
      </c>
      <c r="Z83" s="103">
        <v>0.19555042387927365</v>
      </c>
      <c r="AA83" s="103">
        <v>0.19791078833693784</v>
      </c>
      <c r="AB83" s="103">
        <v>0.19783853593674888</v>
      </c>
      <c r="AC83" s="103">
        <v>0.19671033450024886</v>
      </c>
      <c r="AD83" s="103">
        <v>0.19669733899260428</v>
      </c>
      <c r="AE83" s="103">
        <v>0.19699277319740965</v>
      </c>
      <c r="AF83" s="103">
        <v>0.19331598816499707</v>
      </c>
      <c r="AG83" s="103">
        <v>0.18377982246466815</v>
      </c>
      <c r="AH83" s="103">
        <v>0.16971408289119111</v>
      </c>
      <c r="AI83" s="103">
        <v>0.17246730320452258</v>
      </c>
      <c r="AJ83" s="104">
        <v>0.16439941494183941</v>
      </c>
    </row>
    <row r="84" spans="1:36" x14ac:dyDescent="0.35">
      <c r="A84" s="105" t="s">
        <v>352</v>
      </c>
      <c r="B84" t="s">
        <v>347</v>
      </c>
      <c r="C84" t="s">
        <v>348</v>
      </c>
      <c r="D84" t="s">
        <v>349</v>
      </c>
      <c r="E84" t="s">
        <v>350</v>
      </c>
      <c r="F84" s="58" t="s">
        <v>303</v>
      </c>
      <c r="G84" s="58" t="s">
        <v>353</v>
      </c>
      <c r="H84" s="94">
        <f>$E$94</f>
        <v>2.0411639999999999E-5</v>
      </c>
      <c r="I84" s="94">
        <f>H84</f>
        <v>2.0411639999999999E-5</v>
      </c>
      <c r="J84" s="94">
        <f t="shared" ref="J84:AJ84" si="2">I84</f>
        <v>2.0411639999999999E-5</v>
      </c>
      <c r="K84" s="94">
        <f t="shared" si="2"/>
        <v>2.0411639999999999E-5</v>
      </c>
      <c r="L84" s="94">
        <f t="shared" si="2"/>
        <v>2.0411639999999999E-5</v>
      </c>
      <c r="M84" s="94">
        <f t="shared" si="2"/>
        <v>2.0411639999999999E-5</v>
      </c>
      <c r="N84" s="94">
        <f t="shared" si="2"/>
        <v>2.0411639999999999E-5</v>
      </c>
      <c r="O84" s="94">
        <f t="shared" si="2"/>
        <v>2.0411639999999999E-5</v>
      </c>
      <c r="P84" s="94">
        <f t="shared" si="2"/>
        <v>2.0411639999999999E-5</v>
      </c>
      <c r="Q84" s="94">
        <f t="shared" si="2"/>
        <v>2.0411639999999999E-5</v>
      </c>
      <c r="R84" s="94">
        <f t="shared" si="2"/>
        <v>2.0411639999999999E-5</v>
      </c>
      <c r="S84" s="94">
        <f t="shared" si="2"/>
        <v>2.0411639999999999E-5</v>
      </c>
      <c r="T84" s="94">
        <f t="shared" si="2"/>
        <v>2.0411639999999999E-5</v>
      </c>
      <c r="U84" s="94">
        <f t="shared" si="2"/>
        <v>2.0411639999999999E-5</v>
      </c>
      <c r="V84" s="94">
        <f t="shared" si="2"/>
        <v>2.0411639999999999E-5</v>
      </c>
      <c r="W84" s="94">
        <f t="shared" si="2"/>
        <v>2.0411639999999999E-5</v>
      </c>
      <c r="X84" s="94">
        <f t="shared" si="2"/>
        <v>2.0411639999999999E-5</v>
      </c>
      <c r="Y84" s="94">
        <f t="shared" si="2"/>
        <v>2.0411639999999999E-5</v>
      </c>
      <c r="Z84" s="94">
        <f t="shared" si="2"/>
        <v>2.0411639999999999E-5</v>
      </c>
      <c r="AA84" s="94">
        <f t="shared" si="2"/>
        <v>2.0411639999999999E-5</v>
      </c>
      <c r="AB84" s="94">
        <f t="shared" si="2"/>
        <v>2.0411639999999999E-5</v>
      </c>
      <c r="AC84" s="94">
        <f t="shared" si="2"/>
        <v>2.0411639999999999E-5</v>
      </c>
      <c r="AD84" s="94">
        <f t="shared" si="2"/>
        <v>2.0411639999999999E-5</v>
      </c>
      <c r="AE84" s="94">
        <f t="shared" si="2"/>
        <v>2.0411639999999999E-5</v>
      </c>
      <c r="AF84" s="94">
        <f t="shared" si="2"/>
        <v>2.0411639999999999E-5</v>
      </c>
      <c r="AG84" s="94">
        <f t="shared" si="2"/>
        <v>2.0411639999999999E-5</v>
      </c>
      <c r="AH84" s="94">
        <f t="shared" si="2"/>
        <v>2.0411639999999999E-5</v>
      </c>
      <c r="AI84" s="94">
        <f t="shared" si="2"/>
        <v>2.0411639999999999E-5</v>
      </c>
      <c r="AJ84" s="94">
        <f t="shared" si="2"/>
        <v>2.0411639999999999E-5</v>
      </c>
    </row>
    <row r="85" spans="1:36" x14ac:dyDescent="0.35">
      <c r="A85" s="105" t="s">
        <v>352</v>
      </c>
      <c r="B85" t="s">
        <v>347</v>
      </c>
      <c r="C85" t="s">
        <v>348</v>
      </c>
      <c r="D85" t="s">
        <v>349</v>
      </c>
      <c r="E85" t="s">
        <v>350</v>
      </c>
      <c r="F85" s="58" t="s">
        <v>304</v>
      </c>
      <c r="G85" s="58" t="s">
        <v>354</v>
      </c>
      <c r="H85" s="94">
        <f>$F$94</f>
        <v>2.7215520000000003E-6</v>
      </c>
      <c r="I85" s="94">
        <f>H85</f>
        <v>2.7215520000000003E-6</v>
      </c>
      <c r="J85" s="94">
        <f t="shared" ref="J85:AJ85" si="3">I85</f>
        <v>2.7215520000000003E-6</v>
      </c>
      <c r="K85" s="94">
        <f t="shared" si="3"/>
        <v>2.7215520000000003E-6</v>
      </c>
      <c r="L85" s="94">
        <f t="shared" si="3"/>
        <v>2.7215520000000003E-6</v>
      </c>
      <c r="M85" s="94">
        <f t="shared" si="3"/>
        <v>2.7215520000000003E-6</v>
      </c>
      <c r="N85" s="94">
        <f t="shared" si="3"/>
        <v>2.7215520000000003E-6</v>
      </c>
      <c r="O85" s="94">
        <f t="shared" si="3"/>
        <v>2.7215520000000003E-6</v>
      </c>
      <c r="P85" s="94">
        <f t="shared" si="3"/>
        <v>2.7215520000000003E-6</v>
      </c>
      <c r="Q85" s="94">
        <f t="shared" si="3"/>
        <v>2.7215520000000003E-6</v>
      </c>
      <c r="R85" s="94">
        <f t="shared" si="3"/>
        <v>2.7215520000000003E-6</v>
      </c>
      <c r="S85" s="94">
        <f t="shared" si="3"/>
        <v>2.7215520000000003E-6</v>
      </c>
      <c r="T85" s="94">
        <f t="shared" si="3"/>
        <v>2.7215520000000003E-6</v>
      </c>
      <c r="U85" s="94">
        <f t="shared" si="3"/>
        <v>2.7215520000000003E-6</v>
      </c>
      <c r="V85" s="94">
        <f t="shared" si="3"/>
        <v>2.7215520000000003E-6</v>
      </c>
      <c r="W85" s="94">
        <f t="shared" si="3"/>
        <v>2.7215520000000003E-6</v>
      </c>
      <c r="X85" s="94">
        <f t="shared" si="3"/>
        <v>2.7215520000000003E-6</v>
      </c>
      <c r="Y85" s="94">
        <f t="shared" si="3"/>
        <v>2.7215520000000003E-6</v>
      </c>
      <c r="Z85" s="94">
        <f t="shared" si="3"/>
        <v>2.7215520000000003E-6</v>
      </c>
      <c r="AA85" s="94">
        <f t="shared" si="3"/>
        <v>2.7215520000000003E-6</v>
      </c>
      <c r="AB85" s="94">
        <f t="shared" si="3"/>
        <v>2.7215520000000003E-6</v>
      </c>
      <c r="AC85" s="94">
        <f t="shared" si="3"/>
        <v>2.7215520000000003E-6</v>
      </c>
      <c r="AD85" s="94">
        <f t="shared" si="3"/>
        <v>2.7215520000000003E-6</v>
      </c>
      <c r="AE85" s="94">
        <f t="shared" si="3"/>
        <v>2.7215520000000003E-6</v>
      </c>
      <c r="AF85" s="94">
        <f t="shared" si="3"/>
        <v>2.7215520000000003E-6</v>
      </c>
      <c r="AG85" s="94">
        <f t="shared" si="3"/>
        <v>2.7215520000000003E-6</v>
      </c>
      <c r="AH85" s="94">
        <f t="shared" si="3"/>
        <v>2.7215520000000003E-6</v>
      </c>
      <c r="AI85" s="94">
        <f t="shared" si="3"/>
        <v>2.7215520000000003E-6</v>
      </c>
      <c r="AJ85" s="94">
        <f t="shared" si="3"/>
        <v>2.7215520000000003E-6</v>
      </c>
    </row>
    <row r="86" spans="1:36" x14ac:dyDescent="0.35">
      <c r="A86" s="107"/>
      <c r="B86" s="52" t="s">
        <v>347</v>
      </c>
      <c r="C86" s="52" t="s">
        <v>348</v>
      </c>
      <c r="D86" s="52" t="s">
        <v>349</v>
      </c>
      <c r="E86" s="52" t="s">
        <v>350</v>
      </c>
      <c r="F86" s="67" t="s">
        <v>355</v>
      </c>
      <c r="G86" s="67" t="s">
        <v>336</v>
      </c>
      <c r="H86" s="108">
        <f>H83+H84*$C$17+H85*$C$18</f>
        <v>0.29948411800000002</v>
      </c>
      <c r="I86" s="108">
        <f t="shared" ref="I86:AJ86" si="4">I83+I84*$C$17+I85*$C$18</f>
        <v>0.30424518354078622</v>
      </c>
      <c r="J86" s="108">
        <f t="shared" si="4"/>
        <v>0.29159949015059478</v>
      </c>
      <c r="K86" s="108">
        <f t="shared" si="4"/>
        <v>0.27609346267552992</v>
      </c>
      <c r="L86" s="108">
        <f t="shared" si="4"/>
        <v>0.27105853418785369</v>
      </c>
      <c r="M86" s="108">
        <f t="shared" si="4"/>
        <v>0.26201352105657993</v>
      </c>
      <c r="N86" s="108">
        <f t="shared" si="4"/>
        <v>0.24470763885656349</v>
      </c>
      <c r="O86" s="108">
        <f t="shared" si="4"/>
        <v>0.22716575905871797</v>
      </c>
      <c r="P86" s="108">
        <f t="shared" si="4"/>
        <v>0.20815358797267952</v>
      </c>
      <c r="Q86" s="108">
        <f t="shared" si="4"/>
        <v>0.20307034169286811</v>
      </c>
      <c r="R86" s="108">
        <f t="shared" si="4"/>
        <v>0.202037143792649</v>
      </c>
      <c r="S86" s="108">
        <f t="shared" si="4"/>
        <v>0.20227150440543143</v>
      </c>
      <c r="T86" s="108">
        <f t="shared" si="4"/>
        <v>0.19703496904173606</v>
      </c>
      <c r="U86" s="108">
        <f t="shared" si="4"/>
        <v>0.18742855018566179</v>
      </c>
      <c r="V86" s="108">
        <f t="shared" si="4"/>
        <v>0.18801951959757499</v>
      </c>
      <c r="W86" s="108">
        <f t="shared" si="4"/>
        <v>0.19097769606278214</v>
      </c>
      <c r="X86" s="108">
        <f t="shared" si="4"/>
        <v>0.1978737474850856</v>
      </c>
      <c r="Y86" s="108">
        <f t="shared" si="4"/>
        <v>0.19759570628122411</v>
      </c>
      <c r="Z86" s="108">
        <f t="shared" si="4"/>
        <v>0.19684316107927366</v>
      </c>
      <c r="AA86" s="108">
        <f t="shared" si="4"/>
        <v>0.19920352553693785</v>
      </c>
      <c r="AB86" s="108">
        <f t="shared" si="4"/>
        <v>0.19913127313674889</v>
      </c>
      <c r="AC86" s="108">
        <f t="shared" si="4"/>
        <v>0.19800307170024886</v>
      </c>
      <c r="AD86" s="108">
        <f t="shared" si="4"/>
        <v>0.19799007619260428</v>
      </c>
      <c r="AE86" s="108">
        <f t="shared" si="4"/>
        <v>0.19828551039740966</v>
      </c>
      <c r="AF86" s="108">
        <f t="shared" si="4"/>
        <v>0.19460872536499707</v>
      </c>
      <c r="AG86" s="108">
        <f t="shared" si="4"/>
        <v>0.18507255966466815</v>
      </c>
      <c r="AH86" s="108">
        <f t="shared" si="4"/>
        <v>0.17100682009119111</v>
      </c>
      <c r="AI86" s="108">
        <f t="shared" si="4"/>
        <v>0.17376004040452259</v>
      </c>
      <c r="AJ86" s="108">
        <f t="shared" si="4"/>
        <v>0.16569215214183941</v>
      </c>
    </row>
    <row r="87" spans="1:36" x14ac:dyDescent="0.35">
      <c r="A87" s="105" t="s">
        <v>346</v>
      </c>
      <c r="B87" t="s">
        <v>356</v>
      </c>
      <c r="C87" t="s">
        <v>357</v>
      </c>
      <c r="D87" t="s">
        <v>358</v>
      </c>
      <c r="E87" t="s">
        <v>359</v>
      </c>
      <c r="F87" s="58" t="s">
        <v>184</v>
      </c>
      <c r="G87" s="58" t="s">
        <v>351</v>
      </c>
      <c r="H87" s="63">
        <v>0.28258781599999999</v>
      </c>
      <c r="I87" s="63">
        <v>0.28839935375577225</v>
      </c>
      <c r="J87" s="63">
        <v>0.27116302348934057</v>
      </c>
      <c r="K87" s="63">
        <v>0.25882939917825737</v>
      </c>
      <c r="L87" s="63">
        <v>0.25223301877516119</v>
      </c>
      <c r="M87" s="63">
        <v>0.21702148785610043</v>
      </c>
      <c r="N87" s="63">
        <v>0.21841891680671799</v>
      </c>
      <c r="O87" s="63">
        <v>0.16588642763607914</v>
      </c>
      <c r="P87" s="63">
        <v>0.15983207036812491</v>
      </c>
      <c r="Q87" s="63">
        <v>0.14178098458316696</v>
      </c>
      <c r="R87" s="63">
        <v>0.14232793838137303</v>
      </c>
      <c r="S87" s="63">
        <v>0.13714191843033066</v>
      </c>
      <c r="T87" s="63">
        <v>9.6726803622935106E-2</v>
      </c>
      <c r="U87" s="63">
        <v>8.6596388206276242E-2</v>
      </c>
      <c r="V87" s="63">
        <v>8.2846528608697539E-2</v>
      </c>
      <c r="W87" s="63">
        <v>7.9453889173265679E-2</v>
      </c>
      <c r="X87" s="63">
        <v>7.711183880627176E-2</v>
      </c>
      <c r="Y87" s="63">
        <v>7.1588366924275837E-2</v>
      </c>
      <c r="Z87" s="63">
        <v>6.9200786046606622E-2</v>
      </c>
      <c r="AA87" s="63">
        <v>7.1115191238077649E-2</v>
      </c>
      <c r="AB87" s="63">
        <v>6.9529664954246229E-2</v>
      </c>
      <c r="AC87" s="63">
        <v>6.802196165321503E-2</v>
      </c>
      <c r="AD87" s="63">
        <v>6.5702959720355836E-2</v>
      </c>
      <c r="AE87" s="63">
        <v>6.6515098245619228E-2</v>
      </c>
      <c r="AF87" s="63">
        <v>6.5401832659234216E-2</v>
      </c>
      <c r="AG87" s="63">
        <v>6.4062940322800327E-2</v>
      </c>
      <c r="AH87" s="63">
        <v>6.5958166786703271E-2</v>
      </c>
      <c r="AI87" s="63">
        <v>6.3909549895462783E-2</v>
      </c>
      <c r="AJ87" s="106">
        <v>6.0777081277701671E-2</v>
      </c>
    </row>
    <row r="88" spans="1:36" x14ac:dyDescent="0.35">
      <c r="A88" s="105" t="s">
        <v>352</v>
      </c>
      <c r="B88" t="s">
        <v>356</v>
      </c>
      <c r="C88" t="s">
        <v>357</v>
      </c>
      <c r="D88" t="s">
        <v>358</v>
      </c>
      <c r="E88" t="s">
        <v>359</v>
      </c>
      <c r="F88" s="58" t="s">
        <v>303</v>
      </c>
      <c r="G88" s="58" t="s">
        <v>353</v>
      </c>
      <c r="H88" s="63">
        <f>$E$95</f>
        <v>2.1318823999999999E-5</v>
      </c>
      <c r="I88" s="63">
        <f>H88</f>
        <v>2.1318823999999999E-5</v>
      </c>
      <c r="J88" s="63">
        <f t="shared" ref="J88:AJ89" si="5">I88</f>
        <v>2.1318823999999999E-5</v>
      </c>
      <c r="K88" s="63">
        <f t="shared" si="5"/>
        <v>2.1318823999999999E-5</v>
      </c>
      <c r="L88" s="63">
        <f t="shared" si="5"/>
        <v>2.1318823999999999E-5</v>
      </c>
      <c r="M88" s="63">
        <f t="shared" si="5"/>
        <v>2.1318823999999999E-5</v>
      </c>
      <c r="N88" s="63">
        <f t="shared" si="5"/>
        <v>2.1318823999999999E-5</v>
      </c>
      <c r="O88" s="63">
        <f t="shared" si="5"/>
        <v>2.1318823999999999E-5</v>
      </c>
      <c r="P88" s="63">
        <f t="shared" si="5"/>
        <v>2.1318823999999999E-5</v>
      </c>
      <c r="Q88" s="63">
        <f t="shared" si="5"/>
        <v>2.1318823999999999E-5</v>
      </c>
      <c r="R88" s="63">
        <f t="shared" si="5"/>
        <v>2.1318823999999999E-5</v>
      </c>
      <c r="S88" s="63">
        <f t="shared" si="5"/>
        <v>2.1318823999999999E-5</v>
      </c>
      <c r="T88" s="63">
        <f t="shared" si="5"/>
        <v>2.1318823999999999E-5</v>
      </c>
      <c r="U88" s="63">
        <f t="shared" si="5"/>
        <v>2.1318823999999999E-5</v>
      </c>
      <c r="V88" s="63">
        <f t="shared" si="5"/>
        <v>2.1318823999999999E-5</v>
      </c>
      <c r="W88" s="63">
        <f t="shared" si="5"/>
        <v>2.1318823999999999E-5</v>
      </c>
      <c r="X88" s="63">
        <f t="shared" si="5"/>
        <v>2.1318823999999999E-5</v>
      </c>
      <c r="Y88" s="63">
        <f t="shared" si="5"/>
        <v>2.1318823999999999E-5</v>
      </c>
      <c r="Z88" s="63">
        <f t="shared" si="5"/>
        <v>2.1318823999999999E-5</v>
      </c>
      <c r="AA88" s="63">
        <f t="shared" si="5"/>
        <v>2.1318823999999999E-5</v>
      </c>
      <c r="AB88" s="63">
        <f t="shared" si="5"/>
        <v>2.1318823999999999E-5</v>
      </c>
      <c r="AC88" s="63">
        <f t="shared" si="5"/>
        <v>2.1318823999999999E-5</v>
      </c>
      <c r="AD88" s="63">
        <f t="shared" si="5"/>
        <v>2.1318823999999999E-5</v>
      </c>
      <c r="AE88" s="63">
        <f t="shared" si="5"/>
        <v>2.1318823999999999E-5</v>
      </c>
      <c r="AF88" s="63">
        <f t="shared" si="5"/>
        <v>2.1318823999999999E-5</v>
      </c>
      <c r="AG88" s="63">
        <f t="shared" si="5"/>
        <v>2.1318823999999999E-5</v>
      </c>
      <c r="AH88" s="63">
        <f t="shared" si="5"/>
        <v>2.1318823999999999E-5</v>
      </c>
      <c r="AI88" s="63">
        <f t="shared" si="5"/>
        <v>2.1318823999999999E-5</v>
      </c>
      <c r="AJ88" s="106">
        <f t="shared" si="5"/>
        <v>2.1318823999999999E-5</v>
      </c>
    </row>
    <row r="89" spans="1:36" x14ac:dyDescent="0.35">
      <c r="A89" s="105" t="s">
        <v>352</v>
      </c>
      <c r="B89" t="s">
        <v>356</v>
      </c>
      <c r="C89" t="s">
        <v>357</v>
      </c>
      <c r="D89" t="s">
        <v>358</v>
      </c>
      <c r="E89" t="s">
        <v>359</v>
      </c>
      <c r="F89" s="58" t="s">
        <v>304</v>
      </c>
      <c r="G89" s="58" t="s">
        <v>354</v>
      </c>
      <c r="H89" s="63">
        <f>$F$95</f>
        <v>3.1751440000000003E-6</v>
      </c>
      <c r="I89" s="63">
        <f>H89</f>
        <v>3.1751440000000003E-6</v>
      </c>
      <c r="J89" s="63">
        <f t="shared" si="5"/>
        <v>3.1751440000000003E-6</v>
      </c>
      <c r="K89" s="63">
        <f t="shared" si="5"/>
        <v>3.1751440000000003E-6</v>
      </c>
      <c r="L89" s="63">
        <f t="shared" si="5"/>
        <v>3.1751440000000003E-6</v>
      </c>
      <c r="M89" s="63">
        <f t="shared" si="5"/>
        <v>3.1751440000000003E-6</v>
      </c>
      <c r="N89" s="63">
        <f t="shared" si="5"/>
        <v>3.1751440000000003E-6</v>
      </c>
      <c r="O89" s="63">
        <f t="shared" si="5"/>
        <v>3.1751440000000003E-6</v>
      </c>
      <c r="P89" s="63">
        <f t="shared" si="5"/>
        <v>3.1751440000000003E-6</v>
      </c>
      <c r="Q89" s="63">
        <f t="shared" si="5"/>
        <v>3.1751440000000003E-6</v>
      </c>
      <c r="R89" s="63">
        <f t="shared" si="5"/>
        <v>3.1751440000000003E-6</v>
      </c>
      <c r="S89" s="63">
        <f t="shared" si="5"/>
        <v>3.1751440000000003E-6</v>
      </c>
      <c r="T89" s="63">
        <f t="shared" si="5"/>
        <v>3.1751440000000003E-6</v>
      </c>
      <c r="U89" s="63">
        <f t="shared" si="5"/>
        <v>3.1751440000000003E-6</v>
      </c>
      <c r="V89" s="63">
        <f t="shared" si="5"/>
        <v>3.1751440000000003E-6</v>
      </c>
      <c r="W89" s="63">
        <f t="shared" si="5"/>
        <v>3.1751440000000003E-6</v>
      </c>
      <c r="X89" s="63">
        <f t="shared" si="5"/>
        <v>3.1751440000000003E-6</v>
      </c>
      <c r="Y89" s="63">
        <f t="shared" si="5"/>
        <v>3.1751440000000003E-6</v>
      </c>
      <c r="Z89" s="63">
        <f t="shared" si="5"/>
        <v>3.1751440000000003E-6</v>
      </c>
      <c r="AA89" s="63">
        <f t="shared" si="5"/>
        <v>3.1751440000000003E-6</v>
      </c>
      <c r="AB89" s="63">
        <f t="shared" si="5"/>
        <v>3.1751440000000003E-6</v>
      </c>
      <c r="AC89" s="63">
        <f t="shared" si="5"/>
        <v>3.1751440000000003E-6</v>
      </c>
      <c r="AD89" s="63">
        <f t="shared" si="5"/>
        <v>3.1751440000000003E-6</v>
      </c>
      <c r="AE89" s="63">
        <f t="shared" si="5"/>
        <v>3.1751440000000003E-6</v>
      </c>
      <c r="AF89" s="63">
        <f t="shared" si="5"/>
        <v>3.1751440000000003E-6</v>
      </c>
      <c r="AG89" s="63">
        <f t="shared" si="5"/>
        <v>3.1751440000000003E-6</v>
      </c>
      <c r="AH89" s="63">
        <f t="shared" si="5"/>
        <v>3.1751440000000003E-6</v>
      </c>
      <c r="AI89" s="63">
        <f t="shared" si="5"/>
        <v>3.1751440000000003E-6</v>
      </c>
      <c r="AJ89" s="106">
        <f t="shared" si="5"/>
        <v>3.1751440000000003E-6</v>
      </c>
    </row>
    <row r="90" spans="1:36" x14ac:dyDescent="0.35">
      <c r="A90" s="107"/>
      <c r="B90" s="52" t="s">
        <v>356</v>
      </c>
      <c r="C90" s="52" t="s">
        <v>357</v>
      </c>
      <c r="D90" s="52" t="s">
        <v>358</v>
      </c>
      <c r="E90" s="52" t="s">
        <v>359</v>
      </c>
      <c r="F90" s="67" t="s">
        <v>355</v>
      </c>
      <c r="G90" s="67" t="s">
        <v>336</v>
      </c>
      <c r="H90" s="108">
        <f>H87+H88*$C$17+H89*$C$18</f>
        <v>0.284026156232</v>
      </c>
      <c r="I90" s="108">
        <f t="shared" ref="I90:AJ90" si="6">I87+I88*$C$17+I89*$C$18</f>
        <v>0.28983769398777226</v>
      </c>
      <c r="J90" s="108">
        <f t="shared" si="6"/>
        <v>0.27260136372134058</v>
      </c>
      <c r="K90" s="108">
        <f t="shared" si="6"/>
        <v>0.26026773941025738</v>
      </c>
      <c r="L90" s="108">
        <f t="shared" si="6"/>
        <v>0.2536713590071612</v>
      </c>
      <c r="M90" s="108">
        <f t="shared" si="6"/>
        <v>0.21845982808810041</v>
      </c>
      <c r="N90" s="108">
        <f t="shared" si="6"/>
        <v>0.21985725703871797</v>
      </c>
      <c r="O90" s="108">
        <f t="shared" si="6"/>
        <v>0.16732476786807912</v>
      </c>
      <c r="P90" s="108">
        <f t="shared" si="6"/>
        <v>0.1612704106001249</v>
      </c>
      <c r="Q90" s="108">
        <f t="shared" si="6"/>
        <v>0.14321932481516694</v>
      </c>
      <c r="R90" s="108">
        <f t="shared" si="6"/>
        <v>0.14376627861337302</v>
      </c>
      <c r="S90" s="108">
        <f t="shared" si="6"/>
        <v>0.13858025866233065</v>
      </c>
      <c r="T90" s="108">
        <f t="shared" si="6"/>
        <v>9.8165143854935105E-2</v>
      </c>
      <c r="U90" s="108">
        <f t="shared" si="6"/>
        <v>8.8034728438276241E-2</v>
      </c>
      <c r="V90" s="108">
        <f t="shared" si="6"/>
        <v>8.4284868840697538E-2</v>
      </c>
      <c r="W90" s="108">
        <f t="shared" si="6"/>
        <v>8.0892229405265678E-2</v>
      </c>
      <c r="X90" s="108">
        <f t="shared" si="6"/>
        <v>7.8550179038271759E-2</v>
      </c>
      <c r="Y90" s="108">
        <f t="shared" si="6"/>
        <v>7.3026707156275836E-2</v>
      </c>
      <c r="Z90" s="108">
        <f t="shared" si="6"/>
        <v>7.063912627860662E-2</v>
      </c>
      <c r="AA90" s="108">
        <f t="shared" si="6"/>
        <v>7.2553531470077648E-2</v>
      </c>
      <c r="AB90" s="108">
        <f t="shared" si="6"/>
        <v>7.0968005186246227E-2</v>
      </c>
      <c r="AC90" s="108">
        <f t="shared" si="6"/>
        <v>6.9460301885215028E-2</v>
      </c>
      <c r="AD90" s="108">
        <f t="shared" si="6"/>
        <v>6.7141299952355835E-2</v>
      </c>
      <c r="AE90" s="108">
        <f t="shared" si="6"/>
        <v>6.7953438477619227E-2</v>
      </c>
      <c r="AF90" s="108">
        <f t="shared" si="6"/>
        <v>6.6840172891234215E-2</v>
      </c>
      <c r="AG90" s="108">
        <f t="shared" si="6"/>
        <v>6.5501280554800326E-2</v>
      </c>
      <c r="AH90" s="108">
        <f t="shared" si="6"/>
        <v>6.7396507018703269E-2</v>
      </c>
      <c r="AI90" s="108">
        <f t="shared" si="6"/>
        <v>6.5347890127462782E-2</v>
      </c>
      <c r="AJ90" s="108">
        <f t="shared" si="6"/>
        <v>6.221542150970167E-2</v>
      </c>
    </row>
    <row r="91" spans="1:36" x14ac:dyDescent="0.35">
      <c r="A91" s="107"/>
      <c r="B91" s="52"/>
      <c r="C91" s="112"/>
      <c r="D91" s="112"/>
      <c r="E91" s="112"/>
      <c r="F91" s="113"/>
      <c r="G91" s="113" t="s">
        <v>336</v>
      </c>
      <c r="H91" s="114">
        <f>AVERAGE(H86,H90)</f>
        <v>0.29175513711599999</v>
      </c>
      <c r="I91" s="114">
        <f t="shared" ref="I91:AJ91" si="7">AVERAGE(I86,I90)</f>
        <v>0.29704143876427924</v>
      </c>
      <c r="J91" s="114">
        <f t="shared" si="7"/>
        <v>0.28210042693596771</v>
      </c>
      <c r="K91" s="114">
        <f t="shared" si="7"/>
        <v>0.26818060104289365</v>
      </c>
      <c r="L91" s="114">
        <f t="shared" si="7"/>
        <v>0.26236494659750742</v>
      </c>
      <c r="M91" s="114">
        <f t="shared" si="7"/>
        <v>0.24023667457234016</v>
      </c>
      <c r="N91" s="114">
        <f t="shared" si="7"/>
        <v>0.23228244794764075</v>
      </c>
      <c r="O91" s="114">
        <f t="shared" si="7"/>
        <v>0.19724526346339855</v>
      </c>
      <c r="P91" s="114">
        <f t="shared" si="7"/>
        <v>0.1847119992864022</v>
      </c>
      <c r="Q91" s="114">
        <f t="shared" si="7"/>
        <v>0.17314483325401753</v>
      </c>
      <c r="R91" s="114">
        <f t="shared" si="7"/>
        <v>0.17290171120301101</v>
      </c>
      <c r="S91" s="114">
        <f t="shared" si="7"/>
        <v>0.17042588153388105</v>
      </c>
      <c r="T91" s="114">
        <f t="shared" si="7"/>
        <v>0.14760005644833557</v>
      </c>
      <c r="U91" s="114">
        <f t="shared" si="7"/>
        <v>0.13773163931196902</v>
      </c>
      <c r="V91" s="114">
        <f t="shared" si="7"/>
        <v>0.13615219421913627</v>
      </c>
      <c r="W91" s="114">
        <f t="shared" si="7"/>
        <v>0.13593496273402392</v>
      </c>
      <c r="X91" s="114">
        <f t="shared" si="7"/>
        <v>0.13821196326167867</v>
      </c>
      <c r="Y91" s="114">
        <f t="shared" si="7"/>
        <v>0.13531120671874997</v>
      </c>
      <c r="Z91" s="114">
        <f t="shared" si="7"/>
        <v>0.13374114367894013</v>
      </c>
      <c r="AA91" s="114">
        <f t="shared" si="7"/>
        <v>0.13587852850350773</v>
      </c>
      <c r="AB91" s="114">
        <f t="shared" si="7"/>
        <v>0.13504963916149756</v>
      </c>
      <c r="AC91" s="114">
        <f t="shared" si="7"/>
        <v>0.13373168679273195</v>
      </c>
      <c r="AD91" s="114">
        <f t="shared" si="7"/>
        <v>0.13256568807248006</v>
      </c>
      <c r="AE91" s="114">
        <f t="shared" si="7"/>
        <v>0.13311947443751443</v>
      </c>
      <c r="AF91" s="114">
        <f t="shared" si="7"/>
        <v>0.13072444912811565</v>
      </c>
      <c r="AG91" s="114">
        <f t="shared" si="7"/>
        <v>0.12528692010973425</v>
      </c>
      <c r="AH91" s="114">
        <f t="shared" si="7"/>
        <v>0.11920166355494718</v>
      </c>
      <c r="AI91" s="114">
        <f t="shared" si="7"/>
        <v>0.11955396526599268</v>
      </c>
      <c r="AJ91" s="115">
        <f t="shared" si="7"/>
        <v>0.11395378682577054</v>
      </c>
    </row>
    <row r="92" spans="1:36" x14ac:dyDescent="0.35">
      <c r="B92" s="96"/>
      <c r="G92" s="96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</row>
    <row r="93" spans="1:36" x14ac:dyDescent="0.35">
      <c r="B93" s="98" t="s">
        <v>360</v>
      </c>
      <c r="C93" s="98" t="s">
        <v>355</v>
      </c>
      <c r="D93" s="98" t="s">
        <v>184</v>
      </c>
      <c r="E93" s="98" t="s">
        <v>303</v>
      </c>
      <c r="F93" s="98" t="s">
        <v>304</v>
      </c>
      <c r="G93" s="96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</row>
    <row r="94" spans="1:36" x14ac:dyDescent="0.35">
      <c r="B94" s="99" t="s">
        <v>350</v>
      </c>
      <c r="C94" s="100">
        <f>D94+E94*$C$17+F94*$C$18</f>
        <v>0.29948411800000002</v>
      </c>
      <c r="D94" s="100">
        <f>D98*'Conversions and Lookups'!$C$9</f>
        <v>0.29819138080000002</v>
      </c>
      <c r="E94" s="100">
        <f>E98*'Conversions and Lookups'!$C$9</f>
        <v>2.0411639999999999E-5</v>
      </c>
      <c r="F94" s="100">
        <f>F98*'Conversions and Lookups'!$C$9</f>
        <v>2.7215520000000003E-6</v>
      </c>
      <c r="G94" s="96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</row>
    <row r="95" spans="1:36" x14ac:dyDescent="0.35">
      <c r="B95" s="99" t="s">
        <v>359</v>
      </c>
      <c r="C95" s="100">
        <f>D95+E95*$C$17+F95*$C$18</f>
        <v>0.284026156232</v>
      </c>
      <c r="D95" s="100">
        <f>D99*'Conversions and Lookups'!$C$9</f>
        <v>0.28258781599999999</v>
      </c>
      <c r="E95" s="100">
        <f>E99*'Conversions and Lookups'!$C$9</f>
        <v>2.1318823999999999E-5</v>
      </c>
      <c r="F95" s="100">
        <f>F99*'Conversions and Lookups'!$C$9</f>
        <v>3.1751440000000003E-6</v>
      </c>
      <c r="G95" s="96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</row>
    <row r="96" spans="1:36" x14ac:dyDescent="0.35">
      <c r="G96" s="96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</row>
    <row r="97" spans="2:36" x14ac:dyDescent="0.35">
      <c r="B97" s="98" t="s">
        <v>361</v>
      </c>
      <c r="C97" s="98" t="s">
        <v>355</v>
      </c>
      <c r="D97" s="98" t="s">
        <v>184</v>
      </c>
      <c r="E97" s="98" t="s">
        <v>303</v>
      </c>
      <c r="F97" s="98" t="s">
        <v>304</v>
      </c>
      <c r="G97" s="96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</row>
    <row r="98" spans="2:36" x14ac:dyDescent="0.35">
      <c r="B98" s="99" t="s">
        <v>350</v>
      </c>
      <c r="C98" s="100">
        <f>D98+E98*$C$17+F98*$C$18</f>
        <v>660.25</v>
      </c>
      <c r="D98" s="100">
        <v>657.4</v>
      </c>
      <c r="E98" s="100">
        <v>4.4999999999999998E-2</v>
      </c>
      <c r="F98" s="100">
        <v>6.0000000000000001E-3</v>
      </c>
      <c r="G98" s="96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</row>
    <row r="99" spans="2:36" x14ac:dyDescent="0.35">
      <c r="B99" s="99" t="s">
        <v>359</v>
      </c>
      <c r="C99" s="100">
        <f>D99+E99*$C$17+F99*$C$18</f>
        <v>626.17100000000005</v>
      </c>
      <c r="D99" s="100">
        <v>623</v>
      </c>
      <c r="E99" s="100">
        <v>4.7E-2</v>
      </c>
      <c r="F99" s="100">
        <v>7.0000000000000001E-3</v>
      </c>
      <c r="G99" s="96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</row>
    <row r="100" spans="2:36" x14ac:dyDescent="0.35">
      <c r="B100" t="s">
        <v>362</v>
      </c>
    </row>
    <row r="102" spans="2:36" x14ac:dyDescent="0.35">
      <c r="B102" s="10" t="s">
        <v>363</v>
      </c>
    </row>
    <row r="103" spans="2:36" x14ac:dyDescent="0.35">
      <c r="B103" s="11" t="s">
        <v>364</v>
      </c>
      <c r="C103" s="11" t="s">
        <v>161</v>
      </c>
      <c r="D103" s="11" t="s">
        <v>162</v>
      </c>
      <c r="E103" s="11" t="s">
        <v>365</v>
      </c>
    </row>
    <row r="104" spans="2:36" x14ac:dyDescent="0.35">
      <c r="B104" s="3" t="s">
        <v>366</v>
      </c>
      <c r="C104" s="3">
        <v>53.06</v>
      </c>
      <c r="D104" s="3">
        <v>61.46</v>
      </c>
      <c r="E104" s="3">
        <v>73.959999999999994</v>
      </c>
    </row>
    <row r="105" spans="2:36" x14ac:dyDescent="0.35">
      <c r="B105" s="3" t="s">
        <v>367</v>
      </c>
      <c r="C105" s="3">
        <v>1E-3</v>
      </c>
      <c r="D105" s="3">
        <v>3.0000000000000001E-3</v>
      </c>
      <c r="E105" s="3">
        <v>3.0000000000000001E-3</v>
      </c>
    </row>
    <row r="106" spans="2:36" x14ac:dyDescent="0.35">
      <c r="B106" s="3" t="s">
        <v>368</v>
      </c>
      <c r="C106" s="3">
        <v>1E-4</v>
      </c>
      <c r="D106" s="120">
        <v>5.9999999999999995E-4</v>
      </c>
      <c r="E106" s="120">
        <v>5.9999999999999995E-4</v>
      </c>
    </row>
    <row r="107" spans="2:36" x14ac:dyDescent="0.35">
      <c r="B107" s="3" t="s">
        <v>369</v>
      </c>
      <c r="C107" s="5">
        <v>53.1145</v>
      </c>
      <c r="D107" s="5">
        <v>61.703000000000003</v>
      </c>
      <c r="E107" s="5">
        <v>74.203000000000003</v>
      </c>
    </row>
    <row r="108" spans="2:36" x14ac:dyDescent="0.35">
      <c r="B108" s="121" t="s">
        <v>370</v>
      </c>
    </row>
    <row r="110" spans="2:36" x14ac:dyDescent="0.35">
      <c r="B110" s="11" t="s">
        <v>371</v>
      </c>
      <c r="C110" s="11" t="s">
        <v>372</v>
      </c>
      <c r="D110" s="11" t="s">
        <v>373</v>
      </c>
      <c r="E110" s="11" t="s">
        <v>374</v>
      </c>
      <c r="F110" s="11" t="s">
        <v>375</v>
      </c>
      <c r="G110" s="11" t="s">
        <v>376</v>
      </c>
    </row>
    <row r="111" spans="2:36" x14ac:dyDescent="0.35">
      <c r="B111" s="3" t="s">
        <v>171</v>
      </c>
      <c r="C111" s="3" t="s">
        <v>377</v>
      </c>
      <c r="D111" s="3" t="s">
        <v>170</v>
      </c>
      <c r="E111" s="5">
        <v>73.212853203000037</v>
      </c>
      <c r="F111" s="3">
        <v>18100</v>
      </c>
      <c r="G111" s="5">
        <v>4.0449090167403333E-3</v>
      </c>
    </row>
    <row r="112" spans="2:36" x14ac:dyDescent="0.35">
      <c r="B112" s="3" t="s">
        <v>171</v>
      </c>
      <c r="C112" s="3" t="s">
        <v>377</v>
      </c>
      <c r="D112" s="3" t="s">
        <v>161</v>
      </c>
      <c r="E112" s="5">
        <v>1638.3046503900011</v>
      </c>
      <c r="F112" s="3">
        <v>160600.00000000003</v>
      </c>
      <c r="G112" s="5">
        <v>1.0201149753362396E-2</v>
      </c>
    </row>
    <row r="113" spans="2:8" x14ac:dyDescent="0.35">
      <c r="B113" s="3" t="s">
        <v>172</v>
      </c>
      <c r="C113" s="3" t="s">
        <v>377</v>
      </c>
      <c r="D113" s="3" t="s">
        <v>170</v>
      </c>
      <c r="E113" s="5">
        <v>366.06426004000014</v>
      </c>
      <c r="F113" s="3">
        <v>18100</v>
      </c>
      <c r="G113" s="5">
        <v>2.0224544753591169E-2</v>
      </c>
    </row>
    <row r="114" spans="2:8" x14ac:dyDescent="0.35">
      <c r="B114" s="3" t="s">
        <v>172</v>
      </c>
      <c r="C114" s="3" t="s">
        <v>377</v>
      </c>
      <c r="D114" s="3" t="s">
        <v>161</v>
      </c>
      <c r="E114" s="5">
        <v>3276.6091040960014</v>
      </c>
      <c r="F114" s="3">
        <v>160600.00000000003</v>
      </c>
      <c r="G114" s="5">
        <v>2.0402298282042347E-2</v>
      </c>
      <c r="H114" s="138"/>
    </row>
    <row r="115" spans="2:8" x14ac:dyDescent="0.35">
      <c r="B115" s="3" t="s">
        <v>25</v>
      </c>
      <c r="C115" s="3" t="s">
        <v>378</v>
      </c>
      <c r="D115" s="3" t="s">
        <v>170</v>
      </c>
      <c r="E115" s="5">
        <v>8.2716945300000025E-2</v>
      </c>
      <c r="F115" s="3">
        <v>18100</v>
      </c>
      <c r="G115" s="5">
        <v>4.5699969779005542E-6</v>
      </c>
    </row>
    <row r="116" spans="2:8" x14ac:dyDescent="0.35">
      <c r="B116" s="3" t="s">
        <v>25</v>
      </c>
      <c r="C116" s="3" t="s">
        <v>378</v>
      </c>
      <c r="D116" s="3" t="s">
        <v>170</v>
      </c>
      <c r="E116" s="5">
        <v>8.2716945300000025E-2</v>
      </c>
      <c r="F116" s="3">
        <v>18100</v>
      </c>
      <c r="G116" s="5">
        <v>4.5699969779005542E-6</v>
      </c>
    </row>
    <row r="117" spans="2:8" x14ac:dyDescent="0.35">
      <c r="B117" s="3" t="s">
        <v>173</v>
      </c>
      <c r="C117" s="3" t="s">
        <v>377</v>
      </c>
      <c r="D117" s="3" t="s">
        <v>170</v>
      </c>
      <c r="E117" s="5">
        <v>1317.8312935700005</v>
      </c>
      <c r="F117" s="3">
        <v>18100</v>
      </c>
      <c r="G117" s="5">
        <v>7.2808358760773503E-2</v>
      </c>
    </row>
    <row r="118" spans="2:8" x14ac:dyDescent="0.35">
      <c r="B118" s="3" t="s">
        <v>173</v>
      </c>
      <c r="C118" s="3" t="s">
        <v>377</v>
      </c>
      <c r="D118" s="3" t="s">
        <v>161</v>
      </c>
      <c r="E118" s="5">
        <v>7700.0314396600024</v>
      </c>
      <c r="F118" s="3">
        <v>160600.00000000003</v>
      </c>
      <c r="G118" s="5">
        <v>4.7945401243212955E-2</v>
      </c>
    </row>
    <row r="119" spans="2:8" x14ac:dyDescent="0.35">
      <c r="B119" s="3" t="s">
        <v>174</v>
      </c>
      <c r="C119" s="3" t="s">
        <v>377</v>
      </c>
      <c r="D119" s="3" t="s">
        <v>170</v>
      </c>
      <c r="E119" s="5">
        <v>174.246584893</v>
      </c>
      <c r="F119" s="3">
        <v>18100</v>
      </c>
      <c r="G119" s="5">
        <v>9.626883143259669E-3</v>
      </c>
    </row>
    <row r="120" spans="2:8" x14ac:dyDescent="0.35">
      <c r="B120" s="3" t="s">
        <v>174</v>
      </c>
      <c r="C120" s="3" t="s">
        <v>377</v>
      </c>
      <c r="D120" s="3" t="s">
        <v>161</v>
      </c>
      <c r="E120" s="5">
        <v>42.594893717900035</v>
      </c>
      <c r="F120" s="3">
        <v>160600.00000000003</v>
      </c>
      <c r="G120" s="5">
        <v>2.6522349762079719E-4</v>
      </c>
    </row>
    <row r="121" spans="2:8" x14ac:dyDescent="0.35">
      <c r="B121" s="3" t="s">
        <v>175</v>
      </c>
      <c r="C121" s="3" t="s">
        <v>377</v>
      </c>
      <c r="D121" s="3" t="s">
        <v>170</v>
      </c>
      <c r="E121" s="5">
        <v>155.94336559499993</v>
      </c>
      <c r="F121" s="3">
        <v>18100</v>
      </c>
      <c r="G121" s="5">
        <v>8.6156555577348026E-3</v>
      </c>
    </row>
    <row r="122" spans="2:8" x14ac:dyDescent="0.35">
      <c r="B122" s="3" t="s">
        <v>175</v>
      </c>
      <c r="C122" s="3" t="s">
        <v>377</v>
      </c>
      <c r="D122" s="3" t="s">
        <v>161</v>
      </c>
      <c r="E122" s="5">
        <v>35.222469257100002</v>
      </c>
      <c r="F122" s="3">
        <v>160600.00000000003</v>
      </c>
      <c r="G122" s="5">
        <v>2.193179903929016E-4</v>
      </c>
    </row>
    <row r="123" spans="2:8" x14ac:dyDescent="0.35">
      <c r="B123" s="3" t="s">
        <v>176</v>
      </c>
      <c r="C123" s="3" t="s">
        <v>377</v>
      </c>
      <c r="D123" s="3" t="s">
        <v>170</v>
      </c>
      <c r="E123" s="5">
        <v>15.594336559500002</v>
      </c>
      <c r="F123" s="3">
        <v>18100</v>
      </c>
      <c r="G123" s="5">
        <v>8.6156555577348074E-4</v>
      </c>
    </row>
    <row r="124" spans="2:8" x14ac:dyDescent="0.35">
      <c r="B124" s="3" t="s">
        <v>176</v>
      </c>
      <c r="C124" s="3" t="s">
        <v>377</v>
      </c>
      <c r="D124" s="3" t="s">
        <v>161</v>
      </c>
      <c r="E124" s="5">
        <v>49.147954003700022</v>
      </c>
      <c r="F124" s="3">
        <v>160600.00000000003</v>
      </c>
      <c r="G124" s="5">
        <v>3.0602711085740979E-4</v>
      </c>
    </row>
    <row r="125" spans="2:8" x14ac:dyDescent="0.35">
      <c r="B125" s="3" t="s">
        <v>176</v>
      </c>
      <c r="C125" s="3" t="s">
        <v>377</v>
      </c>
      <c r="D125" s="3" t="s">
        <v>170</v>
      </c>
      <c r="E125" s="5">
        <v>15.594336559500002</v>
      </c>
      <c r="F125" s="3">
        <v>18100</v>
      </c>
      <c r="G125" s="5">
        <v>8.6156555577348074E-4</v>
      </c>
    </row>
    <row r="126" spans="2:8" x14ac:dyDescent="0.35">
      <c r="B126" s="3" t="s">
        <v>177</v>
      </c>
      <c r="C126" s="3" t="s">
        <v>377</v>
      </c>
      <c r="D126" s="3" t="s">
        <v>170</v>
      </c>
      <c r="E126" s="5">
        <v>52.200760383999985</v>
      </c>
      <c r="F126" s="3">
        <v>18100</v>
      </c>
      <c r="G126" s="5">
        <v>2.8840199107182311E-3</v>
      </c>
    </row>
    <row r="127" spans="2:8" x14ac:dyDescent="0.35">
      <c r="B127" s="3" t="s">
        <v>177</v>
      </c>
      <c r="C127" s="3" t="s">
        <v>377</v>
      </c>
      <c r="D127" s="3" t="s">
        <v>161</v>
      </c>
      <c r="E127" s="5">
        <v>450.53375621369992</v>
      </c>
      <c r="F127" s="3">
        <v>160600.00000000003</v>
      </c>
      <c r="G127" s="5">
        <v>2.8053160411811943E-3</v>
      </c>
    </row>
    <row r="128" spans="2:8" x14ac:dyDescent="0.35">
      <c r="B128" t="s">
        <v>379</v>
      </c>
    </row>
    <row r="129" spans="2:3" x14ac:dyDescent="0.35">
      <c r="B129" s="121" t="s">
        <v>380</v>
      </c>
      <c r="C129" t="s">
        <v>381</v>
      </c>
    </row>
  </sheetData>
  <hyperlinks>
    <hyperlink ref="B129" r:id="rId1" xr:uid="{A96C6B14-84A7-493A-B9B5-8509428C5ECD}"/>
    <hyperlink ref="B108" r:id="rId2" xr:uid="{F2A24740-BA93-4391-B4E9-367E9ED3D172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4AB0E-2CD7-4403-8493-7781D316C6C6}">
  <sheetPr>
    <pageSetUpPr autoPageBreaks="0"/>
  </sheetPr>
  <dimension ref="A1:N33"/>
  <sheetViews>
    <sheetView workbookViewId="0"/>
  </sheetViews>
  <sheetFormatPr defaultRowHeight="14.5" x14ac:dyDescent="0.35"/>
  <cols>
    <col min="1" max="1" width="10.7265625" bestFit="1" customWidth="1"/>
    <col min="2" max="2" width="38.81640625" bestFit="1" customWidth="1"/>
    <col min="3" max="3" width="20" bestFit="1" customWidth="1"/>
    <col min="4" max="4" width="26.1796875" bestFit="1" customWidth="1"/>
    <col min="5" max="5" width="19.1796875" bestFit="1" customWidth="1"/>
    <col min="6" max="6" width="14.7265625" bestFit="1" customWidth="1"/>
    <col min="7" max="8" width="19.81640625" bestFit="1" customWidth="1"/>
    <col min="9" max="9" width="14.54296875" bestFit="1" customWidth="1"/>
    <col min="10" max="10" width="15.1796875" bestFit="1" customWidth="1"/>
    <col min="11" max="11" width="15" bestFit="1" customWidth="1"/>
    <col min="12" max="12" width="15.81640625" bestFit="1" customWidth="1"/>
  </cols>
  <sheetData>
    <row r="1" spans="1:12" x14ac:dyDescent="0.35">
      <c r="A1" s="121" t="s">
        <v>100</v>
      </c>
    </row>
    <row r="2" spans="1:12" s="123" customFormat="1" ht="18.5" x14ac:dyDescent="0.45">
      <c r="A2" s="122" t="s">
        <v>382</v>
      </c>
    </row>
    <row r="3" spans="1:12" x14ac:dyDescent="0.35">
      <c r="A3" t="s">
        <v>383</v>
      </c>
      <c r="B3" t="s">
        <v>384</v>
      </c>
      <c r="C3" t="s">
        <v>154</v>
      </c>
      <c r="D3" t="s">
        <v>385</v>
      </c>
      <c r="E3" t="s">
        <v>386</v>
      </c>
      <c r="F3" t="s">
        <v>387</v>
      </c>
      <c r="G3" t="s">
        <v>388</v>
      </c>
      <c r="H3" t="s">
        <v>389</v>
      </c>
      <c r="I3" t="s">
        <v>390</v>
      </c>
      <c r="J3" t="s">
        <v>391</v>
      </c>
      <c r="K3" t="s">
        <v>392</v>
      </c>
      <c r="L3" t="s">
        <v>393</v>
      </c>
    </row>
    <row r="4" spans="1:12" s="10" customFormat="1" x14ac:dyDescent="0.35">
      <c r="A4" s="10" t="s">
        <v>394</v>
      </c>
      <c r="B4" s="10" t="s">
        <v>395</v>
      </c>
      <c r="C4" s="10" t="s">
        <v>396</v>
      </c>
      <c r="D4" s="10">
        <v>120</v>
      </c>
      <c r="E4" s="10">
        <v>0.8</v>
      </c>
      <c r="G4" s="10" t="s">
        <v>397</v>
      </c>
      <c r="H4" s="10" t="s">
        <v>398</v>
      </c>
      <c r="I4" s="10">
        <v>20</v>
      </c>
    </row>
    <row r="6" spans="1:12" x14ac:dyDescent="0.35">
      <c r="A6" t="s">
        <v>383</v>
      </c>
      <c r="B6" t="s">
        <v>384</v>
      </c>
      <c r="C6" t="s">
        <v>399</v>
      </c>
      <c r="D6" t="s">
        <v>400</v>
      </c>
      <c r="E6" t="s">
        <v>387</v>
      </c>
      <c r="F6" t="s">
        <v>401</v>
      </c>
      <c r="G6" t="s">
        <v>390</v>
      </c>
      <c r="H6" t="s">
        <v>392</v>
      </c>
    </row>
    <row r="7" spans="1:12" x14ac:dyDescent="0.35">
      <c r="A7" t="s">
        <v>402</v>
      </c>
      <c r="B7" t="s">
        <v>403</v>
      </c>
      <c r="C7">
        <v>7.7</v>
      </c>
      <c r="D7">
        <v>13</v>
      </c>
      <c r="F7" t="s">
        <v>398</v>
      </c>
      <c r="G7">
        <v>15</v>
      </c>
      <c r="H7">
        <v>3400</v>
      </c>
    </row>
    <row r="8" spans="1:12" x14ac:dyDescent="0.35">
      <c r="A8" t="s">
        <v>402</v>
      </c>
      <c r="B8" t="s">
        <v>404</v>
      </c>
      <c r="C8">
        <v>8.1999999999999993</v>
      </c>
      <c r="D8">
        <v>14</v>
      </c>
      <c r="F8" t="s">
        <v>397</v>
      </c>
      <c r="G8">
        <v>15</v>
      </c>
      <c r="H8">
        <v>3600</v>
      </c>
    </row>
    <row r="9" spans="1:12" x14ac:dyDescent="0.35">
      <c r="A9" t="s">
        <v>402</v>
      </c>
      <c r="B9" t="s">
        <v>405</v>
      </c>
      <c r="C9">
        <v>8.5</v>
      </c>
      <c r="D9">
        <v>15</v>
      </c>
      <c r="E9" t="s">
        <v>397</v>
      </c>
      <c r="F9" t="s">
        <v>397</v>
      </c>
      <c r="G9">
        <v>15</v>
      </c>
      <c r="H9">
        <v>3700</v>
      </c>
    </row>
    <row r="10" spans="1:12" x14ac:dyDescent="0.35">
      <c r="A10" t="s">
        <v>402</v>
      </c>
      <c r="B10" t="s">
        <v>406</v>
      </c>
      <c r="C10">
        <v>8.6</v>
      </c>
      <c r="D10">
        <v>16</v>
      </c>
      <c r="E10" t="s">
        <v>397</v>
      </c>
      <c r="F10" t="s">
        <v>397</v>
      </c>
      <c r="G10">
        <v>15</v>
      </c>
      <c r="H10">
        <v>3900</v>
      </c>
    </row>
    <row r="11" spans="1:12" x14ac:dyDescent="0.35">
      <c r="A11" t="s">
        <v>402</v>
      </c>
      <c r="B11" t="s">
        <v>407</v>
      </c>
      <c r="C11">
        <v>8.6999999999999993</v>
      </c>
      <c r="D11">
        <v>17</v>
      </c>
      <c r="E11" t="s">
        <v>397</v>
      </c>
      <c r="F11" t="s">
        <v>397</v>
      </c>
      <c r="G11">
        <v>15</v>
      </c>
      <c r="H11">
        <v>4000</v>
      </c>
    </row>
    <row r="12" spans="1:12" x14ac:dyDescent="0.35">
      <c r="A12" t="s">
        <v>402</v>
      </c>
      <c r="B12" t="s">
        <v>408</v>
      </c>
      <c r="C12">
        <v>9.3000000000000007</v>
      </c>
      <c r="D12">
        <v>18</v>
      </c>
      <c r="E12" t="s">
        <v>397</v>
      </c>
      <c r="F12" t="s">
        <v>397</v>
      </c>
      <c r="G12">
        <v>15</v>
      </c>
      <c r="H12">
        <v>4200</v>
      </c>
    </row>
    <row r="13" spans="1:12" x14ac:dyDescent="0.35">
      <c r="A13" t="s">
        <v>402</v>
      </c>
      <c r="B13" t="s">
        <v>409</v>
      </c>
      <c r="C13">
        <v>9.5</v>
      </c>
      <c r="D13">
        <v>19</v>
      </c>
      <c r="E13" t="s">
        <v>397</v>
      </c>
      <c r="F13" t="s">
        <v>397</v>
      </c>
      <c r="G13">
        <v>15</v>
      </c>
      <c r="H13">
        <v>4300</v>
      </c>
    </row>
    <row r="14" spans="1:12" x14ac:dyDescent="0.35">
      <c r="A14" t="s">
        <v>402</v>
      </c>
      <c r="B14" t="s">
        <v>410</v>
      </c>
      <c r="C14">
        <v>10</v>
      </c>
      <c r="D14">
        <v>20</v>
      </c>
      <c r="E14" t="s">
        <v>397</v>
      </c>
      <c r="F14" t="s">
        <v>397</v>
      </c>
      <c r="G14">
        <v>15</v>
      </c>
      <c r="H14">
        <v>4500</v>
      </c>
    </row>
    <row r="15" spans="1:12" x14ac:dyDescent="0.35">
      <c r="A15" t="s">
        <v>402</v>
      </c>
      <c r="B15" t="s">
        <v>411</v>
      </c>
      <c r="C15">
        <v>10</v>
      </c>
      <c r="D15">
        <v>21</v>
      </c>
      <c r="E15" t="s">
        <v>397</v>
      </c>
      <c r="F15" t="s">
        <v>397</v>
      </c>
      <c r="G15">
        <v>15</v>
      </c>
      <c r="H15">
        <v>4600</v>
      </c>
    </row>
    <row r="17" spans="1:14" s="123" customFormat="1" ht="18.5" x14ac:dyDescent="0.45">
      <c r="A17" s="122" t="s">
        <v>412</v>
      </c>
    </row>
    <row r="18" spans="1:14" x14ac:dyDescent="0.35">
      <c r="A18" t="s">
        <v>383</v>
      </c>
      <c r="B18" t="s">
        <v>384</v>
      </c>
      <c r="C18" t="s">
        <v>413</v>
      </c>
      <c r="D18" t="s">
        <v>154</v>
      </c>
      <c r="E18" t="s">
        <v>414</v>
      </c>
      <c r="F18" t="s">
        <v>415</v>
      </c>
      <c r="G18" t="s">
        <v>416</v>
      </c>
      <c r="H18" t="s">
        <v>417</v>
      </c>
      <c r="I18" t="s">
        <v>418</v>
      </c>
      <c r="J18" t="s">
        <v>419</v>
      </c>
      <c r="K18" t="s">
        <v>420</v>
      </c>
      <c r="L18" t="s">
        <v>389</v>
      </c>
      <c r="M18" t="s">
        <v>421</v>
      </c>
      <c r="N18" t="s">
        <v>422</v>
      </c>
    </row>
    <row r="19" spans="1:14" x14ac:dyDescent="0.35">
      <c r="A19" t="s">
        <v>394</v>
      </c>
      <c r="B19" t="s">
        <v>423</v>
      </c>
      <c r="C19">
        <v>68</v>
      </c>
      <c r="D19" t="s">
        <v>396</v>
      </c>
      <c r="F19">
        <v>40</v>
      </c>
      <c r="G19">
        <v>0.59</v>
      </c>
      <c r="H19">
        <v>0.76</v>
      </c>
      <c r="I19">
        <v>0</v>
      </c>
      <c r="K19" t="s">
        <v>398</v>
      </c>
      <c r="L19" t="s">
        <v>398</v>
      </c>
      <c r="M19">
        <v>13</v>
      </c>
    </row>
    <row r="20" spans="1:14" x14ac:dyDescent="0.35">
      <c r="A20" t="s">
        <v>402</v>
      </c>
      <c r="B20" t="s">
        <v>424</v>
      </c>
      <c r="C20">
        <v>67</v>
      </c>
      <c r="D20" t="s">
        <v>425</v>
      </c>
      <c r="E20">
        <v>4</v>
      </c>
      <c r="G20">
        <v>2</v>
      </c>
      <c r="H20">
        <v>1</v>
      </c>
      <c r="I20">
        <v>0</v>
      </c>
      <c r="J20" t="s">
        <v>398</v>
      </c>
      <c r="K20" t="s">
        <v>397</v>
      </c>
      <c r="L20" t="s">
        <v>397</v>
      </c>
      <c r="M20">
        <v>12</v>
      </c>
      <c r="N20">
        <v>2000</v>
      </c>
    </row>
    <row r="21" spans="1:14" x14ac:dyDescent="0.35">
      <c r="A21" t="s">
        <v>402</v>
      </c>
      <c r="B21" t="s">
        <v>426</v>
      </c>
      <c r="C21">
        <v>84</v>
      </c>
      <c r="D21" t="s">
        <v>425</v>
      </c>
      <c r="E21">
        <v>4.5</v>
      </c>
      <c r="G21">
        <v>2.35</v>
      </c>
      <c r="H21">
        <v>0.98</v>
      </c>
      <c r="I21">
        <v>0</v>
      </c>
      <c r="J21" t="s">
        <v>397</v>
      </c>
      <c r="K21" t="s">
        <v>397</v>
      </c>
      <c r="L21" t="s">
        <v>397</v>
      </c>
      <c r="M21">
        <v>12</v>
      </c>
      <c r="N21">
        <v>2200</v>
      </c>
    </row>
    <row r="23" spans="1:14" s="123" customFormat="1" ht="18.5" x14ac:dyDescent="0.45">
      <c r="A23" s="122" t="s">
        <v>427</v>
      </c>
    </row>
    <row r="24" spans="1:14" x14ac:dyDescent="0.35">
      <c r="A24" t="s">
        <v>383</v>
      </c>
      <c r="B24" t="s">
        <v>384</v>
      </c>
      <c r="C24" t="s">
        <v>413</v>
      </c>
      <c r="D24" t="s">
        <v>154</v>
      </c>
      <c r="E24" t="s">
        <v>415</v>
      </c>
      <c r="F24" t="s">
        <v>416</v>
      </c>
      <c r="G24" t="s">
        <v>417</v>
      </c>
      <c r="H24" t="s">
        <v>418</v>
      </c>
      <c r="I24" t="s">
        <v>419</v>
      </c>
      <c r="J24" t="s">
        <v>420</v>
      </c>
      <c r="K24" t="s">
        <v>389</v>
      </c>
      <c r="L24" t="s">
        <v>421</v>
      </c>
      <c r="M24" t="s">
        <v>392</v>
      </c>
    </row>
    <row r="25" spans="1:14" s="10" customFormat="1" x14ac:dyDescent="0.35">
      <c r="A25" s="10" t="s">
        <v>394</v>
      </c>
      <c r="B25" s="10" t="s">
        <v>423</v>
      </c>
      <c r="C25" s="10">
        <v>68</v>
      </c>
      <c r="D25" s="10" t="s">
        <v>396</v>
      </c>
      <c r="E25" s="10">
        <v>40</v>
      </c>
      <c r="F25" s="10">
        <v>0.59</v>
      </c>
      <c r="G25" s="10">
        <v>0.76</v>
      </c>
      <c r="H25" s="10">
        <v>0</v>
      </c>
      <c r="J25" s="10" t="s">
        <v>398</v>
      </c>
      <c r="K25" s="10" t="s">
        <v>398</v>
      </c>
      <c r="L25" s="10">
        <v>13</v>
      </c>
    </row>
    <row r="26" spans="1:14" x14ac:dyDescent="0.35">
      <c r="A26" t="s">
        <v>402</v>
      </c>
      <c r="B26" t="s">
        <v>423</v>
      </c>
      <c r="C26">
        <v>68</v>
      </c>
      <c r="D26" t="s">
        <v>396</v>
      </c>
      <c r="E26">
        <v>40</v>
      </c>
      <c r="F26">
        <v>0.59</v>
      </c>
      <c r="G26">
        <v>0.76</v>
      </c>
      <c r="H26">
        <v>0</v>
      </c>
      <c r="J26" t="s">
        <v>398</v>
      </c>
      <c r="K26" t="s">
        <v>398</v>
      </c>
      <c r="L26">
        <v>13</v>
      </c>
      <c r="M26">
        <v>730</v>
      </c>
    </row>
    <row r="28" spans="1:14" x14ac:dyDescent="0.35">
      <c r="A28" t="s">
        <v>383</v>
      </c>
      <c r="B28" t="s">
        <v>384</v>
      </c>
      <c r="C28" t="s">
        <v>154</v>
      </c>
      <c r="D28" t="s">
        <v>385</v>
      </c>
      <c r="E28" t="s">
        <v>386</v>
      </c>
      <c r="F28" t="s">
        <v>387</v>
      </c>
      <c r="G28" t="s">
        <v>388</v>
      </c>
      <c r="H28" t="s">
        <v>389</v>
      </c>
      <c r="I28" t="s">
        <v>390</v>
      </c>
      <c r="J28" t="s">
        <v>392</v>
      </c>
    </row>
    <row r="29" spans="1:14" s="10" customFormat="1" x14ac:dyDescent="0.35">
      <c r="A29" s="10" t="s">
        <v>394</v>
      </c>
      <c r="B29" s="10" t="s">
        <v>395</v>
      </c>
      <c r="C29" s="10" t="s">
        <v>396</v>
      </c>
      <c r="D29" s="10">
        <v>120</v>
      </c>
      <c r="E29" s="10">
        <v>0.8</v>
      </c>
      <c r="G29" s="10" t="s">
        <v>397</v>
      </c>
      <c r="H29" s="10" t="s">
        <v>398</v>
      </c>
      <c r="I29" s="10">
        <v>20</v>
      </c>
    </row>
    <row r="30" spans="1:14" x14ac:dyDescent="0.35">
      <c r="A30" t="s">
        <v>402</v>
      </c>
      <c r="B30" t="s">
        <v>395</v>
      </c>
      <c r="C30" t="s">
        <v>396</v>
      </c>
      <c r="D30">
        <v>120</v>
      </c>
      <c r="E30">
        <v>0.8</v>
      </c>
      <c r="G30" t="s">
        <v>397</v>
      </c>
      <c r="H30" t="s">
        <v>398</v>
      </c>
      <c r="I30">
        <v>20</v>
      </c>
      <c r="J30">
        <v>1900</v>
      </c>
    </row>
    <row r="31" spans="1:14" x14ac:dyDescent="0.35">
      <c r="A31" t="s">
        <v>402</v>
      </c>
      <c r="B31" t="s">
        <v>428</v>
      </c>
      <c r="C31" t="s">
        <v>396</v>
      </c>
      <c r="D31">
        <v>120</v>
      </c>
      <c r="E31">
        <v>0.98</v>
      </c>
      <c r="F31" t="s">
        <v>397</v>
      </c>
      <c r="G31" t="s">
        <v>397</v>
      </c>
      <c r="H31" t="s">
        <v>397</v>
      </c>
      <c r="I31">
        <v>20</v>
      </c>
      <c r="J31">
        <v>2800</v>
      </c>
    </row>
    <row r="32" spans="1:14" x14ac:dyDescent="0.35">
      <c r="A32" t="s">
        <v>402</v>
      </c>
      <c r="B32" t="s">
        <v>429</v>
      </c>
      <c r="C32" t="s">
        <v>396</v>
      </c>
      <c r="D32">
        <v>120</v>
      </c>
      <c r="E32">
        <v>0.92500000000000004</v>
      </c>
      <c r="F32" t="s">
        <v>397</v>
      </c>
      <c r="G32" t="s">
        <v>397</v>
      </c>
      <c r="H32" t="s">
        <v>397</v>
      </c>
      <c r="I32">
        <v>20</v>
      </c>
      <c r="J32">
        <v>2300</v>
      </c>
    </row>
    <row r="33" spans="1:10" x14ac:dyDescent="0.35">
      <c r="A33" t="s">
        <v>402</v>
      </c>
      <c r="B33" t="s">
        <v>430</v>
      </c>
      <c r="C33" t="s">
        <v>396</v>
      </c>
      <c r="D33">
        <v>120</v>
      </c>
      <c r="E33">
        <v>0.9</v>
      </c>
      <c r="F33" t="s">
        <v>398</v>
      </c>
      <c r="G33" t="s">
        <v>397</v>
      </c>
      <c r="H33" t="s">
        <v>397</v>
      </c>
      <c r="I33">
        <v>20</v>
      </c>
      <c r="J33">
        <v>2100</v>
      </c>
    </row>
  </sheetData>
  <hyperlinks>
    <hyperlink ref="A1" r:id="rId1" xr:uid="{D70A9B41-20EF-42FB-8C32-1323919B51E8}"/>
  </hyperlink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Measure 1</vt:lpstr>
      <vt:lpstr>Measure 2</vt:lpstr>
      <vt:lpstr>Conversions and Lookups</vt:lpstr>
      <vt:lpstr>NREL Efficiency Measures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Wissell, Fiona</dc:creator>
  <cp:keywords/>
  <dc:description/>
  <cp:lastModifiedBy>Wissell, Fiona</cp:lastModifiedBy>
  <cp:revision/>
  <dcterms:created xsi:type="dcterms:W3CDTF">2024-03-27T02:35:58Z</dcterms:created>
  <dcterms:modified xsi:type="dcterms:W3CDTF">2024-03-29T14:41:34Z</dcterms:modified>
  <cp:category/>
  <cp:contentStatus/>
</cp:coreProperties>
</file>