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 codeName="ThisWorkbook" defaultThemeVersion="166925"/>
  <xr:revisionPtr revIDLastSave="0" documentId="8_{5C9B6BAB-5474-489E-B412-7D26EF4C73FC}" xr6:coauthVersionLast="47" xr6:coauthVersionMax="47" xr10:uidLastSave="{00000000-0000-0000-0000-000000000000}"/>
  <bookViews>
    <workbookView xWindow="57480" yWindow="-120" windowWidth="29040" windowHeight="15720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30" l="1"/>
  <c r="E17" i="16"/>
  <c r="D16" i="16"/>
  <c r="J25" i="27" l="1"/>
  <c r="E25" i="27"/>
  <c r="F25" i="27"/>
  <c r="G25" i="27"/>
  <c r="H25" i="27"/>
  <c r="D25" i="27"/>
  <c r="J34" i="16" l="1"/>
  <c r="D49" i="27"/>
  <c r="H49" i="27"/>
  <c r="J48" i="27"/>
  <c r="E46" i="16"/>
  <c r="F46" i="16"/>
  <c r="D46" i="16"/>
  <c r="F47" i="16" l="1"/>
  <c r="E47" i="16"/>
  <c r="D47" i="16"/>
  <c r="J35" i="16" l="1"/>
  <c r="J36" i="16"/>
  <c r="D52" i="16"/>
  <c r="D51" i="16"/>
  <c r="E20" i="27" l="1"/>
  <c r="F20" i="27"/>
  <c r="G20" i="27"/>
  <c r="H20" i="27"/>
  <c r="D20" i="27"/>
  <c r="E26" i="16"/>
  <c r="F26" i="16"/>
  <c r="G26" i="16"/>
  <c r="H26" i="16"/>
  <c r="D26" i="16"/>
  <c r="E63" i="16" l="1"/>
  <c r="E18" i="16"/>
  <c r="E64" i="16" s="1"/>
  <c r="E19" i="16"/>
  <c r="E55" i="16" s="1"/>
  <c r="D17" i="16"/>
  <c r="D53" i="16" s="1"/>
  <c r="D18" i="16"/>
  <c r="D54" i="16" s="1"/>
  <c r="D19" i="16"/>
  <c r="D65" i="16" s="1"/>
  <c r="E16" i="16"/>
  <c r="E52" i="16" s="1"/>
  <c r="F10" i="16"/>
  <c r="G10" i="16" s="1"/>
  <c r="F11" i="16"/>
  <c r="F18" i="16" s="1"/>
  <c r="F12" i="16"/>
  <c r="F19" i="16" s="1"/>
  <c r="F9" i="16"/>
  <c r="F16" i="16" s="1"/>
  <c r="E23" i="16"/>
  <c r="F23" i="16"/>
  <c r="G23" i="16"/>
  <c r="H23" i="16"/>
  <c r="D23" i="16"/>
  <c r="E22" i="16"/>
  <c r="F22" i="16"/>
  <c r="G22" i="16"/>
  <c r="H22" i="16"/>
  <c r="D22" i="16"/>
  <c r="D64" i="16" l="1"/>
  <c r="D55" i="16"/>
  <c r="D57" i="16" s="1"/>
  <c r="E54" i="16"/>
  <c r="F65" i="16"/>
  <c r="F64" i="16"/>
  <c r="F62" i="16"/>
  <c r="G9" i="16"/>
  <c r="G16" i="16" s="1"/>
  <c r="G52" i="16" s="1"/>
  <c r="D62" i="16"/>
  <c r="E65" i="16"/>
  <c r="F52" i="16"/>
  <c r="E53" i="16"/>
  <c r="G12" i="16"/>
  <c r="G11" i="16"/>
  <c r="D63" i="16"/>
  <c r="E62" i="16"/>
  <c r="G17" i="16"/>
  <c r="G63" i="16" s="1"/>
  <c r="H10" i="16"/>
  <c r="F55" i="16"/>
  <c r="F54" i="16"/>
  <c r="F17" i="16"/>
  <c r="F63" i="16" s="1"/>
  <c r="F53" i="16"/>
  <c r="H11" i="16" l="1"/>
  <c r="G18" i="16"/>
  <c r="G54" i="16" s="1"/>
  <c r="H12" i="16"/>
  <c r="G19" i="16"/>
  <c r="G65" i="16" s="1"/>
  <c r="H9" i="16"/>
  <c r="G62" i="16"/>
  <c r="G53" i="16"/>
  <c r="H17" i="16"/>
  <c r="H53" i="16" s="1"/>
  <c r="G64" i="16" l="1"/>
  <c r="H16" i="16"/>
  <c r="H52" i="16" s="1"/>
  <c r="H19" i="16"/>
  <c r="H65" i="16" s="1"/>
  <c r="G55" i="16"/>
  <c r="H18" i="16"/>
  <c r="H54" i="16" s="1"/>
  <c r="H63" i="16"/>
  <c r="E48" i="16"/>
  <c r="H48" i="16" s="1"/>
  <c r="D48" i="16"/>
  <c r="J50" i="16"/>
  <c r="J49" i="16"/>
  <c r="H55" i="16" l="1"/>
  <c r="H64" i="16"/>
  <c r="J47" i="16"/>
  <c r="H62" i="16"/>
  <c r="F48" i="16"/>
  <c r="G48" i="16"/>
  <c r="J48" i="16"/>
  <c r="J46" i="16" l="1"/>
  <c r="E24" i="16"/>
  <c r="F24" i="16"/>
  <c r="G24" i="16"/>
  <c r="H24" i="16"/>
  <c r="D24" i="16"/>
  <c r="E51" i="16" l="1"/>
  <c r="E57" i="16" s="1"/>
  <c r="F51" i="16"/>
  <c r="F57" i="16" s="1"/>
  <c r="G51" i="16"/>
  <c r="G57" i="16" s="1"/>
  <c r="H51" i="16"/>
  <c r="H57" i="16" s="1"/>
  <c r="E25" i="16"/>
  <c r="F25" i="16"/>
  <c r="G25" i="16"/>
  <c r="H25" i="16"/>
  <c r="D25" i="16"/>
  <c r="E16" i="27" l="1"/>
  <c r="F16" i="27"/>
  <c r="G16" i="27"/>
  <c r="H16" i="27"/>
  <c r="D16" i="27"/>
  <c r="E19" i="27"/>
  <c r="F19" i="27"/>
  <c r="G19" i="27"/>
  <c r="H19" i="27"/>
  <c r="E18" i="27"/>
  <c r="F18" i="27"/>
  <c r="G18" i="27"/>
  <c r="H18" i="27"/>
  <c r="D19" i="27"/>
  <c r="D18" i="27"/>
  <c r="E17" i="27"/>
  <c r="F17" i="27"/>
  <c r="G17" i="27"/>
  <c r="H17" i="27"/>
  <c r="D17" i="27"/>
  <c r="E52" i="27" l="1"/>
  <c r="F52" i="27"/>
  <c r="G52" i="27"/>
  <c r="H52" i="27"/>
  <c r="D52" i="27"/>
  <c r="E61" i="16"/>
  <c r="F61" i="16"/>
  <c r="G61" i="16"/>
  <c r="H61" i="16"/>
  <c r="D61" i="16"/>
  <c r="E46" i="27"/>
  <c r="F46" i="27"/>
  <c r="G46" i="27"/>
  <c r="H46" i="27"/>
  <c r="D46" i="27"/>
  <c r="J17" i="16"/>
  <c r="J18" i="16"/>
  <c r="J9" i="16"/>
  <c r="J10" i="16"/>
  <c r="J11" i="16"/>
  <c r="D13" i="16"/>
  <c r="H14" i="27"/>
  <c r="J8" i="27"/>
  <c r="G14" i="27"/>
  <c r="J9" i="27"/>
  <c r="E10" i="27"/>
  <c r="D10" i="27"/>
  <c r="F14" i="27"/>
  <c r="E14" i="27"/>
  <c r="D14" i="27"/>
  <c r="D7" i="30" l="1"/>
  <c r="J64" i="16"/>
  <c r="J63" i="16"/>
  <c r="J62" i="16"/>
  <c r="J65" i="16"/>
  <c r="J53" i="16"/>
  <c r="J52" i="16"/>
  <c r="J55" i="16"/>
  <c r="J54" i="16"/>
  <c r="J51" i="16"/>
  <c r="J57" i="16" l="1"/>
  <c r="J35" i="27"/>
  <c r="J36" i="27"/>
  <c r="J37" i="27"/>
  <c r="J38" i="27"/>
  <c r="J16" i="27"/>
  <c r="J17" i="27"/>
  <c r="J12" i="16"/>
  <c r="J22" i="16"/>
  <c r="J8" i="16"/>
  <c r="E20" i="16"/>
  <c r="E8" i="30" s="1"/>
  <c r="F20" i="16"/>
  <c r="F8" i="30" s="1"/>
  <c r="I56" i="27"/>
  <c r="H54" i="27"/>
  <c r="G54" i="27"/>
  <c r="F54" i="27"/>
  <c r="E54" i="27"/>
  <c r="J52" i="27"/>
  <c r="H48" i="27"/>
  <c r="G48" i="27"/>
  <c r="F48" i="27"/>
  <c r="E48" i="27"/>
  <c r="D48" i="27"/>
  <c r="J47" i="27"/>
  <c r="J45" i="27"/>
  <c r="J44" i="27"/>
  <c r="J43" i="27"/>
  <c r="J42" i="27"/>
  <c r="H40" i="27"/>
  <c r="G40" i="27"/>
  <c r="F40" i="27"/>
  <c r="E40" i="27"/>
  <c r="D40" i="27"/>
  <c r="J53" i="27" s="1"/>
  <c r="J39" i="27"/>
  <c r="H33" i="27"/>
  <c r="G33" i="27"/>
  <c r="F33" i="27"/>
  <c r="E33" i="27"/>
  <c r="D33" i="27"/>
  <c r="J32" i="27"/>
  <c r="J46" i="27"/>
  <c r="H29" i="27"/>
  <c r="G29" i="27"/>
  <c r="F29" i="27"/>
  <c r="E29" i="27"/>
  <c r="D29" i="27"/>
  <c r="J28" i="27"/>
  <c r="J27" i="27"/>
  <c r="J29" i="27" s="1"/>
  <c r="J24" i="27"/>
  <c r="J23" i="27"/>
  <c r="J22" i="27"/>
  <c r="J21" i="27"/>
  <c r="J20" i="27"/>
  <c r="J19" i="27"/>
  <c r="J18" i="27"/>
  <c r="I14" i="27"/>
  <c r="J13" i="27"/>
  <c r="I10" i="27"/>
  <c r="H10" i="27"/>
  <c r="G10" i="27"/>
  <c r="F10" i="27"/>
  <c r="J10" i="27"/>
  <c r="J61" i="16"/>
  <c r="E43" i="16"/>
  <c r="F43" i="16"/>
  <c r="G43" i="16"/>
  <c r="H43" i="16"/>
  <c r="D43" i="16"/>
  <c r="J42" i="16"/>
  <c r="E37" i="16"/>
  <c r="F37" i="16"/>
  <c r="G37" i="16"/>
  <c r="H37" i="16"/>
  <c r="D37" i="16"/>
  <c r="D11" i="30" s="1"/>
  <c r="J39" i="16"/>
  <c r="J40" i="16"/>
  <c r="J41" i="16"/>
  <c r="J45" i="16"/>
  <c r="E34" i="16"/>
  <c r="E10" i="30" s="1"/>
  <c r="F34" i="16"/>
  <c r="F10" i="30" s="1"/>
  <c r="G34" i="16"/>
  <c r="G10" i="30" s="1"/>
  <c r="H34" i="16"/>
  <c r="H10" i="30" s="1"/>
  <c r="D34" i="16"/>
  <c r="D10" i="30" s="1"/>
  <c r="J33" i="16"/>
  <c r="J32" i="16"/>
  <c r="E30" i="16"/>
  <c r="E9" i="30" s="1"/>
  <c r="F30" i="16"/>
  <c r="G30" i="16"/>
  <c r="G9" i="30" s="1"/>
  <c r="H30" i="16"/>
  <c r="D30" i="16"/>
  <c r="J24" i="16"/>
  <c r="J25" i="16"/>
  <c r="J26" i="16"/>
  <c r="J27" i="16"/>
  <c r="J28" i="16"/>
  <c r="J29" i="16"/>
  <c r="J23" i="16"/>
  <c r="E13" i="16"/>
  <c r="F13" i="16"/>
  <c r="G13" i="16"/>
  <c r="H13" i="16"/>
  <c r="G20" i="16"/>
  <c r="G8" i="30" s="1"/>
  <c r="H20" i="16"/>
  <c r="H8" i="30" s="1"/>
  <c r="D20" i="16"/>
  <c r="D8" i="30" s="1"/>
  <c r="J16" i="16"/>
  <c r="J19" i="16"/>
  <c r="H11" i="30" l="1"/>
  <c r="G11" i="30"/>
  <c r="F11" i="30"/>
  <c r="E11" i="30"/>
  <c r="F9" i="30"/>
  <c r="D9" i="30"/>
  <c r="H12" i="30"/>
  <c r="G12" i="30"/>
  <c r="F12" i="30"/>
  <c r="E12" i="30"/>
  <c r="D12" i="30"/>
  <c r="D54" i="27"/>
  <c r="J54" i="27" s="1"/>
  <c r="H7" i="30"/>
  <c r="H67" i="16"/>
  <c r="H16" i="30" s="1"/>
  <c r="G7" i="30"/>
  <c r="G67" i="16"/>
  <c r="G16" i="30" s="1"/>
  <c r="F7" i="30"/>
  <c r="E7" i="30"/>
  <c r="H9" i="30"/>
  <c r="F13" i="30"/>
  <c r="H13" i="30"/>
  <c r="G13" i="30"/>
  <c r="E13" i="30"/>
  <c r="D13" i="30"/>
  <c r="J37" i="16"/>
  <c r="J33" i="27"/>
  <c r="J30" i="16"/>
  <c r="J43" i="16"/>
  <c r="J40" i="27"/>
  <c r="D58" i="16"/>
  <c r="H56" i="27"/>
  <c r="J12" i="27"/>
  <c r="J14" i="27" s="1"/>
  <c r="G49" i="27"/>
  <c r="G56" i="27" s="1"/>
  <c r="E49" i="27"/>
  <c r="F49" i="27"/>
  <c r="F56" i="27" s="1"/>
  <c r="H58" i="16"/>
  <c r="J13" i="16"/>
  <c r="J15" i="16"/>
  <c r="E58" i="16"/>
  <c r="G58" i="16"/>
  <c r="F58" i="16"/>
  <c r="E56" i="27" l="1"/>
  <c r="J49" i="27"/>
  <c r="J56" i="27" s="1"/>
  <c r="J13" i="30"/>
  <c r="J20" i="16"/>
  <c r="F67" i="16"/>
  <c r="F16" i="30" s="1"/>
  <c r="J66" i="16"/>
  <c r="G69" i="16"/>
  <c r="E67" i="16"/>
  <c r="E16" i="30" s="1"/>
  <c r="D56" i="27"/>
  <c r="D67" i="16"/>
  <c r="D16" i="30" s="1"/>
  <c r="H69" i="16"/>
  <c r="J10" i="30"/>
  <c r="E14" i="30"/>
  <c r="J11" i="30"/>
  <c r="J12" i="30"/>
  <c r="J9" i="30"/>
  <c r="D24" i="30"/>
  <c r="J58" i="16"/>
  <c r="F69" i="16" l="1"/>
  <c r="J67" i="16"/>
  <c r="J69" i="16" s="1"/>
  <c r="D23" i="30" s="1"/>
  <c r="E69" i="16"/>
  <c r="E18" i="30"/>
  <c r="D69" i="16"/>
  <c r="D14" i="30"/>
  <c r="F14" i="30" l="1"/>
  <c r="F18" i="30" s="1"/>
  <c r="D18" i="30"/>
  <c r="J8" i="30"/>
  <c r="H14" i="30"/>
  <c r="H18" i="30" s="1"/>
  <c r="G14" i="30" l="1"/>
  <c r="J7" i="30"/>
  <c r="D25" i="30" l="1"/>
  <c r="G18" i="30"/>
  <c r="J14" i="30"/>
  <c r="J18" i="30" s="1"/>
  <c r="E24" i="30" l="1"/>
  <c r="E23" i="30"/>
  <c r="E25" i="30" l="1"/>
</calcChain>
</file>

<file path=xl/sharedStrings.xml><?xml version="1.0" encoding="utf-8"?>
<sst xmlns="http://schemas.openxmlformats.org/spreadsheetml/2006/main" count="184" uniqueCount="75">
  <si>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</si>
  <si>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</si>
  <si>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</si>
  <si>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</si>
  <si>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</si>
  <si>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</si>
  <si>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</si>
  <si>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</si>
  <si>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</si>
  <si>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</si>
  <si>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</si>
  <si>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</si>
  <si>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</si>
  <si>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</si>
  <si>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</si>
  <si>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</si>
  <si>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</si>
  <si>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</si>
  <si>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</si>
  <si>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</si>
  <si>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</si>
  <si>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</si>
  <si>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</si>
  <si>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</si>
  <si>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</si>
  <si>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</si>
  <si>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</si>
  <si>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</si>
  <si>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</si>
  <si>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</si>
  <si>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</si>
  <si>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</si>
  <si>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</si>
  <si>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</si>
  <si>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</si>
  <si>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</si>
  <si>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</si>
  <si>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</si>
  <si>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</si>
  <si>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</si>
  <si>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 xml:space="preserve">This Excel Workbook is provided to aid applicants in developing the required budget table(s) within the budget narrative.  </t>
  </si>
  <si>
    <t xml:space="preserve">Brownfield Renewable Energy Pilot Program </t>
  </si>
  <si>
    <t xml:space="preserve">Renewables Ready Communities Awards </t>
  </si>
  <si>
    <t>Renewables Ready Communities Awards - financial incentive, $5k/MW</t>
  </si>
  <si>
    <t>Subward to University of Michigan for technical assistance material development, trainings for EGLE's Renewable Energy Academy</t>
  </si>
  <si>
    <t>LIDAC Additional Incentive</t>
  </si>
  <si>
    <t>Brownfield Renewable Energy Pilot Program Grant Awards</t>
  </si>
  <si>
    <t xml:space="preserve">Indirect** </t>
  </si>
  <si>
    <t>Program Manager - Renewables Ready Communities Program (SAM 15)</t>
  </si>
  <si>
    <t>Renewables Ready Communities Program Manager (SAM 15)</t>
  </si>
  <si>
    <t>DTMB cost rate</t>
  </si>
  <si>
    <t>Program Manager Outreach travel lodging - 1 hotel stay per month</t>
  </si>
  <si>
    <t>Employee training at $1,000 per year per employee</t>
  </si>
  <si>
    <t>Employee training at $1,000 per year</t>
  </si>
  <si>
    <t>Language translation or interpretation services</t>
  </si>
  <si>
    <t>Conference attendance for employee $1,000 per year</t>
  </si>
  <si>
    <t>Conference attendance for 6 employees once per year ($1,000/employee)</t>
  </si>
  <si>
    <t>Conference attendance -- 1 flight annually</t>
  </si>
  <si>
    <t>Conference attendance lodging -- 1 hotel stay of 2 nights, annually</t>
  </si>
  <si>
    <t>Program Manager Outreach Travel -- 400 miles per month, $.44 per mile</t>
  </si>
  <si>
    <t>RRC Energy Expert (Departmental Analyst 12)</t>
  </si>
  <si>
    <t>Workforce Development Program Support</t>
  </si>
  <si>
    <t>Outreach travel lodging - 5 night hotel stay per year for 5 staff</t>
  </si>
  <si>
    <t>Outreach travel for meetings - 200 miles/month, $.44 per mile, x4 staff</t>
  </si>
  <si>
    <t>Conference attendance - 5 flights</t>
  </si>
  <si>
    <t>Conference attendance lodging - 1 hotel stay of 2 nights, 5 staff annually</t>
  </si>
  <si>
    <t>Per Diem - full per diem, 13 days/year, 5 staff annually for conference and outreach travel</t>
  </si>
  <si>
    <t>Per Diem -- full per diem, 3 days annually for conference; 2 full per diem/month for outreach</t>
  </si>
  <si>
    <t>Brownfield Renewable Energy Pilot Program Manager (Environmental Quality Specialist 15)</t>
  </si>
  <si>
    <t>Laptops, cell phones, VPNs, and other supplies calculated at 5% of total wages and fringe for Brownfield Renewable Energy Pilot Program Manager</t>
  </si>
  <si>
    <t>Laptops, cell phones, VPNs, and other supplies (calculated at 5% of total wages and fringe for Renewables Ready Communities Program Manager)</t>
  </si>
  <si>
    <t>Laptops, cell phones, VPNs, and other supplies (calculated at 5% of total wages and fringe for RRC Energy Expert )</t>
  </si>
  <si>
    <t>Regional Stakeholder Engagement and Technical Assistance Support</t>
  </si>
  <si>
    <t xml:space="preserve">Renewables Ready Communities Strategic Plan: Utility-Scale Renewable Energy, Energy Storage </t>
  </si>
  <si>
    <t>Renewables Ready Communities Strategic Plan: Brownfield Pilot Program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</si>
</sst>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9"/>
      <color theme="1"/>
      <name val="Segoe UI"/>
      <family val="2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1" xfId="0" applyFont="1" applyBorder="1"/>
    <xf numFmtId="0" fontId="6" fillId="4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/>
    <xf numFmtId="0" fontId="9" fillId="0" borderId="11" xfId="0" applyFont="1" applyBorder="1" applyAlignment="1">
      <alignment wrapText="1"/>
    </xf>
    <xf numFmtId="0" fontId="10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1" xfId="0" applyFont="1" applyBorder="1" applyAlignment="1">
      <alignment vertical="top"/>
    </xf>
    <xf numFmtId="0" fontId="12" fillId="0" borderId="0" xfId="0" applyFont="1"/>
    <xf numFmtId="0" fontId="7" fillId="0" borderId="16" xfId="0" applyFont="1" applyBorder="1" applyAlignment="1">
      <alignment vertical="top" wrapText="1"/>
    </xf>
    <xf numFmtId="0" fontId="0" fillId="0" borderId="17" xfId="0" applyBorder="1"/>
    <xf numFmtId="0" fontId="5" fillId="0" borderId="18" xfId="0" applyFont="1" applyBorder="1" applyAlignment="1">
      <alignment vertical="top" wrapText="1"/>
    </xf>
    <xf numFmtId="6" fontId="0" fillId="0" borderId="0" xfId="0" applyNumberFormat="1"/>
    <xf numFmtId="0" fontId="11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9" fillId="6" borderId="13" xfId="0" applyFont="1" applyFill="1" applyBorder="1" applyAlignment="1">
      <alignment wrapText="1"/>
    </xf>
    <xf numFmtId="0" fontId="9" fillId="6" borderId="14" xfId="0" applyFont="1" applyFill="1" applyBorder="1" applyAlignment="1">
      <alignment wrapText="1"/>
    </xf>
    <xf numFmtId="0" fontId="9" fillId="6" borderId="15" xfId="0" applyFont="1" applyFill="1" applyBorder="1" applyAlignment="1">
      <alignment wrapText="1"/>
    </xf>
    <xf numFmtId="0" fontId="9" fillId="6" borderId="7" xfId="0" applyFont="1" applyFill="1" applyBorder="1" applyAlignment="1">
      <alignment wrapText="1"/>
    </xf>
    <xf numFmtId="0" fontId="9" fillId="6" borderId="3" xfId="0" applyFont="1" applyFill="1" applyBorder="1"/>
    <xf numFmtId="0" fontId="11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9" fillId="3" borderId="14" xfId="0" applyFont="1" applyFill="1" applyBorder="1" applyAlignment="1">
      <alignment wrapText="1"/>
    </xf>
    <xf numFmtId="0" fontId="9" fillId="3" borderId="15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0" fontId="6" fillId="7" borderId="1" xfId="0" applyFont="1" applyFill="1" applyBorder="1" applyAlignment="1">
      <alignment wrapText="1"/>
    </xf>
    <xf numFmtId="6" fontId="8" fillId="7" borderId="1" xfId="0" applyNumberFormat="1" applyFont="1" applyFill="1" applyBorder="1" applyAlignment="1">
      <alignment wrapText="1"/>
    </xf>
    <xf numFmtId="6" fontId="9" fillId="0" borderId="19" xfId="0" applyNumberFormat="1" applyFont="1" applyBorder="1" applyAlignment="1">
      <alignment wrapText="1"/>
    </xf>
    <xf numFmtId="0" fontId="9" fillId="0" borderId="0" xfId="0" applyFont="1"/>
    <xf numFmtId="0" fontId="9" fillId="3" borderId="20" xfId="0" applyFont="1" applyFill="1" applyBorder="1" applyAlignment="1">
      <alignment wrapText="1"/>
    </xf>
    <xf numFmtId="6" fontId="6" fillId="4" borderId="1" xfId="0" applyNumberFormat="1" applyFont="1" applyFill="1" applyBorder="1" applyAlignment="1">
      <alignment wrapText="1"/>
    </xf>
    <xf numFmtId="6" fontId="8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9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9" fillId="3" borderId="1" xfId="0" applyFont="1" applyFill="1" applyBorder="1"/>
    <xf numFmtId="6" fontId="9" fillId="0" borderId="1" xfId="0" applyNumberFormat="1" applyFont="1" applyBorder="1" applyAlignment="1">
      <alignment wrapText="1"/>
    </xf>
    <xf numFmtId="6" fontId="13" fillId="7" borderId="1" xfId="0" applyNumberFormat="1" applyFont="1" applyFill="1" applyBorder="1" applyAlignment="1">
      <alignment wrapText="1"/>
    </xf>
    <xf numFmtId="6" fontId="14" fillId="7" borderId="1" xfId="0" applyNumberFormat="1" applyFont="1" applyFill="1" applyBorder="1" applyAlignment="1">
      <alignment horizontal="left" vertical="top" wrapText="1"/>
    </xf>
    <xf numFmtId="6" fontId="14" fillId="7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left" wrapText="1" indent="2"/>
    </xf>
    <xf numFmtId="0" fontId="15" fillId="6" borderId="13" xfId="0" applyFont="1" applyFill="1" applyBorder="1" applyAlignment="1">
      <alignment wrapText="1"/>
    </xf>
    <xf numFmtId="0" fontId="15" fillId="6" borderId="14" xfId="0" applyFont="1" applyFill="1" applyBorder="1" applyAlignment="1">
      <alignment wrapText="1"/>
    </xf>
    <xf numFmtId="0" fontId="15" fillId="6" borderId="15" xfId="0" applyFont="1" applyFill="1" applyBorder="1" applyAlignment="1">
      <alignment wrapText="1"/>
    </xf>
    <xf numFmtId="0" fontId="15" fillId="6" borderId="7" xfId="0" applyFont="1" applyFill="1" applyBorder="1" applyAlignment="1">
      <alignment wrapText="1"/>
    </xf>
    <xf numFmtId="0" fontId="15" fillId="6" borderId="3" xfId="0" applyFont="1" applyFill="1" applyBorder="1"/>
    <xf numFmtId="0" fontId="15" fillId="0" borderId="2" xfId="0" applyFont="1" applyBorder="1" applyAlignment="1">
      <alignment vertical="top" wrapText="1"/>
    </xf>
    <xf numFmtId="0" fontId="15" fillId="0" borderId="1" xfId="0" applyFont="1" applyBorder="1" applyAlignment="1">
      <alignment vertical="top"/>
    </xf>
    <xf numFmtId="0" fontId="14" fillId="0" borderId="1" xfId="0" applyFont="1" applyBorder="1" applyAlignment="1">
      <alignment wrapText="1"/>
    </xf>
    <xf numFmtId="0" fontId="14" fillId="0" borderId="0" xfId="0" applyFont="1"/>
    <xf numFmtId="0" fontId="14" fillId="0" borderId="1" xfId="0" applyFont="1" applyBorder="1"/>
    <xf numFmtId="0" fontId="14" fillId="0" borderId="5" xfId="0" applyFont="1" applyBorder="1" applyAlignment="1">
      <alignment vertical="top"/>
    </xf>
    <xf numFmtId="6" fontId="13" fillId="0" borderId="1" xfId="0" applyNumberFormat="1" applyFont="1" applyBorder="1" applyAlignment="1">
      <alignment wrapText="1"/>
    </xf>
    <xf numFmtId="6" fontId="14" fillId="0" borderId="0" xfId="0" applyNumberFormat="1" applyFont="1"/>
    <xf numFmtId="6" fontId="14" fillId="0" borderId="1" xfId="0" applyNumberFormat="1" applyFont="1" applyBorder="1" applyAlignment="1">
      <alignment wrapText="1"/>
    </xf>
    <xf numFmtId="0" fontId="14" fillId="4" borderId="1" xfId="0" applyFont="1" applyFill="1" applyBorder="1" applyAlignment="1">
      <alignment wrapText="1"/>
    </xf>
    <xf numFmtId="6" fontId="13" fillId="4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left" wrapText="1" indent="4"/>
    </xf>
    <xf numFmtId="6" fontId="13" fillId="4" borderId="4" xfId="0" applyNumberFormat="1" applyFont="1" applyFill="1" applyBorder="1" applyAlignment="1">
      <alignment wrapText="1"/>
    </xf>
    <xf numFmtId="0" fontId="14" fillId="0" borderId="3" xfId="0" applyFont="1" applyBorder="1" applyAlignment="1">
      <alignment vertical="top"/>
    </xf>
    <xf numFmtId="0" fontId="14" fillId="0" borderId="0" xfId="0" applyFont="1" applyAlignment="1">
      <alignment vertical="top"/>
    </xf>
    <xf numFmtId="0" fontId="15" fillId="0" borderId="1" xfId="0" applyFont="1" applyBorder="1"/>
    <xf numFmtId="0" fontId="15" fillId="0" borderId="11" xfId="0" applyFont="1" applyBorder="1" applyAlignment="1">
      <alignment wrapText="1"/>
    </xf>
    <xf numFmtId="6" fontId="16" fillId="0" borderId="12" xfId="0" applyNumberFormat="1" applyFont="1" applyBorder="1" applyAlignment="1">
      <alignment wrapText="1"/>
    </xf>
    <xf numFmtId="0" fontId="13" fillId="0" borderId="0" xfId="0" applyFont="1" applyAlignment="1">
      <alignment wrapText="1"/>
    </xf>
    <xf numFmtId="165" fontId="13" fillId="0" borderId="1" xfId="1" applyNumberFormat="1" applyFont="1" applyBorder="1" applyAlignment="1">
      <alignment wrapText="1"/>
    </xf>
    <xf numFmtId="165" fontId="13" fillId="0" borderId="1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0" fillId="9" borderId="0" xfId="0" applyFill="1"/>
    <xf numFmtId="0" fontId="0" fillId="0" borderId="0" xfId="0" applyAlignment="1">
      <alignment horizontal="center" vertical="center"/>
    </xf>
    <xf numFmtId="8" fontId="13" fillId="0" borderId="1" xfId="0" applyNumberFormat="1" applyFont="1" applyBorder="1" applyAlignment="1">
      <alignment wrapText="1"/>
    </xf>
    <xf numFmtId="0" fontId="14" fillId="8" borderId="0" xfId="0" applyFont="1" applyFill="1"/>
    <xf numFmtId="6" fontId="13" fillId="7" borderId="8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left" wrapText="1" indent="3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indent="2"/>
    </xf>
    <xf numFmtId="165" fontId="0" fillId="0" borderId="1" xfId="0" applyNumberFormat="1" applyBorder="1" applyAlignment="1">
      <alignment vertical="top"/>
    </xf>
    <xf numFmtId="164" fontId="0" fillId="0" borderId="1" xfId="1" applyNumberFormat="1" applyFont="1" applyBorder="1"/>
    <xf numFmtId="165" fontId="3" fillId="0" borderId="1" xfId="0" applyNumberFormat="1" applyFont="1" applyBorder="1"/>
    <xf numFmtId="164" fontId="0" fillId="0" borderId="0" xfId="1" applyNumberFormat="1" applyFont="1"/>
    <xf numFmtId="6" fontId="17" fillId="0" borderId="0" xfId="0" applyNumberFormat="1" applyFont="1"/>
    <xf numFmtId="165" fontId="6" fillId="4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13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21"/>
      <c r="K2" s="3"/>
    </row>
    <row r="3" spans="4:11" x14ac:dyDescent="0.25">
      <c r="D3" s="3"/>
      <c r="E3" s="3"/>
      <c r="J3" s="19"/>
      <c r="K3" s="20"/>
    </row>
    <row r="4" spans="4:11" x14ac:dyDescent="0.25">
      <c r="D4" s="4"/>
      <c r="E4" s="3"/>
    </row>
    <row r="9" spans="4:11" x14ac:dyDescent="0.25">
      <c r="J9" s="13"/>
    </row>
    <row r="17" spans="5:18" x14ac:dyDescent="0.25">
      <c r="E17" s="22"/>
      <c r="F17" s="22"/>
      <c r="G17" s="22"/>
      <c r="H17" s="22"/>
      <c r="I17" s="22"/>
    </row>
    <row r="18" spans="5:18" x14ac:dyDescent="0.25">
      <c r="E18" s="22"/>
      <c r="F18" s="22"/>
      <c r="G18" s="22"/>
      <c r="H18" s="22"/>
      <c r="I18" s="22"/>
    </row>
    <row r="27" spans="5:18" ht="23.25" x14ac:dyDescent="0.35">
      <c r="Q27" s="18"/>
    </row>
    <row r="28" spans="5:18" x14ac:dyDescent="0.25">
      <c r="Q28" s="43"/>
      <c r="R28" s="4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6"/>
  <sheetViews>
    <sheetView showGridLines="0" tabSelected="1" zoomScale="83" zoomScaleNormal="85" workbookViewId="0">
      <selection activeCell="J17" sqref="J17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3.28515625" style="6" bestFit="1" customWidth="1"/>
    <col min="5" max="5" width="14.570312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3.28515625" bestFit="1" customWidth="1"/>
    <col min="11" max="11" width="10.140625" customWidth="1"/>
    <col min="12" max="12" width="16.7109375" bestFit="1" customWidth="1"/>
    <col min="13" max="13" width="17.28515625" customWidth="1"/>
  </cols>
  <sheetData>
    <row r="2" spans="2:39" ht="23.25" x14ac:dyDescent="0.35">
      <c r="B2" s="18" t="s">
        <v>0</v>
      </c>
    </row>
    <row r="3" spans="2:39" ht="26.45" customHeight="1" x14ac:dyDescent="0.25">
      <c r="B3" s="97" t="s">
        <v>1</v>
      </c>
      <c r="C3" s="97"/>
      <c r="D3" s="97"/>
      <c r="E3" s="97"/>
      <c r="F3" s="97"/>
      <c r="G3" s="97"/>
      <c r="H3" s="97"/>
      <c r="I3" s="97"/>
      <c r="J3" s="97"/>
    </row>
    <row r="4" spans="2:39" ht="15" customHeight="1" x14ac:dyDescent="0.25">
      <c r="B4" s="5"/>
    </row>
    <row r="5" spans="2:39" ht="18.75" x14ac:dyDescent="0.3">
      <c r="B5" s="31" t="s">
        <v>2</v>
      </c>
      <c r="C5" s="32"/>
      <c r="D5" s="32"/>
      <c r="E5" s="32"/>
      <c r="F5" s="32"/>
      <c r="G5" s="32"/>
      <c r="H5" s="32"/>
      <c r="I5" s="32"/>
      <c r="J5" s="47"/>
    </row>
    <row r="6" spans="2:39" ht="17.100000000000001" customHeight="1" x14ac:dyDescent="0.25">
      <c r="B6" s="33" t="s">
        <v>3</v>
      </c>
      <c r="C6" s="33" t="s">
        <v>4</v>
      </c>
      <c r="D6" s="33" t="s">
        <v>5</v>
      </c>
      <c r="E6" s="34" t="s">
        <v>6</v>
      </c>
      <c r="F6" s="34" t="s">
        <v>7</v>
      </c>
      <c r="G6" s="34" t="s">
        <v>8</v>
      </c>
      <c r="H6" s="35" t="s">
        <v>9</v>
      </c>
      <c r="I6" s="36"/>
      <c r="J6" s="48" t="s">
        <v>10</v>
      </c>
    </row>
    <row r="7" spans="2:39" s="5" customFormat="1" x14ac:dyDescent="0.25">
      <c r="B7" s="14" t="s">
        <v>11</v>
      </c>
      <c r="C7" s="37" t="s">
        <v>12</v>
      </c>
      <c r="D7" s="50">
        <f>'Measure 1 Budget'!D13+'Measure 2 Budget'!D10</f>
        <v>616244</v>
      </c>
      <c r="E7" s="50">
        <f>'Measure 1 Budget'!E13+'Measure 2 Budget'!E10</f>
        <v>637393</v>
      </c>
      <c r="F7" s="50">
        <f>'Measure 1 Budget'!F13+'Measure 2 Budget'!F10</f>
        <v>659453.69999999995</v>
      </c>
      <c r="G7" s="50">
        <f>'Measure 1 Budget'!G13+'Measure 2 Budget'!G10</f>
        <v>682468.5924999998</v>
      </c>
      <c r="H7" s="50">
        <f>'Measure 1 Budget'!H13+'Measure 2 Budget'!H10</f>
        <v>706490.35731250001</v>
      </c>
      <c r="I7" s="86"/>
      <c r="J7" s="50">
        <f>SUM(D7:I7)</f>
        <v>3302049.6498124995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15"/>
      <c r="C8" s="37" t="s">
        <v>13</v>
      </c>
      <c r="D8" s="50">
        <f>'Measure 1 Budget'!D20+'Measure 2 Budget'!D14</f>
        <v>331430.85600000003</v>
      </c>
      <c r="E8" s="50">
        <f>'Measure 1 Budget'!E20+'Measure 2 Budget'!E14</f>
        <v>342134.99199999997</v>
      </c>
      <c r="F8" s="50">
        <f>'Measure 1 Budget'!F20+'Measure 2 Budget'!F14</f>
        <v>353266.86454211769</v>
      </c>
      <c r="G8" s="50">
        <f>'Measure 1 Budget'!G20+'Measure 2 Budget'!G14</f>
        <v>364847.27121309744</v>
      </c>
      <c r="H8" s="50">
        <f>'Measure 1 Budget'!H20+'Measure 2 Budget'!H14</f>
        <v>376899.0345146418</v>
      </c>
      <c r="I8" s="86"/>
      <c r="J8" s="50">
        <f t="shared" ref="J8:J14" si="0">SUM(D8:I8)</f>
        <v>1768579.0182698569</v>
      </c>
    </row>
    <row r="9" spans="2:39" x14ac:dyDescent="0.25">
      <c r="B9" s="15"/>
      <c r="C9" s="37" t="s">
        <v>14</v>
      </c>
      <c r="D9" s="50">
        <f>'Measure 1 Budget'!D30+'Measure 2 Budget'!D25</f>
        <v>16560</v>
      </c>
      <c r="E9" s="50">
        <f>'Measure 1 Budget'!E30+'Measure 2 Budget'!E25</f>
        <v>16560</v>
      </c>
      <c r="F9" s="50">
        <f>'Measure 1 Budget'!F30+'Measure 2 Budget'!F25</f>
        <v>16560</v>
      </c>
      <c r="G9" s="50">
        <f>'Measure 1 Budget'!G30+'Measure 2 Budget'!G25</f>
        <v>16560</v>
      </c>
      <c r="H9" s="50">
        <f>'Measure 1 Budget'!H30+'Measure 2 Budget'!H25</f>
        <v>16560</v>
      </c>
      <c r="I9" s="86"/>
      <c r="J9" s="50">
        <f t="shared" si="0"/>
        <v>82800</v>
      </c>
    </row>
    <row r="10" spans="2:39" x14ac:dyDescent="0.25">
      <c r="B10" s="15"/>
      <c r="C10" s="37" t="s">
        <v>15</v>
      </c>
      <c r="D10" s="50">
        <f>'Measure 1 Budget'!D34+'Measure 2 Budget'!D29</f>
        <v>0</v>
      </c>
      <c r="E10" s="50">
        <f>'Measure 1 Budget'!E34+'Measure 2 Budget'!E29</f>
        <v>0</v>
      </c>
      <c r="F10" s="50">
        <f>'Measure 1 Budget'!F34+'Measure 2 Budget'!F29</f>
        <v>0</v>
      </c>
      <c r="G10" s="50">
        <f>'Measure 1 Budget'!G34+'Measure 2 Budget'!G29</f>
        <v>0</v>
      </c>
      <c r="H10" s="50">
        <f>'Measure 1 Budget'!H34+'Measure 2 Budget'!H29</f>
        <v>0</v>
      </c>
      <c r="I10" s="86"/>
      <c r="J10" s="50">
        <f t="shared" si="0"/>
        <v>0</v>
      </c>
    </row>
    <row r="11" spans="2:39" x14ac:dyDescent="0.25">
      <c r="B11" s="15"/>
      <c r="C11" s="37" t="s">
        <v>16</v>
      </c>
      <c r="D11" s="50">
        <f>'Measure 1 Budget'!D37+'Measure 2 Budget'!D33</f>
        <v>38754.092799999999</v>
      </c>
      <c r="E11" s="50">
        <f>'Measure 1 Budget'!E37+'Measure 2 Budget'!E33</f>
        <v>40130.999599999996</v>
      </c>
      <c r="F11" s="50">
        <f>'Measure 1 Budget'!F37+'Measure 2 Budget'!F33</f>
        <v>41569.478227105879</v>
      </c>
      <c r="G11" s="50">
        <f>'Measure 1 Budget'!G37+'Measure 2 Budget'!G33</f>
        <v>43072.593185654863</v>
      </c>
      <c r="H11" s="50">
        <f>'Measure 1 Budget'!H37+'Measure 2 Budget'!H33</f>
        <v>44643.919591357087</v>
      </c>
      <c r="I11" s="86"/>
      <c r="J11" s="50">
        <f t="shared" si="0"/>
        <v>208171.08340411782</v>
      </c>
    </row>
    <row r="12" spans="2:39" x14ac:dyDescent="0.25">
      <c r="B12" s="15"/>
      <c r="C12" s="37" t="s">
        <v>17</v>
      </c>
      <c r="D12" s="50">
        <f>'Measure 1 Budget'!D43+'Measure 2 Budget'!D40</f>
        <v>1915000</v>
      </c>
      <c r="E12" s="50">
        <f>'Measure 1 Budget'!E43+'Measure 2 Budget'!E40</f>
        <v>1015000</v>
      </c>
      <c r="F12" s="50">
        <f>'Measure 1 Budget'!F43+'Measure 2 Budget'!F40</f>
        <v>1015000</v>
      </c>
      <c r="G12" s="50">
        <f>'Measure 1 Budget'!G43+'Measure 2 Budget'!G40</f>
        <v>1015000</v>
      </c>
      <c r="H12" s="50">
        <f>'Measure 1 Budget'!H43+'Measure 2 Budget'!H40</f>
        <v>515000</v>
      </c>
      <c r="I12" s="86"/>
      <c r="J12" s="50">
        <f t="shared" si="0"/>
        <v>5475000</v>
      </c>
    </row>
    <row r="13" spans="2:39" x14ac:dyDescent="0.25">
      <c r="B13" s="15"/>
      <c r="C13" s="37" t="s">
        <v>18</v>
      </c>
      <c r="D13" s="50">
        <f>'Measure 1 Budget'!D57+'Measure 2 Budget'!D48</f>
        <v>40634717.076133318</v>
      </c>
      <c r="E13" s="50">
        <f>'Measure 1 Budget'!E57+'Measure 2 Budget'!E48</f>
        <v>40611309.732933313</v>
      </c>
      <c r="F13" s="50">
        <f>'Measure 1 Budget'!F57+'Measure 2 Budget'!F48</f>
        <v>35479636.028227083</v>
      </c>
      <c r="G13" s="50">
        <f>'Measure 1 Budget'!G57+'Measure 2 Budget'!G48</f>
        <v>348032.4598523216</v>
      </c>
      <c r="H13" s="50">
        <f>'Measure 1 Budget'!H57+'Measure 2 Budget'!H48</f>
        <v>349836.13625802373</v>
      </c>
      <c r="I13" s="86"/>
      <c r="J13" s="50">
        <f>SUM(D13:I13)</f>
        <v>117423531.43340406</v>
      </c>
    </row>
    <row r="14" spans="2:39" x14ac:dyDescent="0.25">
      <c r="B14" s="16"/>
      <c r="C14" s="9" t="s">
        <v>19</v>
      </c>
      <c r="D14" s="69">
        <f>D13+D12+D11+D10+D9+D8+D7</f>
        <v>43552706.024933316</v>
      </c>
      <c r="E14" s="69">
        <f>E13+E12+E11+E10+E9+E8+E7</f>
        <v>42662528.724533312</v>
      </c>
      <c r="F14" s="69">
        <f>F13+F12+F11+F10+F9+F8+F7</f>
        <v>37565486.070996314</v>
      </c>
      <c r="G14" s="69">
        <f>G13+G12+G11+G10+G9+G8+G7</f>
        <v>2469980.9167510737</v>
      </c>
      <c r="H14" s="69">
        <f>H13+H12+H11+H10+H9+H8+H7</f>
        <v>2009429.4476765227</v>
      </c>
      <c r="I14" s="62"/>
      <c r="J14" s="69">
        <f t="shared" si="0"/>
        <v>128260131.18489054</v>
      </c>
    </row>
    <row r="15" spans="2:39" x14ac:dyDescent="0.25">
      <c r="B15" s="46"/>
      <c r="D15"/>
      <c r="E15"/>
      <c r="H15"/>
      <c r="I15"/>
      <c r="J15" s="11" t="s">
        <v>20</v>
      </c>
    </row>
    <row r="16" spans="2:39" ht="20.100000000000001" customHeight="1" x14ac:dyDescent="0.25">
      <c r="B16" s="46"/>
      <c r="C16" s="9" t="s">
        <v>21</v>
      </c>
      <c r="D16" s="42">
        <f>'Measure 1 Budget'!D67+'Measure 2 Budget'!D54</f>
        <v>157787.86352399999</v>
      </c>
      <c r="E16" s="42">
        <f>'Measure 1 Budget'!E67+'Measure 2 Budget'!E54</f>
        <v>163091.410668</v>
      </c>
      <c r="F16" s="42">
        <f>'Measure 1 Budget'!F67+'Measure 2 Budget'!F54</f>
        <v>168617.97399626259</v>
      </c>
      <c r="G16" s="42">
        <f>'Measure 1 Budget'!G67+'Measure 2 Budget'!G54</f>
        <v>174378.09130823071</v>
      </c>
      <c r="H16" s="42">
        <f>'Measure 1 Budget'!H67+'Measure 2 Budget'!H54</f>
        <v>180384.33373921912</v>
      </c>
      <c r="J16" s="96">
        <f>SUM(D16:H16)</f>
        <v>844259.67323571246</v>
      </c>
    </row>
    <row r="17" spans="2:13" ht="15.75" thickBot="1" x14ac:dyDescent="0.3">
      <c r="B17" s="46"/>
      <c r="D17"/>
      <c r="E17"/>
      <c r="H17"/>
      <c r="I17"/>
      <c r="J17" s="11" t="s">
        <v>20</v>
      </c>
    </row>
    <row r="18" spans="2:13" ht="30.95" customHeight="1" thickBot="1" x14ac:dyDescent="0.3">
      <c r="B18" s="45" t="s">
        <v>22</v>
      </c>
      <c r="C18" s="12"/>
      <c r="D18" s="39">
        <f>D14+D16</f>
        <v>43710493.888457313</v>
      </c>
      <c r="E18" s="39">
        <f>E14+E16</f>
        <v>42825620.135201313</v>
      </c>
      <c r="F18" s="39">
        <f>F14+F16</f>
        <v>37734104.044992574</v>
      </c>
      <c r="G18" s="39">
        <f>G14+G16</f>
        <v>2644359.0080593042</v>
      </c>
      <c r="H18" s="39">
        <f>H14+H16</f>
        <v>2189813.7814157419</v>
      </c>
      <c r="I18" s="40"/>
      <c r="J18" s="49">
        <f>J14+J16</f>
        <v>129104390.85812625</v>
      </c>
      <c r="L18" s="94"/>
      <c r="M18" s="95"/>
    </row>
    <row r="19" spans="2:13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3" ht="15" customHeight="1" x14ac:dyDescent="0.25">
      <c r="B20" s="6"/>
    </row>
    <row r="21" spans="2:13" ht="15" customHeight="1" x14ac:dyDescent="0.3">
      <c r="B21" s="31" t="s">
        <v>23</v>
      </c>
      <c r="C21" s="32"/>
      <c r="D21" s="32"/>
      <c r="E21" s="99"/>
      <c r="F21" s="99"/>
      <c r="H21"/>
      <c r="I21"/>
    </row>
    <row r="22" spans="2:13" ht="29.1" customHeight="1" x14ac:dyDescent="0.25">
      <c r="B22" s="33" t="s">
        <v>24</v>
      </c>
      <c r="C22" s="33" t="s">
        <v>25</v>
      </c>
      <c r="D22" s="41" t="s">
        <v>26</v>
      </c>
      <c r="E22" s="100" t="s">
        <v>27</v>
      </c>
      <c r="F22" s="100"/>
      <c r="H22"/>
      <c r="I22"/>
    </row>
    <row r="23" spans="2:13" ht="31.9" customHeight="1" x14ac:dyDescent="0.25">
      <c r="B23" s="37">
        <v>1</v>
      </c>
      <c r="C23" s="51" t="s">
        <v>42</v>
      </c>
      <c r="D23" s="87">
        <f>'Measure 1 Budget'!J69</f>
        <v>117611898.54262626</v>
      </c>
      <c r="E23" s="98">
        <f>D23/D$25</f>
        <v>0.91098294768201038</v>
      </c>
      <c r="F23" s="98"/>
      <c r="H23"/>
      <c r="I23"/>
    </row>
    <row r="24" spans="2:13" ht="37.15" customHeight="1" x14ac:dyDescent="0.25">
      <c r="B24" s="37">
        <v>2</v>
      </c>
      <c r="C24" s="52" t="s">
        <v>41</v>
      </c>
      <c r="D24" s="87">
        <f>'Measure 2 Budget'!J56</f>
        <v>11492492.315500002</v>
      </c>
      <c r="E24" s="98">
        <f>D24/D$25</f>
        <v>8.9017052317989592E-2</v>
      </c>
      <c r="F24" s="98"/>
      <c r="H24"/>
      <c r="I24"/>
    </row>
    <row r="25" spans="2:13" ht="15" customHeight="1" x14ac:dyDescent="0.25">
      <c r="B25" s="37" t="s">
        <v>28</v>
      </c>
      <c r="C25" s="38"/>
      <c r="D25" s="87">
        <f>SUM(D23:D24)</f>
        <v>129104390.85812627</v>
      </c>
      <c r="E25" s="98">
        <f>SUM(E23:E24)</f>
        <v>1</v>
      </c>
      <c r="F25" s="98"/>
      <c r="H25"/>
      <c r="I25"/>
    </row>
    <row r="26" spans="2:13" ht="15" customHeight="1" x14ac:dyDescent="0.25">
      <c r="H26"/>
      <c r="I26"/>
    </row>
  </sheetData>
  <mergeCells count="6">
    <mergeCell ref="B3:J3"/>
    <mergeCell ref="E25:F25"/>
    <mergeCell ref="E21:F21"/>
    <mergeCell ref="E22:F22"/>
    <mergeCell ref="E23:F23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84"/>
  <sheetViews>
    <sheetView showGridLines="0" topLeftCell="A51" zoomScale="85" zoomScaleNormal="85" workbookViewId="0">
      <selection activeCell="L10" sqref="L10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49.5703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28515625" customWidth="1"/>
    <col min="11" max="11" width="12.85546875" customWidth="1"/>
    <col min="12" max="12" width="15.140625" customWidth="1"/>
    <col min="13" max="13" width="12.7109375" customWidth="1"/>
    <col min="14" max="14" width="14.7109375" customWidth="1"/>
  </cols>
  <sheetData>
    <row r="2" spans="2:39" ht="23.25" x14ac:dyDescent="0.35">
      <c r="B2" s="18" t="s">
        <v>29</v>
      </c>
    </row>
    <row r="3" spans="2:39" x14ac:dyDescent="0.25">
      <c r="B3" s="5" t="s">
        <v>40</v>
      </c>
    </row>
    <row r="4" spans="2:39" x14ac:dyDescent="0.25">
      <c r="B4" s="5"/>
    </row>
    <row r="5" spans="2:39" ht="18.75" x14ac:dyDescent="0.3">
      <c r="B5" s="23" t="s">
        <v>2</v>
      </c>
      <c r="C5" s="24"/>
      <c r="D5" s="24"/>
      <c r="E5" s="24"/>
      <c r="F5" s="24"/>
      <c r="G5" s="24"/>
      <c r="H5" s="24"/>
      <c r="I5" s="24"/>
      <c r="J5" s="25"/>
    </row>
    <row r="6" spans="2:39" ht="30" x14ac:dyDescent="0.25">
      <c r="B6" s="54" t="s">
        <v>3</v>
      </c>
      <c r="C6" s="54" t="s">
        <v>4</v>
      </c>
      <c r="D6" s="54" t="s">
        <v>5</v>
      </c>
      <c r="E6" s="55" t="s">
        <v>6</v>
      </c>
      <c r="F6" s="55" t="s">
        <v>7</v>
      </c>
      <c r="G6" s="55" t="s">
        <v>8</v>
      </c>
      <c r="H6" s="56" t="s">
        <v>9</v>
      </c>
      <c r="I6" s="57"/>
      <c r="J6" s="58" t="s">
        <v>10</v>
      </c>
    </row>
    <row r="7" spans="2:39" s="5" customFormat="1" ht="30" x14ac:dyDescent="0.25">
      <c r="B7" s="59" t="s">
        <v>11</v>
      </c>
      <c r="C7" s="60" t="s">
        <v>30</v>
      </c>
      <c r="D7" s="61" t="s">
        <v>31</v>
      </c>
      <c r="E7" s="61" t="s">
        <v>31</v>
      </c>
      <c r="F7" s="61" t="s">
        <v>31</v>
      </c>
      <c r="G7" s="61"/>
      <c r="H7" s="61" t="s">
        <v>31</v>
      </c>
      <c r="I7" s="62"/>
      <c r="J7" s="63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64"/>
      <c r="C8" s="53" t="s">
        <v>49</v>
      </c>
      <c r="D8" s="65">
        <v>140141</v>
      </c>
      <c r="E8" s="65">
        <v>149390</v>
      </c>
      <c r="F8" s="65">
        <v>159250</v>
      </c>
      <c r="G8" s="65">
        <v>169760</v>
      </c>
      <c r="H8" s="65">
        <v>180964</v>
      </c>
      <c r="I8" s="66"/>
      <c r="J8" s="65">
        <f>SUM(D8:H8)</f>
        <v>799505</v>
      </c>
    </row>
    <row r="9" spans="2:39" x14ac:dyDescent="0.25">
      <c r="B9" s="64"/>
      <c r="C9" s="53" t="s">
        <v>60</v>
      </c>
      <c r="D9" s="65">
        <v>88661</v>
      </c>
      <c r="E9" s="65">
        <v>90877</v>
      </c>
      <c r="F9" s="65">
        <f>E9*1.025</f>
        <v>93148.924999999988</v>
      </c>
      <c r="G9" s="65">
        <f>F9*1.025</f>
        <v>95477.648124999978</v>
      </c>
      <c r="H9" s="65">
        <f>G9*1.025</f>
        <v>97864.589328124974</v>
      </c>
      <c r="I9" s="62"/>
      <c r="J9" s="65">
        <f t="shared" ref="J9:J11" si="0">SUM(D9:H9)</f>
        <v>466029.162453125</v>
      </c>
      <c r="L9" s="22"/>
    </row>
    <row r="10" spans="2:39" x14ac:dyDescent="0.25">
      <c r="B10" s="64"/>
      <c r="C10" s="53" t="s">
        <v>60</v>
      </c>
      <c r="D10" s="65">
        <v>88661</v>
      </c>
      <c r="E10" s="65">
        <v>90877</v>
      </c>
      <c r="F10" s="65">
        <f t="shared" ref="F10:H12" si="1">E10*1.025</f>
        <v>93148.924999999988</v>
      </c>
      <c r="G10" s="65">
        <f t="shared" si="1"/>
        <v>95477.648124999978</v>
      </c>
      <c r="H10" s="65">
        <f t="shared" si="1"/>
        <v>97864.589328124974</v>
      </c>
      <c r="I10" s="62"/>
      <c r="J10" s="65">
        <f t="shared" si="0"/>
        <v>466029.162453125</v>
      </c>
    </row>
    <row r="11" spans="2:39" x14ac:dyDescent="0.25">
      <c r="B11" s="64"/>
      <c r="C11" s="53" t="s">
        <v>60</v>
      </c>
      <c r="D11" s="65">
        <v>88661</v>
      </c>
      <c r="E11" s="65">
        <v>90877</v>
      </c>
      <c r="F11" s="65">
        <f t="shared" si="1"/>
        <v>93148.924999999988</v>
      </c>
      <c r="G11" s="65">
        <f t="shared" si="1"/>
        <v>95477.648124999978</v>
      </c>
      <c r="H11" s="65">
        <f t="shared" si="1"/>
        <v>97864.589328124974</v>
      </c>
      <c r="I11" s="62"/>
      <c r="J11" s="65">
        <f t="shared" si="0"/>
        <v>466029.162453125</v>
      </c>
    </row>
    <row r="12" spans="2:39" x14ac:dyDescent="0.25">
      <c r="B12" s="64"/>
      <c r="C12" s="53" t="s">
        <v>60</v>
      </c>
      <c r="D12" s="65">
        <v>88661</v>
      </c>
      <c r="E12" s="65">
        <v>90877</v>
      </c>
      <c r="F12" s="65">
        <f t="shared" si="1"/>
        <v>93148.924999999988</v>
      </c>
      <c r="G12" s="65">
        <f t="shared" si="1"/>
        <v>95477.648124999978</v>
      </c>
      <c r="H12" s="65">
        <f t="shared" si="1"/>
        <v>97864.589328124974</v>
      </c>
      <c r="I12" s="62"/>
      <c r="J12" s="65">
        <f>SUM(D12:H12)</f>
        <v>466029.162453125</v>
      </c>
      <c r="K12" s="22"/>
    </row>
    <row r="13" spans="2:39" x14ac:dyDescent="0.25">
      <c r="B13" s="64"/>
      <c r="C13" s="68" t="s">
        <v>12</v>
      </c>
      <c r="D13" s="69">
        <f>SUM(D8:D12)</f>
        <v>494785</v>
      </c>
      <c r="E13" s="69">
        <f>SUM(E8:E12)</f>
        <v>512898</v>
      </c>
      <c r="F13" s="69">
        <f>SUM(F8:F12)</f>
        <v>531845.69999999995</v>
      </c>
      <c r="G13" s="69">
        <f>SUM(G8:G12)</f>
        <v>551670.5924999998</v>
      </c>
      <c r="H13" s="69">
        <f>SUM(H8:H12)</f>
        <v>572422.35731250001</v>
      </c>
      <c r="I13" s="62"/>
      <c r="J13" s="69">
        <f>SUM(J8:J12)</f>
        <v>2663621.6498125</v>
      </c>
    </row>
    <row r="14" spans="2:39" x14ac:dyDescent="0.25">
      <c r="B14" s="64"/>
      <c r="C14" s="70" t="s">
        <v>32</v>
      </c>
      <c r="D14" s="71" t="s">
        <v>31</v>
      </c>
      <c r="E14" s="61"/>
      <c r="F14" s="61"/>
      <c r="G14" s="61"/>
      <c r="H14" s="61"/>
      <c r="I14" s="62"/>
      <c r="J14" s="63" t="s">
        <v>31</v>
      </c>
    </row>
    <row r="15" spans="2:39" ht="30" x14ac:dyDescent="0.25">
      <c r="B15" s="64"/>
      <c r="C15" s="53" t="s">
        <v>48</v>
      </c>
      <c r="D15" s="80">
        <v>58999</v>
      </c>
      <c r="E15" s="81">
        <v>62893</v>
      </c>
      <c r="F15" s="81">
        <v>67044.147742117726</v>
      </c>
      <c r="G15" s="81">
        <v>71469.061493097484</v>
      </c>
      <c r="H15" s="81">
        <v>76186.019551641919</v>
      </c>
      <c r="I15" s="62"/>
      <c r="J15" s="65">
        <f>SUM(D15:H15)</f>
        <v>336591.2287868571</v>
      </c>
    </row>
    <row r="16" spans="2:39" x14ac:dyDescent="0.25">
      <c r="B16" s="64"/>
      <c r="C16" s="53" t="s">
        <v>60</v>
      </c>
      <c r="D16" s="81">
        <f>(D9*0.6)+((D9*0.6)*0.04)</f>
        <v>55324.464</v>
      </c>
      <c r="E16" s="81">
        <f t="shared" ref="E16:H16" si="2">(E9*0.6)+((E9*0.6)*0.04)</f>
        <v>56707.248</v>
      </c>
      <c r="F16" s="81">
        <f t="shared" si="2"/>
        <v>58124.929199999991</v>
      </c>
      <c r="G16" s="81">
        <f t="shared" si="2"/>
        <v>59578.052429999989</v>
      </c>
      <c r="H16" s="81">
        <f t="shared" si="2"/>
        <v>61067.503740749977</v>
      </c>
      <c r="I16" s="62"/>
      <c r="J16" s="65">
        <f t="shared" ref="J16:J19" si="3">SUM(D16:H16)</f>
        <v>290802.19737074996</v>
      </c>
    </row>
    <row r="17" spans="2:14" x14ac:dyDescent="0.25">
      <c r="B17" s="64"/>
      <c r="C17" s="53" t="s">
        <v>60</v>
      </c>
      <c r="D17" s="81">
        <f t="shared" ref="D17:H19" si="4">(D10*0.6)+((D10*0.6)*0.04)</f>
        <v>55324.464</v>
      </c>
      <c r="E17" s="81">
        <f>(E10*0.6)+((E10*0.6)*0.04)</f>
        <v>56707.248</v>
      </c>
      <c r="F17" s="81">
        <f t="shared" si="4"/>
        <v>58124.929199999991</v>
      </c>
      <c r="G17" s="81">
        <f t="shared" si="4"/>
        <v>59578.052429999989</v>
      </c>
      <c r="H17" s="81">
        <f t="shared" si="4"/>
        <v>61067.503740749977</v>
      </c>
      <c r="I17" s="62"/>
      <c r="J17" s="65">
        <f t="shared" si="3"/>
        <v>290802.19737074996</v>
      </c>
    </row>
    <row r="18" spans="2:14" x14ac:dyDescent="0.25">
      <c r="B18" s="64"/>
      <c r="C18" s="53" t="s">
        <v>60</v>
      </c>
      <c r="D18" s="81">
        <f t="shared" si="4"/>
        <v>55324.464</v>
      </c>
      <c r="E18" s="81">
        <f t="shared" si="4"/>
        <v>56707.248</v>
      </c>
      <c r="F18" s="81">
        <f t="shared" si="4"/>
        <v>58124.929199999991</v>
      </c>
      <c r="G18" s="81">
        <f t="shared" si="4"/>
        <v>59578.052429999989</v>
      </c>
      <c r="H18" s="81">
        <f t="shared" si="4"/>
        <v>61067.503740749977</v>
      </c>
      <c r="I18" s="62"/>
      <c r="J18" s="65">
        <f t="shared" si="3"/>
        <v>290802.19737074996</v>
      </c>
    </row>
    <row r="19" spans="2:14" x14ac:dyDescent="0.25">
      <c r="B19" s="64"/>
      <c r="C19" s="53" t="s">
        <v>60</v>
      </c>
      <c r="D19" s="81">
        <f t="shared" si="4"/>
        <v>55324.464</v>
      </c>
      <c r="E19" s="81">
        <f t="shared" si="4"/>
        <v>56707.248</v>
      </c>
      <c r="F19" s="81">
        <f t="shared" si="4"/>
        <v>58124.929199999991</v>
      </c>
      <c r="G19" s="81">
        <f t="shared" si="4"/>
        <v>59578.052429999989</v>
      </c>
      <c r="H19" s="81">
        <f t="shared" si="4"/>
        <v>61067.503740749977</v>
      </c>
      <c r="I19" s="62"/>
      <c r="J19" s="65">
        <f t="shared" si="3"/>
        <v>290802.19737074996</v>
      </c>
      <c r="K19" s="22"/>
      <c r="M19" s="22"/>
      <c r="N19" s="22"/>
    </row>
    <row r="20" spans="2:14" x14ac:dyDescent="0.25">
      <c r="B20" s="64"/>
      <c r="C20" s="68" t="s">
        <v>13</v>
      </c>
      <c r="D20" s="69">
        <f>SUM(D15:D19)</f>
        <v>280296.85600000003</v>
      </c>
      <c r="E20" s="69">
        <f>SUM(E15:E19)</f>
        <v>289721.99199999997</v>
      </c>
      <c r="F20" s="69">
        <f>SUM(F15:F19)</f>
        <v>299543.86454211769</v>
      </c>
      <c r="G20" s="69">
        <f>SUM(G15:G19)</f>
        <v>309781.27121309744</v>
      </c>
      <c r="H20" s="69">
        <f>SUM(H15:H19)</f>
        <v>320456.0345146418</v>
      </c>
      <c r="I20" s="62"/>
      <c r="J20" s="69">
        <f>SUM(J15:J19)</f>
        <v>1499800.0182698567</v>
      </c>
    </row>
    <row r="21" spans="2:14" x14ac:dyDescent="0.25">
      <c r="B21" s="64"/>
      <c r="C21" s="70" t="s">
        <v>33</v>
      </c>
      <c r="D21" s="71" t="s">
        <v>31</v>
      </c>
      <c r="E21" s="61"/>
      <c r="F21" s="61"/>
      <c r="G21" s="61"/>
      <c r="H21" s="61"/>
      <c r="I21" s="62"/>
      <c r="J21" s="63" t="s">
        <v>31</v>
      </c>
    </row>
    <row r="22" spans="2:14" ht="30" x14ac:dyDescent="0.25">
      <c r="B22" s="64"/>
      <c r="C22" s="88" t="s">
        <v>63</v>
      </c>
      <c r="D22" s="65">
        <f>4*(200*0.44)*12</f>
        <v>4224</v>
      </c>
      <c r="E22" s="65">
        <f t="shared" ref="E22:H22" si="5">4*(200*0.44)*12</f>
        <v>4224</v>
      </c>
      <c r="F22" s="65">
        <f t="shared" si="5"/>
        <v>4224</v>
      </c>
      <c r="G22" s="65">
        <f t="shared" si="5"/>
        <v>4224</v>
      </c>
      <c r="H22" s="65">
        <f t="shared" si="5"/>
        <v>4224</v>
      </c>
      <c r="I22" s="62"/>
      <c r="J22" s="65">
        <f>SUM(D22:H22)</f>
        <v>21120</v>
      </c>
    </row>
    <row r="23" spans="2:14" ht="30" x14ac:dyDescent="0.25">
      <c r="B23" s="64"/>
      <c r="C23" s="88" t="s">
        <v>62</v>
      </c>
      <c r="D23" s="65">
        <f>(85*5)*4</f>
        <v>1700</v>
      </c>
      <c r="E23" s="65">
        <f t="shared" ref="E23:H23" si="6">(85*5)*4</f>
        <v>1700</v>
      </c>
      <c r="F23" s="65">
        <f t="shared" si="6"/>
        <v>1700</v>
      </c>
      <c r="G23" s="65">
        <f t="shared" si="6"/>
        <v>1700</v>
      </c>
      <c r="H23" s="65">
        <f t="shared" si="6"/>
        <v>1700</v>
      </c>
      <c r="I23" s="66"/>
      <c r="J23" s="65">
        <f>SUM(D23:H23)</f>
        <v>8500</v>
      </c>
    </row>
    <row r="24" spans="2:14" x14ac:dyDescent="0.25">
      <c r="B24" s="64"/>
      <c r="C24" s="88" t="s">
        <v>64</v>
      </c>
      <c r="D24" s="65">
        <f>850*5</f>
        <v>4250</v>
      </c>
      <c r="E24" s="65">
        <f t="shared" ref="E24:H24" si="7">850*5</f>
        <v>4250</v>
      </c>
      <c r="F24" s="65">
        <f t="shared" si="7"/>
        <v>4250</v>
      </c>
      <c r="G24" s="65">
        <f t="shared" si="7"/>
        <v>4250</v>
      </c>
      <c r="H24" s="65">
        <f t="shared" si="7"/>
        <v>4250</v>
      </c>
      <c r="I24" s="66"/>
      <c r="J24" s="65">
        <f t="shared" ref="J24:J29" si="8">SUM(D24:H24)</f>
        <v>21250</v>
      </c>
    </row>
    <row r="25" spans="2:14" ht="30" x14ac:dyDescent="0.25">
      <c r="B25" s="64"/>
      <c r="C25" s="88" t="s">
        <v>65</v>
      </c>
      <c r="D25" s="65">
        <f>100*2*5</f>
        <v>1000</v>
      </c>
      <c r="E25" s="65">
        <f t="shared" ref="E25:H25" si="9">100*2*5</f>
        <v>1000</v>
      </c>
      <c r="F25" s="65">
        <f t="shared" si="9"/>
        <v>1000</v>
      </c>
      <c r="G25" s="65">
        <f t="shared" si="9"/>
        <v>1000</v>
      </c>
      <c r="H25" s="65">
        <f t="shared" si="9"/>
        <v>1000</v>
      </c>
      <c r="I25" s="66"/>
      <c r="J25" s="65">
        <f t="shared" si="8"/>
        <v>5000</v>
      </c>
    </row>
    <row r="26" spans="2:14" ht="30" x14ac:dyDescent="0.25">
      <c r="B26" s="64"/>
      <c r="C26" s="88" t="s">
        <v>66</v>
      </c>
      <c r="D26" s="65">
        <f>(59*13*5)</f>
        <v>3835</v>
      </c>
      <c r="E26" s="65">
        <f t="shared" ref="E26:H26" si="10">(59*13*5)</f>
        <v>3835</v>
      </c>
      <c r="F26" s="65">
        <f t="shared" si="10"/>
        <v>3835</v>
      </c>
      <c r="G26" s="65">
        <f t="shared" si="10"/>
        <v>3835</v>
      </c>
      <c r="H26" s="65">
        <f t="shared" si="10"/>
        <v>3835</v>
      </c>
      <c r="I26" s="66"/>
      <c r="J26" s="65">
        <f t="shared" si="8"/>
        <v>19175</v>
      </c>
    </row>
    <row r="27" spans="2:14" x14ac:dyDescent="0.25">
      <c r="B27" s="64"/>
      <c r="C27" s="72"/>
      <c r="D27" s="65"/>
      <c r="E27" s="65"/>
      <c r="F27" s="65"/>
      <c r="G27" s="65"/>
      <c r="H27" s="65"/>
      <c r="I27" s="66"/>
      <c r="J27" s="65">
        <f t="shared" si="8"/>
        <v>0</v>
      </c>
    </row>
    <row r="28" spans="2:14" x14ac:dyDescent="0.25">
      <c r="B28" s="64"/>
      <c r="C28" s="72"/>
      <c r="D28" s="65"/>
      <c r="E28" s="65"/>
      <c r="F28" s="65"/>
      <c r="G28" s="65"/>
      <c r="H28" s="65"/>
      <c r="I28" s="66"/>
      <c r="J28" s="65">
        <f t="shared" si="8"/>
        <v>0</v>
      </c>
    </row>
    <row r="29" spans="2:14" x14ac:dyDescent="0.25">
      <c r="B29" s="64"/>
      <c r="C29" s="53"/>
      <c r="D29" s="65"/>
      <c r="E29" s="65"/>
      <c r="F29" s="65"/>
      <c r="G29" s="65"/>
      <c r="H29" s="65"/>
      <c r="I29" s="66"/>
      <c r="J29" s="65">
        <f t="shared" si="8"/>
        <v>0</v>
      </c>
    </row>
    <row r="30" spans="2:14" x14ac:dyDescent="0.25">
      <c r="B30" s="64"/>
      <c r="C30" s="68" t="s">
        <v>14</v>
      </c>
      <c r="D30" s="69">
        <f>SUM(D23:D29)</f>
        <v>10785</v>
      </c>
      <c r="E30" s="69">
        <f t="shared" ref="E30:H30" si="11">SUM(E23:E29)</f>
        <v>10785</v>
      </c>
      <c r="F30" s="69">
        <f t="shared" si="11"/>
        <v>10785</v>
      </c>
      <c r="G30" s="69">
        <f t="shared" si="11"/>
        <v>10785</v>
      </c>
      <c r="H30" s="69">
        <f t="shared" si="11"/>
        <v>10785</v>
      </c>
      <c r="I30" s="62"/>
      <c r="J30" s="69">
        <f>SUM(J22:J29)</f>
        <v>75045</v>
      </c>
    </row>
    <row r="31" spans="2:14" x14ac:dyDescent="0.25">
      <c r="B31" s="64"/>
      <c r="C31" s="70" t="s">
        <v>34</v>
      </c>
      <c r="D31" s="65"/>
      <c r="E31" s="61"/>
      <c r="F31" s="61"/>
      <c r="G31" s="61"/>
      <c r="H31" s="61"/>
      <c r="I31" s="62"/>
      <c r="J31" s="65" t="s">
        <v>20</v>
      </c>
    </row>
    <row r="32" spans="2:14" x14ac:dyDescent="0.25">
      <c r="B32" s="64"/>
      <c r="C32" s="53"/>
      <c r="D32" s="65"/>
      <c r="E32" s="61"/>
      <c r="F32" s="61"/>
      <c r="G32" s="61"/>
      <c r="H32" s="61"/>
      <c r="I32" s="62"/>
      <c r="J32" s="65">
        <f>SUM(D32:H32)</f>
        <v>0</v>
      </c>
    </row>
    <row r="33" spans="2:10" x14ac:dyDescent="0.25">
      <c r="B33" s="64" t="s">
        <v>35</v>
      </c>
      <c r="C33" s="71" t="s">
        <v>35</v>
      </c>
      <c r="D33" s="71" t="s">
        <v>31</v>
      </c>
      <c r="E33" s="61"/>
      <c r="F33" s="61"/>
      <c r="G33" s="61"/>
      <c r="H33" s="61"/>
      <c r="I33" s="62"/>
      <c r="J33" s="65">
        <f t="shared" ref="J33:J49" si="12">SUM(D33:H33)</f>
        <v>0</v>
      </c>
    </row>
    <row r="34" spans="2:10" x14ac:dyDescent="0.25">
      <c r="B34" s="64"/>
      <c r="C34" s="68" t="s">
        <v>15</v>
      </c>
      <c r="D34" s="73">
        <f>SUM(D32:D33)</f>
        <v>0</v>
      </c>
      <c r="E34" s="73">
        <f t="shared" ref="E34:H34" si="13">SUM(E32:E33)</f>
        <v>0</v>
      </c>
      <c r="F34" s="73">
        <f t="shared" si="13"/>
        <v>0</v>
      </c>
      <c r="G34" s="73">
        <f t="shared" si="13"/>
        <v>0</v>
      </c>
      <c r="H34" s="73">
        <f t="shared" si="13"/>
        <v>0</v>
      </c>
      <c r="I34" s="62"/>
      <c r="J34" s="69">
        <f>SUM(J32:J33)</f>
        <v>0</v>
      </c>
    </row>
    <row r="35" spans="2:10" x14ac:dyDescent="0.25">
      <c r="B35" s="64"/>
      <c r="C35" s="70" t="s">
        <v>36</v>
      </c>
      <c r="D35" s="71" t="s">
        <v>31</v>
      </c>
      <c r="E35" s="61"/>
      <c r="F35" s="61"/>
      <c r="G35" s="61"/>
      <c r="H35" s="61"/>
      <c r="I35" s="62"/>
      <c r="J35" s="65">
        <f t="shared" si="12"/>
        <v>0</v>
      </c>
    </row>
    <row r="36" spans="2:10" x14ac:dyDescent="0.25">
      <c r="B36" s="64"/>
      <c r="C36" s="70"/>
      <c r="D36" s="71"/>
      <c r="E36" s="61"/>
      <c r="F36" s="61"/>
      <c r="G36" s="61"/>
      <c r="H36" s="61"/>
      <c r="I36" s="62"/>
      <c r="J36" s="65">
        <f t="shared" si="12"/>
        <v>0</v>
      </c>
    </row>
    <row r="37" spans="2:10" x14ac:dyDescent="0.25">
      <c r="B37" s="64"/>
      <c r="C37" s="68" t="s">
        <v>16</v>
      </c>
      <c r="D37" s="69">
        <f>SUM(D51:D55)</f>
        <v>38754.092799999999</v>
      </c>
      <c r="E37" s="69">
        <f>SUM(E51:E55)</f>
        <v>40130.999599999996</v>
      </c>
      <c r="F37" s="69">
        <f>SUM(F51:F55)</f>
        <v>41569.478227105879</v>
      </c>
      <c r="G37" s="69">
        <f>SUM(G51:G55)</f>
        <v>43072.593185654863</v>
      </c>
      <c r="H37" s="69">
        <f>SUM(H51:H55)</f>
        <v>44643.919591357087</v>
      </c>
      <c r="I37" s="62"/>
      <c r="J37" s="69">
        <f>SUM(J51:J55)</f>
        <v>208171.08340411785</v>
      </c>
    </row>
    <row r="38" spans="2:10" x14ac:dyDescent="0.25">
      <c r="B38" s="64"/>
      <c r="C38" s="70" t="s">
        <v>37</v>
      </c>
      <c r="D38" s="71" t="s">
        <v>31</v>
      </c>
      <c r="E38" s="61"/>
      <c r="F38" s="61"/>
      <c r="G38" s="61"/>
      <c r="H38" s="61"/>
      <c r="I38" s="62"/>
      <c r="J38" s="65"/>
    </row>
    <row r="39" spans="2:10" ht="30" x14ac:dyDescent="0.25">
      <c r="B39" s="64"/>
      <c r="C39" s="53" t="s">
        <v>73</v>
      </c>
      <c r="D39" s="65">
        <v>200000</v>
      </c>
      <c r="E39" s="65"/>
      <c r="F39" s="65"/>
      <c r="G39" s="65"/>
      <c r="H39" s="65"/>
      <c r="I39" s="66"/>
      <c r="J39" s="65">
        <f t="shared" si="12"/>
        <v>200000</v>
      </c>
    </row>
    <row r="40" spans="2:10" x14ac:dyDescent="0.25">
      <c r="B40" s="64"/>
      <c r="C40" s="53" t="s">
        <v>54</v>
      </c>
      <c r="D40" s="65">
        <v>15000</v>
      </c>
      <c r="E40" s="65">
        <v>15000</v>
      </c>
      <c r="F40" s="65">
        <v>15000</v>
      </c>
      <c r="G40" s="65">
        <v>15000</v>
      </c>
      <c r="H40" s="65">
        <v>15000</v>
      </c>
      <c r="I40" s="66"/>
      <c r="J40" s="65">
        <f t="shared" si="12"/>
        <v>75000</v>
      </c>
    </row>
    <row r="41" spans="2:10" ht="30" x14ac:dyDescent="0.25">
      <c r="B41" s="64"/>
      <c r="C41" s="53" t="s">
        <v>72</v>
      </c>
      <c r="D41" s="65">
        <v>1500000</v>
      </c>
      <c r="E41" s="65">
        <v>1000000</v>
      </c>
      <c r="F41" s="65">
        <v>1000000</v>
      </c>
      <c r="G41" s="65">
        <v>1000000</v>
      </c>
      <c r="H41" s="65">
        <v>500000</v>
      </c>
      <c r="I41" s="66"/>
      <c r="J41" s="65">
        <f t="shared" si="12"/>
        <v>5000000</v>
      </c>
    </row>
    <row r="42" spans="2:10" x14ac:dyDescent="0.25">
      <c r="B42" s="64"/>
      <c r="C42" s="53"/>
      <c r="D42" s="65"/>
      <c r="E42" s="67"/>
      <c r="F42" s="67"/>
      <c r="G42" s="67"/>
      <c r="H42" s="67"/>
      <c r="I42" s="62"/>
      <c r="J42" s="65">
        <f t="shared" si="12"/>
        <v>0</v>
      </c>
    </row>
    <row r="43" spans="2:10" x14ac:dyDescent="0.25">
      <c r="B43" s="64"/>
      <c r="C43" s="68" t="s">
        <v>17</v>
      </c>
      <c r="D43" s="69">
        <f>SUM(D39:D42)</f>
        <v>1715000</v>
      </c>
      <c r="E43" s="69">
        <f t="shared" ref="E43:H43" si="14">SUM(E39:E42)</f>
        <v>1015000</v>
      </c>
      <c r="F43" s="69">
        <f t="shared" si="14"/>
        <v>1015000</v>
      </c>
      <c r="G43" s="69">
        <f t="shared" si="14"/>
        <v>1015000</v>
      </c>
      <c r="H43" s="69">
        <f t="shared" si="14"/>
        <v>515000</v>
      </c>
      <c r="I43" s="62"/>
      <c r="J43" s="69">
        <f>SUM(J39:J42)</f>
        <v>5275000</v>
      </c>
    </row>
    <row r="44" spans="2:10" x14ac:dyDescent="0.25">
      <c r="B44" s="64"/>
      <c r="C44" s="70" t="s">
        <v>38</v>
      </c>
      <c r="D44" s="71" t="s">
        <v>31</v>
      </c>
      <c r="E44" s="61"/>
      <c r="F44" s="61"/>
      <c r="G44" s="61"/>
      <c r="H44" s="61"/>
      <c r="I44" s="62"/>
      <c r="J44" s="65"/>
    </row>
    <row r="45" spans="2:10" ht="45" x14ac:dyDescent="0.25">
      <c r="B45" s="64"/>
      <c r="C45" s="53" t="s">
        <v>44</v>
      </c>
      <c r="D45" s="65">
        <v>150000</v>
      </c>
      <c r="E45" s="65">
        <v>150000</v>
      </c>
      <c r="F45" s="65">
        <v>150000</v>
      </c>
      <c r="G45" s="65">
        <v>150000</v>
      </c>
      <c r="H45" s="65">
        <v>150000</v>
      </c>
      <c r="I45" s="62"/>
      <c r="J45" s="65">
        <f t="shared" si="12"/>
        <v>750000</v>
      </c>
    </row>
    <row r="46" spans="2:10" ht="30" x14ac:dyDescent="0.25">
      <c r="B46" s="64"/>
      <c r="C46" s="53" t="s">
        <v>43</v>
      </c>
      <c r="D46" s="65">
        <f>90400000/3</f>
        <v>30133333.333333332</v>
      </c>
      <c r="E46" s="65">
        <f t="shared" ref="E46:F46" si="15">90400000/3</f>
        <v>30133333.333333332</v>
      </c>
      <c r="F46" s="65">
        <f t="shared" si="15"/>
        <v>30133333.333333332</v>
      </c>
      <c r="G46" s="67"/>
      <c r="H46" s="67"/>
      <c r="I46" s="62"/>
      <c r="J46" s="65">
        <f t="shared" si="12"/>
        <v>90400000</v>
      </c>
    </row>
    <row r="47" spans="2:10" x14ac:dyDescent="0.25">
      <c r="B47" s="64"/>
      <c r="C47" s="53" t="s">
        <v>45</v>
      </c>
      <c r="D47" s="65">
        <f>15000000/3</f>
        <v>5000000</v>
      </c>
      <c r="E47" s="65">
        <f>15000000/3</f>
        <v>5000000</v>
      </c>
      <c r="F47" s="65">
        <f>15000000/3</f>
        <v>5000000</v>
      </c>
      <c r="G47" s="67"/>
      <c r="H47" s="67"/>
      <c r="I47" s="62"/>
      <c r="J47" s="65">
        <f t="shared" si="12"/>
        <v>15000000</v>
      </c>
    </row>
    <row r="48" spans="2:10" x14ac:dyDescent="0.25">
      <c r="B48" s="64"/>
      <c r="C48" s="90" t="s">
        <v>61</v>
      </c>
      <c r="D48" s="91">
        <f>800000*0.3</f>
        <v>240000</v>
      </c>
      <c r="E48" s="91">
        <f>800000*0.3</f>
        <v>240000</v>
      </c>
      <c r="F48" s="91">
        <f>(800000-2*($E$48))/3</f>
        <v>106666.66666666667</v>
      </c>
      <c r="G48" s="91">
        <f t="shared" ref="G48:H48" si="16">(800000-2*($E$48))/3</f>
        <v>106666.66666666667</v>
      </c>
      <c r="H48" s="91">
        <f t="shared" si="16"/>
        <v>106666.66666666667</v>
      </c>
      <c r="I48" s="62"/>
      <c r="J48" s="65">
        <f t="shared" si="12"/>
        <v>799999.99999999988</v>
      </c>
    </row>
    <row r="49" spans="2:13" ht="30" x14ac:dyDescent="0.25">
      <c r="B49" s="64"/>
      <c r="C49" s="53" t="s">
        <v>56</v>
      </c>
      <c r="D49" s="65">
        <v>6000</v>
      </c>
      <c r="E49" s="65">
        <v>6000</v>
      </c>
      <c r="F49" s="65">
        <v>6000</v>
      </c>
      <c r="G49" s="65">
        <v>6000</v>
      </c>
      <c r="H49" s="65">
        <v>6000</v>
      </c>
      <c r="I49" s="62"/>
      <c r="J49" s="65">
        <f t="shared" si="12"/>
        <v>30000</v>
      </c>
    </row>
    <row r="50" spans="2:13" x14ac:dyDescent="0.25">
      <c r="B50" s="64"/>
      <c r="C50" s="53" t="s">
        <v>52</v>
      </c>
      <c r="D50" s="65">
        <v>6000</v>
      </c>
      <c r="E50" s="65">
        <v>6000</v>
      </c>
      <c r="F50" s="65">
        <v>6000</v>
      </c>
      <c r="G50" s="65">
        <v>6000</v>
      </c>
      <c r="H50" s="65">
        <v>6000</v>
      </c>
      <c r="I50" s="62"/>
      <c r="J50" s="65">
        <f t="shared" ref="J50:J55" si="17">SUM(D50:H50)</f>
        <v>30000</v>
      </c>
    </row>
    <row r="51" spans="2:13" ht="60" x14ac:dyDescent="0.25">
      <c r="B51" s="64"/>
      <c r="C51" s="53" t="s">
        <v>70</v>
      </c>
      <c r="D51" s="65">
        <f t="shared" ref="D51:H55" si="18">D8*$L$51+D15*$L$51</f>
        <v>9957</v>
      </c>
      <c r="E51" s="65">
        <f t="shared" si="18"/>
        <v>10614.15</v>
      </c>
      <c r="F51" s="65">
        <f t="shared" si="18"/>
        <v>11314.707387105886</v>
      </c>
      <c r="G51" s="65">
        <f t="shared" si="18"/>
        <v>12061.453074654873</v>
      </c>
      <c r="H51" s="65">
        <f t="shared" si="18"/>
        <v>12857.500977582096</v>
      </c>
      <c r="I51" s="66"/>
      <c r="J51" s="65">
        <f t="shared" si="17"/>
        <v>56804.811439342855</v>
      </c>
      <c r="L51" s="83">
        <v>0.05</v>
      </c>
      <c r="M51" t="s">
        <v>50</v>
      </c>
    </row>
    <row r="52" spans="2:13" ht="45" x14ac:dyDescent="0.25">
      <c r="B52" s="64"/>
      <c r="C52" s="53" t="s">
        <v>71</v>
      </c>
      <c r="D52" s="65">
        <f t="shared" si="18"/>
        <v>7199.2732000000005</v>
      </c>
      <c r="E52" s="65">
        <f t="shared" si="18"/>
        <v>7379.2124000000003</v>
      </c>
      <c r="F52" s="65">
        <f t="shared" si="18"/>
        <v>7563.6927099999994</v>
      </c>
      <c r="G52" s="65">
        <f t="shared" si="18"/>
        <v>7752.7850277499983</v>
      </c>
      <c r="H52" s="65">
        <f t="shared" si="18"/>
        <v>7946.6046534437482</v>
      </c>
      <c r="I52" s="66"/>
      <c r="J52" s="65">
        <f t="shared" si="17"/>
        <v>37841.567991193748</v>
      </c>
    </row>
    <row r="53" spans="2:13" ht="45" x14ac:dyDescent="0.25">
      <c r="B53" s="64"/>
      <c r="C53" s="53" t="s">
        <v>71</v>
      </c>
      <c r="D53" s="65">
        <f t="shared" si="18"/>
        <v>7199.2732000000005</v>
      </c>
      <c r="E53" s="65">
        <f t="shared" si="18"/>
        <v>7379.2124000000003</v>
      </c>
      <c r="F53" s="65">
        <f t="shared" si="18"/>
        <v>7563.6927099999994</v>
      </c>
      <c r="G53" s="65">
        <f t="shared" si="18"/>
        <v>7752.7850277499983</v>
      </c>
      <c r="H53" s="65">
        <f t="shared" si="18"/>
        <v>7946.6046534437482</v>
      </c>
      <c r="I53" s="66"/>
      <c r="J53" s="65">
        <f t="shared" si="17"/>
        <v>37841.567991193748</v>
      </c>
    </row>
    <row r="54" spans="2:13" ht="45" x14ac:dyDescent="0.25">
      <c r="B54" s="64"/>
      <c r="C54" s="53" t="s">
        <v>71</v>
      </c>
      <c r="D54" s="65">
        <f t="shared" si="18"/>
        <v>7199.2732000000005</v>
      </c>
      <c r="E54" s="65">
        <f t="shared" si="18"/>
        <v>7379.2124000000003</v>
      </c>
      <c r="F54" s="65">
        <f t="shared" si="18"/>
        <v>7563.6927099999994</v>
      </c>
      <c r="G54" s="65">
        <f t="shared" si="18"/>
        <v>7752.7850277499983</v>
      </c>
      <c r="H54" s="65">
        <f t="shared" si="18"/>
        <v>7946.6046534437482</v>
      </c>
      <c r="I54" s="66"/>
      <c r="J54" s="65">
        <f t="shared" si="17"/>
        <v>37841.567991193748</v>
      </c>
    </row>
    <row r="55" spans="2:13" ht="45" x14ac:dyDescent="0.25">
      <c r="B55" s="64"/>
      <c r="C55" s="53" t="s">
        <v>71</v>
      </c>
      <c r="D55" s="65">
        <f t="shared" si="18"/>
        <v>7199.2732000000005</v>
      </c>
      <c r="E55" s="65">
        <f t="shared" si="18"/>
        <v>7379.2124000000003</v>
      </c>
      <c r="F55" s="65">
        <f t="shared" si="18"/>
        <v>7563.6927099999994</v>
      </c>
      <c r="G55" s="65">
        <f t="shared" si="18"/>
        <v>7752.7850277499983</v>
      </c>
      <c r="H55" s="65">
        <f t="shared" si="18"/>
        <v>7946.6046534437482</v>
      </c>
      <c r="I55" s="62"/>
      <c r="J55" s="65">
        <f t="shared" si="17"/>
        <v>37841.567991193748</v>
      </c>
      <c r="L55" s="22"/>
    </row>
    <row r="56" spans="2:13" x14ac:dyDescent="0.25">
      <c r="B56" s="64"/>
      <c r="I56" s="62"/>
    </row>
    <row r="57" spans="2:13" x14ac:dyDescent="0.25">
      <c r="B57" s="74"/>
      <c r="C57" s="68" t="s">
        <v>18</v>
      </c>
      <c r="D57" s="69">
        <f>SUM(D45:D55)</f>
        <v>35574087.42613332</v>
      </c>
      <c r="E57" s="69">
        <f>SUM(E45:E55)</f>
        <v>35575464.332933314</v>
      </c>
      <c r="F57" s="69">
        <f>SUM(F45:F55)</f>
        <v>35443569.478227086</v>
      </c>
      <c r="G57" s="69">
        <f>SUM(G45:G55)</f>
        <v>311739.25985232159</v>
      </c>
      <c r="H57" s="69">
        <f>SUM(H45:H55)</f>
        <v>313310.58625802374</v>
      </c>
      <c r="I57" s="62"/>
      <c r="J57" s="69">
        <f>SUM(J45:J55)</f>
        <v>107218171.08340414</v>
      </c>
    </row>
    <row r="58" spans="2:13" x14ac:dyDescent="0.25">
      <c r="B58" s="74"/>
      <c r="C58" s="68" t="s">
        <v>19</v>
      </c>
      <c r="D58" s="69">
        <f>SUM(D57,D43,D37,D34,D30,D20,D13)</f>
        <v>38113708.374933317</v>
      </c>
      <c r="E58" s="69">
        <f>SUM(E57,E43,E37,E34,E30,E20,E13)</f>
        <v>37444000.324533314</v>
      </c>
      <c r="F58" s="69">
        <f>SUM(F57,F43,F37,F34,F30,F20,F13)</f>
        <v>37342313.520996317</v>
      </c>
      <c r="G58" s="69">
        <f>SUM(G57,G43,G37,G34,G30,G20,G13)</f>
        <v>2242048.7167510735</v>
      </c>
      <c r="H58" s="69">
        <f>SUM(H57,H43,H37,H34,H30,H20,H13)</f>
        <v>1776617.8976765226</v>
      </c>
      <c r="I58" s="62"/>
      <c r="J58" s="69">
        <f>SUM(D58:H58)</f>
        <v>116918688.83489054</v>
      </c>
    </row>
    <row r="59" spans="2:13" x14ac:dyDescent="0.25">
      <c r="B59" s="75"/>
      <c r="C59" s="62"/>
      <c r="D59" s="62"/>
      <c r="E59" s="62"/>
      <c r="F59" s="62"/>
      <c r="G59" s="62"/>
      <c r="H59" s="62"/>
      <c r="I59" s="62"/>
      <c r="J59" s="62" t="s">
        <v>20</v>
      </c>
    </row>
    <row r="60" spans="2:13" ht="30" x14ac:dyDescent="0.25">
      <c r="B60" s="59" t="s">
        <v>39</v>
      </c>
      <c r="C60" s="76" t="s">
        <v>39</v>
      </c>
      <c r="D60" s="63"/>
      <c r="E60" s="63"/>
      <c r="F60" s="63"/>
      <c r="G60" s="63"/>
      <c r="H60" s="63"/>
      <c r="I60" s="62"/>
      <c r="J60" s="63" t="s">
        <v>20</v>
      </c>
      <c r="L60" s="83">
        <v>0.16650000000000001</v>
      </c>
      <c r="M60" s="89" t="s">
        <v>47</v>
      </c>
    </row>
    <row r="61" spans="2:13" ht="30" x14ac:dyDescent="0.25">
      <c r="B61" s="64"/>
      <c r="C61" s="53" t="s">
        <v>49</v>
      </c>
      <c r="D61" s="85">
        <f t="shared" ref="D61:H65" si="19">D8*$L$60+D15*$L$60</f>
        <v>33156.81</v>
      </c>
      <c r="E61" s="85">
        <f t="shared" si="19"/>
        <v>35345.119500000001</v>
      </c>
      <c r="F61" s="85">
        <f t="shared" si="19"/>
        <v>37677.9755990626</v>
      </c>
      <c r="G61" s="85">
        <f t="shared" si="19"/>
        <v>40164.638738600734</v>
      </c>
      <c r="H61" s="85">
        <f t="shared" si="19"/>
        <v>42815.478255348382</v>
      </c>
      <c r="I61" s="62"/>
      <c r="J61" s="65">
        <f>SUM(D61:H61)</f>
        <v>189160.02209301171</v>
      </c>
    </row>
    <row r="62" spans="2:13" x14ac:dyDescent="0.25">
      <c r="B62" s="64"/>
      <c r="C62" s="53" t="s">
        <v>60</v>
      </c>
      <c r="D62" s="85">
        <f t="shared" si="19"/>
        <v>23973.579755999999</v>
      </c>
      <c r="E62" s="85">
        <f t="shared" si="19"/>
        <v>24572.777291999999</v>
      </c>
      <c r="F62" s="85">
        <f t="shared" si="19"/>
        <v>25187.096724299998</v>
      </c>
      <c r="G62" s="85">
        <f t="shared" si="19"/>
        <v>25816.774142407496</v>
      </c>
      <c r="H62" s="85">
        <f t="shared" si="19"/>
        <v>26462.19349596768</v>
      </c>
      <c r="I62" s="62"/>
      <c r="J62" s="65">
        <f t="shared" ref="J62:J65" si="20">SUM(D62:H62)</f>
        <v>126012.42141067516</v>
      </c>
    </row>
    <row r="63" spans="2:13" x14ac:dyDescent="0.25">
      <c r="B63" s="64"/>
      <c r="C63" s="53" t="s">
        <v>60</v>
      </c>
      <c r="D63" s="85">
        <f t="shared" si="19"/>
        <v>23973.579755999999</v>
      </c>
      <c r="E63" s="85">
        <f t="shared" si="19"/>
        <v>24572.777291999999</v>
      </c>
      <c r="F63" s="85">
        <f t="shared" si="19"/>
        <v>25187.096724299998</v>
      </c>
      <c r="G63" s="85">
        <f t="shared" si="19"/>
        <v>25816.774142407496</v>
      </c>
      <c r="H63" s="85">
        <f t="shared" si="19"/>
        <v>26462.19349596768</v>
      </c>
      <c r="I63" s="62"/>
      <c r="J63" s="65">
        <f t="shared" si="20"/>
        <v>126012.42141067516</v>
      </c>
    </row>
    <row r="64" spans="2:13" x14ac:dyDescent="0.25">
      <c r="B64" s="64"/>
      <c r="C64" s="53" t="s">
        <v>60</v>
      </c>
      <c r="D64" s="85">
        <f t="shared" si="19"/>
        <v>23973.579755999999</v>
      </c>
      <c r="E64" s="85">
        <f t="shared" si="19"/>
        <v>24572.777291999999</v>
      </c>
      <c r="F64" s="85">
        <f t="shared" si="19"/>
        <v>25187.096724299998</v>
      </c>
      <c r="G64" s="85">
        <f t="shared" si="19"/>
        <v>25816.774142407496</v>
      </c>
      <c r="H64" s="85">
        <f t="shared" si="19"/>
        <v>26462.19349596768</v>
      </c>
      <c r="I64" s="62"/>
      <c r="J64" s="65">
        <f t="shared" si="20"/>
        <v>126012.42141067516</v>
      </c>
    </row>
    <row r="65" spans="2:10" x14ac:dyDescent="0.25">
      <c r="B65" s="64"/>
      <c r="C65" s="53" t="s">
        <v>60</v>
      </c>
      <c r="D65" s="85">
        <f t="shared" si="19"/>
        <v>23973.579755999999</v>
      </c>
      <c r="E65" s="85">
        <f t="shared" si="19"/>
        <v>24572.777291999999</v>
      </c>
      <c r="F65" s="85">
        <f t="shared" si="19"/>
        <v>25187.096724299998</v>
      </c>
      <c r="G65" s="85">
        <f t="shared" si="19"/>
        <v>25816.774142407496</v>
      </c>
      <c r="H65" s="85">
        <f t="shared" si="19"/>
        <v>26462.19349596768</v>
      </c>
      <c r="I65" s="62"/>
      <c r="J65" s="65">
        <f t="shared" si="20"/>
        <v>126012.42141067516</v>
      </c>
    </row>
    <row r="66" spans="2:10" x14ac:dyDescent="0.25">
      <c r="B66" s="64"/>
      <c r="C66" s="53"/>
      <c r="D66" s="85"/>
      <c r="E66" s="85"/>
      <c r="F66" s="85"/>
      <c r="G66" s="85"/>
      <c r="H66" s="85"/>
      <c r="I66" s="62"/>
      <c r="J66" s="65">
        <f t="shared" ref="J66" si="21">SUM(D66:H66)</f>
        <v>0</v>
      </c>
    </row>
    <row r="67" spans="2:10" x14ac:dyDescent="0.25">
      <c r="B67" s="74"/>
      <c r="C67" s="68" t="s">
        <v>21</v>
      </c>
      <c r="D67" s="69">
        <f>SUM(D61:D66)</f>
        <v>129051.12902399999</v>
      </c>
      <c r="E67" s="69">
        <f>SUM(E61:E66)</f>
        <v>133636.228668</v>
      </c>
      <c r="F67" s="69">
        <f>SUM(F61:F66)</f>
        <v>138426.36249626259</v>
      </c>
      <c r="G67" s="69">
        <f>SUM(G61:G66)</f>
        <v>143431.73530823071</v>
      </c>
      <c r="H67" s="69">
        <f>SUM(H61:H66)</f>
        <v>148664.25223921912</v>
      </c>
      <c r="I67" s="62"/>
      <c r="J67" s="69">
        <f>SUM(J61:J66)</f>
        <v>693209.70773571241</v>
      </c>
    </row>
    <row r="68" spans="2:10" ht="15.75" thickBot="1" x14ac:dyDescent="0.3">
      <c r="B68" s="75"/>
      <c r="C68" s="62"/>
      <c r="D68" s="62"/>
      <c r="E68" s="62"/>
      <c r="F68" s="62"/>
      <c r="G68" s="62"/>
      <c r="H68" s="62"/>
      <c r="I68" s="62"/>
      <c r="J68" s="62" t="s">
        <v>20</v>
      </c>
    </row>
    <row r="69" spans="2:10" s="1" customFormat="1" ht="30.75" thickBot="1" x14ac:dyDescent="0.3">
      <c r="B69" s="77" t="s">
        <v>22</v>
      </c>
      <c r="C69" s="77"/>
      <c r="D69" s="78">
        <f>SUM(D67,D58)</f>
        <v>38242759.503957316</v>
      </c>
      <c r="E69" s="78">
        <f>SUM(E67,E58)</f>
        <v>37577636.55320131</v>
      </c>
      <c r="F69" s="78">
        <f>SUM(F67,F58)</f>
        <v>37480739.883492582</v>
      </c>
      <c r="G69" s="78">
        <f>SUM(G67,G58)</f>
        <v>2385480.4520593043</v>
      </c>
      <c r="H69" s="78">
        <f>SUM(H67,H58)</f>
        <v>1925282.1499157418</v>
      </c>
      <c r="I69" s="62"/>
      <c r="J69" s="78">
        <f>SUM(J67,J58)</f>
        <v>117611898.54262626</v>
      </c>
    </row>
    <row r="70" spans="2:10" x14ac:dyDescent="0.25">
      <c r="B70" s="6"/>
    </row>
    <row r="71" spans="2:10" x14ac:dyDescent="0.25">
      <c r="B71" s="6"/>
    </row>
    <row r="72" spans="2:10" x14ac:dyDescent="0.25">
      <c r="B72" s="6"/>
    </row>
    <row r="73" spans="2:10" x14ac:dyDescent="0.25">
      <c r="B73" s="6"/>
    </row>
    <row r="74" spans="2:10" x14ac:dyDescent="0.25">
      <c r="B74" s="6"/>
    </row>
    <row r="75" spans="2:10" x14ac:dyDescent="0.25">
      <c r="B75" s="6"/>
    </row>
    <row r="76" spans="2:10" x14ac:dyDescent="0.25">
      <c r="B76" s="6"/>
    </row>
    <row r="77" spans="2:10" x14ac:dyDescent="0.25">
      <c r="B77" s="6"/>
    </row>
    <row r="78" spans="2:10" x14ac:dyDescent="0.25">
      <c r="B78" s="6"/>
    </row>
    <row r="79" spans="2:10" x14ac:dyDescent="0.25">
      <c r="B79" s="6"/>
    </row>
    <row r="80" spans="2:10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</sheetData>
  <pageMargins left="0.7" right="0.7" top="0.75" bottom="0.75" header="0.3" footer="0.3"/>
  <pageSetup scale="97" fitToHeight="0" orientation="landscape" r:id="rId1"/>
  <ignoredErrors>
    <ignoredError sqref="J23:J29 J39:J41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1"/>
  <sheetViews>
    <sheetView showGridLines="0" zoomScale="85" zoomScaleNormal="85" workbookViewId="0">
      <pane xSplit="3" ySplit="6" topLeftCell="D42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L16" sqref="L16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7.285156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18" t="s">
        <v>29</v>
      </c>
    </row>
    <row r="3" spans="2:39" x14ac:dyDescent="0.25">
      <c r="B3" s="5" t="s">
        <v>40</v>
      </c>
    </row>
    <row r="4" spans="2:39" x14ac:dyDescent="0.25">
      <c r="B4" s="5"/>
    </row>
    <row r="5" spans="2:39" ht="18.75" x14ac:dyDescent="0.3">
      <c r="B5" s="23" t="s">
        <v>2</v>
      </c>
      <c r="C5" s="24"/>
      <c r="D5" s="24"/>
      <c r="E5" s="24"/>
      <c r="F5" s="24"/>
      <c r="G5" s="24"/>
      <c r="H5" s="24"/>
      <c r="I5" s="24"/>
      <c r="J5" s="25"/>
    </row>
    <row r="6" spans="2:39" ht="30" x14ac:dyDescent="0.25">
      <c r="B6" s="26" t="s">
        <v>3</v>
      </c>
      <c r="C6" s="26" t="s">
        <v>4</v>
      </c>
      <c r="D6" s="26" t="s">
        <v>5</v>
      </c>
      <c r="E6" s="27" t="s">
        <v>6</v>
      </c>
      <c r="F6" s="27" t="s">
        <v>7</v>
      </c>
      <c r="G6" s="27" t="s">
        <v>8</v>
      </c>
      <c r="H6" s="28" t="s">
        <v>9</v>
      </c>
      <c r="I6" s="29"/>
      <c r="J6" s="30" t="s">
        <v>10</v>
      </c>
    </row>
    <row r="7" spans="2:39" s="5" customFormat="1" x14ac:dyDescent="0.25">
      <c r="B7" s="14" t="s">
        <v>11</v>
      </c>
      <c r="C7" s="17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15"/>
      <c r="C8" s="53" t="s">
        <v>68</v>
      </c>
      <c r="D8" s="65">
        <v>121459</v>
      </c>
      <c r="E8" s="65">
        <v>124495</v>
      </c>
      <c r="F8" s="65">
        <v>127608</v>
      </c>
      <c r="G8" s="65">
        <v>130798</v>
      </c>
      <c r="H8" s="65">
        <v>134068</v>
      </c>
      <c r="I8" s="62"/>
      <c r="J8" s="65">
        <f t="shared" ref="J8" si="0">SUM(D8:H8)</f>
        <v>638428</v>
      </c>
    </row>
    <row r="9" spans="2:39" ht="14.45" customHeight="1" x14ac:dyDescent="0.25">
      <c r="B9" s="15"/>
      <c r="C9" s="53"/>
      <c r="D9" s="65"/>
      <c r="E9" s="65"/>
      <c r="F9" s="65"/>
      <c r="G9" s="65"/>
      <c r="H9" s="65"/>
      <c r="I9" s="62"/>
      <c r="J9" s="65">
        <f>SUM(D9:H9)</f>
        <v>0</v>
      </c>
    </row>
    <row r="10" spans="2:39" x14ac:dyDescent="0.25">
      <c r="B10" s="15"/>
      <c r="C10" s="68" t="s">
        <v>12</v>
      </c>
      <c r="D10" s="69">
        <f t="shared" ref="D10:J10" si="1">SUM(D8:D9)</f>
        <v>121459</v>
      </c>
      <c r="E10" s="69">
        <f t="shared" si="1"/>
        <v>124495</v>
      </c>
      <c r="F10" s="69">
        <f t="shared" si="1"/>
        <v>127608</v>
      </c>
      <c r="G10" s="69">
        <f t="shared" si="1"/>
        <v>130798</v>
      </c>
      <c r="H10" s="69">
        <f t="shared" si="1"/>
        <v>134068</v>
      </c>
      <c r="I10" s="62">
        <f t="shared" si="1"/>
        <v>0</v>
      </c>
      <c r="J10" s="69">
        <f t="shared" si="1"/>
        <v>638428</v>
      </c>
    </row>
    <row r="11" spans="2:39" x14ac:dyDescent="0.25">
      <c r="B11" s="15"/>
      <c r="C11" s="70" t="s">
        <v>32</v>
      </c>
      <c r="D11" s="71" t="s">
        <v>31</v>
      </c>
      <c r="E11" s="71"/>
      <c r="F11" s="61"/>
      <c r="G11" s="61"/>
      <c r="H11" s="61"/>
      <c r="I11" s="62"/>
      <c r="J11" s="63" t="s">
        <v>31</v>
      </c>
    </row>
    <row r="12" spans="2:39" ht="30" x14ac:dyDescent="0.25">
      <c r="B12" s="15"/>
      <c r="C12" s="53" t="s">
        <v>68</v>
      </c>
      <c r="D12" s="81">
        <v>51134</v>
      </c>
      <c r="E12" s="93">
        <v>52413</v>
      </c>
      <c r="F12" s="65">
        <v>53723</v>
      </c>
      <c r="G12" s="65">
        <v>55066</v>
      </c>
      <c r="H12" s="65">
        <v>56443</v>
      </c>
      <c r="I12" s="62"/>
      <c r="J12" s="65">
        <f>SUM(D12:H12)</f>
        <v>268779</v>
      </c>
    </row>
    <row r="13" spans="2:39" x14ac:dyDescent="0.25">
      <c r="B13" s="15"/>
      <c r="C13" s="53"/>
      <c r="D13" s="81"/>
      <c r="E13" s="82"/>
      <c r="F13" s="65"/>
      <c r="G13" s="65"/>
      <c r="H13" s="67"/>
      <c r="I13" s="62"/>
      <c r="J13" s="65">
        <f t="shared" ref="J13" si="2">SUM(D13:H13)</f>
        <v>0</v>
      </c>
    </row>
    <row r="14" spans="2:39" x14ac:dyDescent="0.25">
      <c r="B14" s="15"/>
      <c r="C14" s="68" t="s">
        <v>13</v>
      </c>
      <c r="D14" s="69">
        <f t="shared" ref="D14:J14" si="3">SUM(D12:D13)</f>
        <v>51134</v>
      </c>
      <c r="E14" s="69">
        <f t="shared" si="3"/>
        <v>52413</v>
      </c>
      <c r="F14" s="69">
        <f t="shared" si="3"/>
        <v>53723</v>
      </c>
      <c r="G14" s="69">
        <f t="shared" si="3"/>
        <v>55066</v>
      </c>
      <c r="H14" s="69">
        <f t="shared" si="3"/>
        <v>56443</v>
      </c>
      <c r="I14" s="62">
        <f t="shared" si="3"/>
        <v>0</v>
      </c>
      <c r="J14" s="69">
        <f t="shared" si="3"/>
        <v>268779</v>
      </c>
      <c r="L14" s="22"/>
    </row>
    <row r="15" spans="2:39" x14ac:dyDescent="0.25">
      <c r="B15" s="15"/>
      <c r="C15" s="70" t="s">
        <v>33</v>
      </c>
      <c r="D15" s="71" t="s">
        <v>31</v>
      </c>
      <c r="E15" s="61"/>
      <c r="F15" s="61"/>
      <c r="G15" s="61"/>
      <c r="H15" s="61"/>
      <c r="I15" s="62"/>
      <c r="J15" s="63" t="s">
        <v>31</v>
      </c>
    </row>
    <row r="16" spans="2:39" ht="30" x14ac:dyDescent="0.25">
      <c r="B16" s="15"/>
      <c r="C16" s="88" t="s">
        <v>59</v>
      </c>
      <c r="D16" s="81">
        <f>(12*(400*0.44))</f>
        <v>2112</v>
      </c>
      <c r="E16" s="81">
        <f t="shared" ref="E16:H16" si="4">(12*(400*0.44))</f>
        <v>2112</v>
      </c>
      <c r="F16" s="81">
        <f t="shared" si="4"/>
        <v>2112</v>
      </c>
      <c r="G16" s="81">
        <f t="shared" si="4"/>
        <v>2112</v>
      </c>
      <c r="H16" s="81">
        <f t="shared" si="4"/>
        <v>2112</v>
      </c>
      <c r="I16" s="62"/>
      <c r="J16" s="65">
        <f>SUM(D16:H16)</f>
        <v>10560</v>
      </c>
    </row>
    <row r="17" spans="2:10" ht="30" x14ac:dyDescent="0.25">
      <c r="B17" s="15"/>
      <c r="C17" s="88" t="s">
        <v>51</v>
      </c>
      <c r="D17" s="65">
        <f>(85*12)</f>
        <v>1020</v>
      </c>
      <c r="E17" s="65">
        <f t="shared" ref="E17:H17" si="5">(85*12)</f>
        <v>1020</v>
      </c>
      <c r="F17" s="65">
        <f t="shared" si="5"/>
        <v>1020</v>
      </c>
      <c r="G17" s="65">
        <f t="shared" si="5"/>
        <v>1020</v>
      </c>
      <c r="H17" s="65">
        <f t="shared" si="5"/>
        <v>1020</v>
      </c>
      <c r="I17" s="62"/>
      <c r="J17" s="65">
        <f>SUM(D17:H17)</f>
        <v>5100</v>
      </c>
    </row>
    <row r="18" spans="2:10" x14ac:dyDescent="0.25">
      <c r="B18" s="15"/>
      <c r="C18" s="88" t="s">
        <v>57</v>
      </c>
      <c r="D18" s="65">
        <f>850</f>
        <v>850</v>
      </c>
      <c r="E18" s="65">
        <f>850</f>
        <v>850</v>
      </c>
      <c r="F18" s="65">
        <f>850</f>
        <v>850</v>
      </c>
      <c r="G18" s="65">
        <f>850</f>
        <v>850</v>
      </c>
      <c r="H18" s="65">
        <f>850</f>
        <v>850</v>
      </c>
      <c r="I18" s="66">
        <v>2000</v>
      </c>
      <c r="J18" s="65">
        <f>SUM(D18:H18)</f>
        <v>4250</v>
      </c>
    </row>
    <row r="19" spans="2:10" ht="30" x14ac:dyDescent="0.25">
      <c r="B19" s="15"/>
      <c r="C19" s="88" t="s">
        <v>58</v>
      </c>
      <c r="D19" s="65">
        <f>100*2</f>
        <v>200</v>
      </c>
      <c r="E19" s="65">
        <f t="shared" ref="E19:H19" si="6">100*2</f>
        <v>200</v>
      </c>
      <c r="F19" s="65">
        <f t="shared" si="6"/>
        <v>200</v>
      </c>
      <c r="G19" s="65">
        <f t="shared" si="6"/>
        <v>200</v>
      </c>
      <c r="H19" s="65">
        <f t="shared" si="6"/>
        <v>200</v>
      </c>
      <c r="I19" s="66">
        <v>250</v>
      </c>
      <c r="J19" s="65">
        <f t="shared" ref="J19:J24" si="7">SUM(D19:H19)</f>
        <v>1000</v>
      </c>
    </row>
    <row r="20" spans="2:10" ht="30" x14ac:dyDescent="0.25">
      <c r="B20" s="15"/>
      <c r="C20" s="88" t="s">
        <v>67</v>
      </c>
      <c r="D20" s="65">
        <f>(59*3)+(2*59*12)</f>
        <v>1593</v>
      </c>
      <c r="E20" s="65">
        <f t="shared" ref="E20:H20" si="8">(59*3)+(2*59*12)</f>
        <v>1593</v>
      </c>
      <c r="F20" s="65">
        <f t="shared" si="8"/>
        <v>1593</v>
      </c>
      <c r="G20" s="65">
        <f t="shared" si="8"/>
        <v>1593</v>
      </c>
      <c r="H20" s="65">
        <f t="shared" si="8"/>
        <v>1593</v>
      </c>
      <c r="I20" s="66">
        <v>2250</v>
      </c>
      <c r="J20" s="65">
        <f t="shared" si="7"/>
        <v>7965</v>
      </c>
    </row>
    <row r="21" spans="2:10" x14ac:dyDescent="0.25">
      <c r="B21" s="15"/>
      <c r="C21" s="72"/>
      <c r="D21" s="65"/>
      <c r="E21" s="65"/>
      <c r="F21" s="65"/>
      <c r="G21" s="65"/>
      <c r="H21" s="65"/>
      <c r="I21" s="66">
        <v>1243</v>
      </c>
      <c r="J21" s="65">
        <f t="shared" si="7"/>
        <v>0</v>
      </c>
    </row>
    <row r="22" spans="2:10" x14ac:dyDescent="0.25">
      <c r="B22" s="15"/>
      <c r="C22" s="72"/>
      <c r="D22" s="65"/>
      <c r="E22" s="65"/>
      <c r="F22" s="65"/>
      <c r="G22" s="65"/>
      <c r="H22" s="65"/>
      <c r="I22" s="66">
        <v>225</v>
      </c>
      <c r="J22" s="65">
        <f t="shared" si="7"/>
        <v>0</v>
      </c>
    </row>
    <row r="23" spans="2:10" x14ac:dyDescent="0.25">
      <c r="B23" s="15"/>
      <c r="C23" s="72"/>
      <c r="D23" s="65"/>
      <c r="E23" s="65"/>
      <c r="F23" s="65"/>
      <c r="G23" s="65"/>
      <c r="H23" s="65"/>
      <c r="I23" s="66">
        <v>400</v>
      </c>
      <c r="J23" s="65">
        <f t="shared" si="7"/>
        <v>0</v>
      </c>
    </row>
    <row r="24" spans="2:10" x14ac:dyDescent="0.25">
      <c r="B24" s="15"/>
      <c r="C24" s="53"/>
      <c r="D24" s="65"/>
      <c r="E24" s="65"/>
      <c r="F24" s="65"/>
      <c r="G24" s="65"/>
      <c r="H24" s="65"/>
      <c r="I24" s="66">
        <v>1638</v>
      </c>
      <c r="J24" s="65">
        <f t="shared" si="7"/>
        <v>0</v>
      </c>
    </row>
    <row r="25" spans="2:10" x14ac:dyDescent="0.25">
      <c r="B25" s="15"/>
      <c r="C25" s="68" t="s">
        <v>14</v>
      </c>
      <c r="D25" s="69">
        <f>SUM(D16:D24)</f>
        <v>5775</v>
      </c>
      <c r="E25" s="69">
        <f t="shared" ref="E25:H25" si="9">SUM(E16:E24)</f>
        <v>5775</v>
      </c>
      <c r="F25" s="69">
        <f t="shared" si="9"/>
        <v>5775</v>
      </c>
      <c r="G25" s="69">
        <f t="shared" si="9"/>
        <v>5775</v>
      </c>
      <c r="H25" s="69">
        <f t="shared" si="9"/>
        <v>5775</v>
      </c>
      <c r="I25" s="62"/>
      <c r="J25" s="69">
        <f>SUM(J16:J24)</f>
        <v>28875</v>
      </c>
    </row>
    <row r="26" spans="2:10" x14ac:dyDescent="0.25">
      <c r="B26" s="15"/>
      <c r="C26" s="70" t="s">
        <v>34</v>
      </c>
      <c r="D26" s="65"/>
      <c r="E26" s="61"/>
      <c r="F26" s="61"/>
      <c r="G26" s="61"/>
      <c r="H26" s="61"/>
      <c r="I26" s="62"/>
      <c r="J26" s="65" t="s">
        <v>20</v>
      </c>
    </row>
    <row r="27" spans="2:10" x14ac:dyDescent="0.25">
      <c r="B27" s="15"/>
      <c r="C27" s="53"/>
      <c r="D27" s="65"/>
      <c r="E27" s="61"/>
      <c r="F27" s="61"/>
      <c r="G27" s="61"/>
      <c r="H27" s="61"/>
      <c r="I27" s="62"/>
      <c r="J27" s="65">
        <f>SUM(D27:H27)</f>
        <v>0</v>
      </c>
    </row>
    <row r="28" spans="2:10" x14ac:dyDescent="0.25">
      <c r="B28" s="15" t="s">
        <v>35</v>
      </c>
      <c r="C28" s="71" t="s">
        <v>35</v>
      </c>
      <c r="D28" s="71" t="s">
        <v>31</v>
      </c>
      <c r="E28" s="61"/>
      <c r="F28" s="61"/>
      <c r="G28" s="61"/>
      <c r="H28" s="61"/>
      <c r="I28" s="62"/>
      <c r="J28" s="65">
        <f t="shared" ref="J28:J47" si="10">SUM(D28:H28)</f>
        <v>0</v>
      </c>
    </row>
    <row r="29" spans="2:10" x14ac:dyDescent="0.25">
      <c r="B29" s="15"/>
      <c r="C29" s="68" t="s">
        <v>15</v>
      </c>
      <c r="D29" s="73">
        <f>SUM(D27:D28)</f>
        <v>0</v>
      </c>
      <c r="E29" s="73">
        <f t="shared" ref="E29:H29" si="11">SUM(E27:E28)</f>
        <v>0</v>
      </c>
      <c r="F29" s="73">
        <f t="shared" si="11"/>
        <v>0</v>
      </c>
      <c r="G29" s="73">
        <f t="shared" si="11"/>
        <v>0</v>
      </c>
      <c r="H29" s="73">
        <f t="shared" si="11"/>
        <v>0</v>
      </c>
      <c r="I29" s="62"/>
      <c r="J29" s="69">
        <f>SUM(J27:J28)</f>
        <v>0</v>
      </c>
    </row>
    <row r="30" spans="2:10" x14ac:dyDescent="0.25">
      <c r="B30" s="15"/>
      <c r="C30" s="70" t="s">
        <v>36</v>
      </c>
      <c r="D30" s="71" t="s">
        <v>31</v>
      </c>
      <c r="E30" s="61"/>
      <c r="F30" s="61"/>
      <c r="G30" s="61"/>
      <c r="H30" s="61"/>
      <c r="I30" s="62"/>
      <c r="J30" s="65"/>
    </row>
    <row r="31" spans="2:10" x14ac:dyDescent="0.25">
      <c r="B31" s="15"/>
      <c r="C31" s="11"/>
      <c r="D31" s="46"/>
      <c r="E31" s="92"/>
      <c r="F31" s="11"/>
      <c r="G31" s="11"/>
      <c r="H31" s="92"/>
      <c r="J31" s="11"/>
    </row>
    <row r="32" spans="2:10" x14ac:dyDescent="0.25">
      <c r="B32" s="15"/>
      <c r="C32" s="53"/>
      <c r="D32" s="65"/>
      <c r="E32" s="67"/>
      <c r="F32" s="67"/>
      <c r="G32" s="67"/>
      <c r="H32" s="67"/>
      <c r="I32" s="62"/>
      <c r="J32" s="65">
        <f t="shared" si="10"/>
        <v>0</v>
      </c>
    </row>
    <row r="33" spans="2:13" x14ac:dyDescent="0.25">
      <c r="B33" s="15"/>
      <c r="C33" s="68" t="s">
        <v>16</v>
      </c>
      <c r="D33" s="69">
        <f>SUM(D31:D32)</f>
        <v>0</v>
      </c>
      <c r="E33" s="69">
        <f t="shared" ref="E33:H33" si="12">SUM(E31:E32)</f>
        <v>0</v>
      </c>
      <c r="F33" s="69">
        <f t="shared" si="12"/>
        <v>0</v>
      </c>
      <c r="G33" s="69">
        <f t="shared" si="12"/>
        <v>0</v>
      </c>
      <c r="H33" s="69">
        <f t="shared" si="12"/>
        <v>0</v>
      </c>
      <c r="I33" s="62"/>
      <c r="J33" s="69">
        <f>SUM(J31:J32)</f>
        <v>0</v>
      </c>
    </row>
    <row r="34" spans="2:13" x14ac:dyDescent="0.25">
      <c r="B34" s="15"/>
      <c r="C34" s="70" t="s">
        <v>37</v>
      </c>
      <c r="D34" s="71" t="s">
        <v>31</v>
      </c>
      <c r="E34" s="61"/>
      <c r="F34" s="61"/>
      <c r="G34" s="61"/>
      <c r="H34" s="61"/>
      <c r="I34" s="62"/>
      <c r="J34" s="65"/>
    </row>
    <row r="35" spans="2:13" ht="30" x14ac:dyDescent="0.25">
      <c r="B35" s="15"/>
      <c r="C35" s="53" t="s">
        <v>74</v>
      </c>
      <c r="D35" s="65">
        <v>200000</v>
      </c>
      <c r="E35" s="65"/>
      <c r="F35" s="65"/>
      <c r="G35" s="65"/>
      <c r="H35" s="65"/>
      <c r="I35" s="66"/>
      <c r="J35" s="65">
        <f t="shared" si="10"/>
        <v>200000</v>
      </c>
    </row>
    <row r="36" spans="2:13" x14ac:dyDescent="0.25">
      <c r="B36" s="15"/>
      <c r="C36" s="71"/>
      <c r="D36" s="65"/>
      <c r="E36" s="65"/>
      <c r="F36" s="65"/>
      <c r="G36" s="65"/>
      <c r="H36" s="65"/>
      <c r="I36" s="66"/>
      <c r="J36" s="65">
        <f t="shared" si="10"/>
        <v>0</v>
      </c>
    </row>
    <row r="37" spans="2:13" x14ac:dyDescent="0.25">
      <c r="B37" s="15"/>
      <c r="C37" s="71"/>
      <c r="D37" s="65"/>
      <c r="E37" s="65"/>
      <c r="F37" s="65"/>
      <c r="G37" s="65"/>
      <c r="H37" s="65"/>
      <c r="I37" s="66"/>
      <c r="J37" s="65">
        <f t="shared" si="10"/>
        <v>0</v>
      </c>
    </row>
    <row r="38" spans="2:13" x14ac:dyDescent="0.25">
      <c r="B38" s="15"/>
      <c r="C38" s="79"/>
      <c r="D38" s="65"/>
      <c r="E38" s="65"/>
      <c r="F38" s="65"/>
      <c r="G38" s="65"/>
      <c r="H38" s="65"/>
      <c r="I38" s="66"/>
      <c r="J38" s="65">
        <f t="shared" si="10"/>
        <v>0</v>
      </c>
    </row>
    <row r="39" spans="2:13" x14ac:dyDescent="0.25">
      <c r="B39" s="15"/>
      <c r="C39" s="53"/>
      <c r="D39" s="65"/>
      <c r="E39" s="67"/>
      <c r="F39" s="67"/>
      <c r="G39" s="67"/>
      <c r="H39" s="67"/>
      <c r="I39" s="62"/>
      <c r="J39" s="65">
        <f t="shared" si="10"/>
        <v>0</v>
      </c>
    </row>
    <row r="40" spans="2:13" x14ac:dyDescent="0.25">
      <c r="B40" s="15"/>
      <c r="C40" s="68" t="s">
        <v>17</v>
      </c>
      <c r="D40" s="69">
        <f>SUM(D35:D39)</f>
        <v>200000</v>
      </c>
      <c r="E40" s="69">
        <f t="shared" ref="E40:H40" si="13">SUM(E35:E39)</f>
        <v>0</v>
      </c>
      <c r="F40" s="69">
        <f t="shared" si="13"/>
        <v>0</v>
      </c>
      <c r="G40" s="69">
        <f t="shared" si="13"/>
        <v>0</v>
      </c>
      <c r="H40" s="69">
        <f t="shared" si="13"/>
        <v>0</v>
      </c>
      <c r="I40" s="62"/>
      <c r="J40" s="69">
        <f>SUM(J35:J39)</f>
        <v>200000</v>
      </c>
    </row>
    <row r="41" spans="2:13" x14ac:dyDescent="0.25">
      <c r="B41" s="15"/>
      <c r="C41" s="70" t="s">
        <v>38</v>
      </c>
      <c r="D41" s="71" t="s">
        <v>31</v>
      </c>
      <c r="E41" s="61"/>
      <c r="F41" s="61"/>
      <c r="G41" s="61"/>
      <c r="H41" s="61"/>
      <c r="I41" s="62"/>
      <c r="J41" s="65"/>
    </row>
    <row r="42" spans="2:13" ht="30" x14ac:dyDescent="0.25">
      <c r="B42" s="15"/>
      <c r="C42" s="53" t="s">
        <v>46</v>
      </c>
      <c r="D42" s="65">
        <v>5000000</v>
      </c>
      <c r="E42" s="65">
        <v>5000000</v>
      </c>
      <c r="F42" s="65"/>
      <c r="G42" s="65"/>
      <c r="H42" s="65"/>
      <c r="I42" s="66">
        <v>375000</v>
      </c>
      <c r="J42" s="65">
        <f t="shared" si="10"/>
        <v>10000000</v>
      </c>
    </row>
    <row r="43" spans="2:13" ht="45" x14ac:dyDescent="0.25">
      <c r="B43" s="15"/>
      <c r="C43" s="53" t="s">
        <v>44</v>
      </c>
      <c r="D43" s="65">
        <v>50000</v>
      </c>
      <c r="E43" s="65">
        <v>25000</v>
      </c>
      <c r="F43" s="65">
        <v>25000</v>
      </c>
      <c r="G43" s="65">
        <v>25000</v>
      </c>
      <c r="H43" s="65">
        <v>25000</v>
      </c>
      <c r="I43" s="66">
        <v>781250</v>
      </c>
      <c r="J43" s="65">
        <f t="shared" si="10"/>
        <v>150000</v>
      </c>
    </row>
    <row r="44" spans="2:13" ht="30" x14ac:dyDescent="0.25">
      <c r="B44" s="15"/>
      <c r="C44" s="53" t="s">
        <v>55</v>
      </c>
      <c r="D44" s="65">
        <v>1000</v>
      </c>
      <c r="E44" s="65">
        <v>1000</v>
      </c>
      <c r="F44" s="65">
        <v>1000</v>
      </c>
      <c r="G44" s="65">
        <v>1000</v>
      </c>
      <c r="H44" s="65">
        <v>1000</v>
      </c>
      <c r="I44" s="66">
        <v>2083335</v>
      </c>
      <c r="J44" s="65">
        <f t="shared" si="10"/>
        <v>5000</v>
      </c>
    </row>
    <row r="45" spans="2:13" x14ac:dyDescent="0.25">
      <c r="B45" s="15"/>
      <c r="C45" s="53" t="s">
        <v>53</v>
      </c>
      <c r="D45" s="65">
        <v>1000</v>
      </c>
      <c r="E45" s="65">
        <v>1000</v>
      </c>
      <c r="F45" s="65">
        <v>1000</v>
      </c>
      <c r="G45" s="65">
        <v>1000</v>
      </c>
      <c r="H45" s="65">
        <v>1000</v>
      </c>
      <c r="I45" s="62"/>
      <c r="J45" s="65">
        <f t="shared" si="10"/>
        <v>5000</v>
      </c>
    </row>
    <row r="46" spans="2:13" ht="60" x14ac:dyDescent="0.25">
      <c r="B46" s="15"/>
      <c r="C46" s="53" t="s">
        <v>69</v>
      </c>
      <c r="D46" s="65">
        <f>D8*$L$46+D12*$L$46</f>
        <v>8629.6500000000015</v>
      </c>
      <c r="E46" s="65">
        <f>E8*$L$46+E12*$L$46</f>
        <v>8845.4</v>
      </c>
      <c r="F46" s="65">
        <f>F8*$L$46+F12*$L$46</f>
        <v>9066.5500000000011</v>
      </c>
      <c r="G46" s="65">
        <f>G8*$L$46+G12*$L$46</f>
        <v>9293.2000000000007</v>
      </c>
      <c r="H46" s="65">
        <f>H8*$L$46+H12*$L$46</f>
        <v>9525.5500000000011</v>
      </c>
      <c r="I46" s="66">
        <v>5000</v>
      </c>
      <c r="J46" s="65">
        <f>SUM(D46:H46)</f>
        <v>45360.350000000006</v>
      </c>
      <c r="L46" s="83">
        <v>0.05</v>
      </c>
      <c r="M46" t="s">
        <v>50</v>
      </c>
    </row>
    <row r="47" spans="2:13" x14ac:dyDescent="0.25">
      <c r="B47" s="15"/>
      <c r="C47" s="61"/>
      <c r="D47" s="65"/>
      <c r="E47" s="67"/>
      <c r="F47" s="67"/>
      <c r="G47" s="67"/>
      <c r="H47" s="67"/>
      <c r="I47" s="62"/>
      <c r="J47" s="65">
        <f t="shared" si="10"/>
        <v>0</v>
      </c>
    </row>
    <row r="48" spans="2:13" x14ac:dyDescent="0.25">
      <c r="B48" s="16"/>
      <c r="C48" s="68" t="s">
        <v>18</v>
      </c>
      <c r="D48" s="69">
        <f>SUM(D42:D47)</f>
        <v>5060629.6500000004</v>
      </c>
      <c r="E48" s="69">
        <f t="shared" ref="E48:H48" si="14">SUM(E42:E47)</f>
        <v>5035845.4000000004</v>
      </c>
      <c r="F48" s="69">
        <f t="shared" si="14"/>
        <v>36066.550000000003</v>
      </c>
      <c r="G48" s="69">
        <f t="shared" si="14"/>
        <v>36293.199999999997</v>
      </c>
      <c r="H48" s="69">
        <f t="shared" si="14"/>
        <v>36525.550000000003</v>
      </c>
      <c r="I48" s="62"/>
      <c r="J48" s="69">
        <f>SUM(J42:J47)</f>
        <v>10205360.35</v>
      </c>
    </row>
    <row r="49" spans="2:13" x14ac:dyDescent="0.25">
      <c r="B49" s="16"/>
      <c r="C49" s="68" t="s">
        <v>19</v>
      </c>
      <c r="D49" s="69">
        <f>SUM(D48,D40,D33,D29,D25,D14,D10)</f>
        <v>5438997.6500000004</v>
      </c>
      <c r="E49" s="69">
        <f>SUM(E48,E40,E33,E29,E25,E14,E10)</f>
        <v>5218528.4000000004</v>
      </c>
      <c r="F49" s="69">
        <f>SUM(F48,F40,F33,F29,F25,F14,F10)</f>
        <v>223172.55</v>
      </c>
      <c r="G49" s="69">
        <f>SUM(G48,G40,G33,G29,G25,G14,G10)</f>
        <v>227932.2</v>
      </c>
      <c r="H49" s="69">
        <f>SUM(H48,H40,H33,H29,H25,H14,H10)</f>
        <v>232811.55</v>
      </c>
      <c r="I49" s="62"/>
      <c r="J49" s="69">
        <f>SUM(D49:H49)</f>
        <v>11341442.350000001</v>
      </c>
    </row>
    <row r="50" spans="2:13" x14ac:dyDescent="0.25">
      <c r="B50" s="6"/>
      <c r="C50" s="62"/>
      <c r="D50" s="62"/>
      <c r="E50" s="62"/>
      <c r="F50" s="62"/>
      <c r="G50" s="62"/>
      <c r="H50" s="62"/>
      <c r="I50" s="62"/>
      <c r="J50" s="62" t="s">
        <v>20</v>
      </c>
    </row>
    <row r="51" spans="2:13" x14ac:dyDescent="0.25">
      <c r="B51" s="14" t="s">
        <v>39</v>
      </c>
      <c r="C51" s="76" t="s">
        <v>39</v>
      </c>
      <c r="D51" s="63"/>
      <c r="E51" s="63"/>
      <c r="F51" s="63"/>
      <c r="G51" s="63"/>
      <c r="H51" s="63"/>
      <c r="I51" s="62"/>
      <c r="J51" s="63" t="s">
        <v>20</v>
      </c>
      <c r="L51" s="83">
        <v>0.16650000000000001</v>
      </c>
      <c r="M51" s="84" t="s">
        <v>47</v>
      </c>
    </row>
    <row r="52" spans="2:13" ht="30" x14ac:dyDescent="0.25">
      <c r="B52" s="15"/>
      <c r="C52" s="53" t="s">
        <v>68</v>
      </c>
      <c r="D52" s="85">
        <f>D8*$L$51+D12*$L$51</f>
        <v>28736.734499999999</v>
      </c>
      <c r="E52" s="85">
        <f t="shared" ref="E52:H52" si="15">E8*$L$51+E12*$L$51</f>
        <v>29455.182000000001</v>
      </c>
      <c r="F52" s="85">
        <f t="shared" si="15"/>
        <v>30191.611499999999</v>
      </c>
      <c r="G52" s="85">
        <f t="shared" si="15"/>
        <v>30946.356000000003</v>
      </c>
      <c r="H52" s="85">
        <f t="shared" si="15"/>
        <v>31720.0815</v>
      </c>
      <c r="I52" s="62"/>
      <c r="J52" s="65">
        <f>SUM(D52:H52)</f>
        <v>151049.96549999999</v>
      </c>
    </row>
    <row r="53" spans="2:13" x14ac:dyDescent="0.25">
      <c r="B53" s="15"/>
      <c r="C53" s="53"/>
      <c r="D53" s="65"/>
      <c r="E53" s="61"/>
      <c r="F53" s="61"/>
      <c r="G53" s="61"/>
      <c r="H53" s="61"/>
      <c r="I53" s="62"/>
      <c r="J53" s="65">
        <f t="shared" ref="J53:J54" si="16">SUM(D53:H53)</f>
        <v>0</v>
      </c>
    </row>
    <row r="54" spans="2:13" x14ac:dyDescent="0.25">
      <c r="B54" s="16"/>
      <c r="C54" s="68" t="s">
        <v>21</v>
      </c>
      <c r="D54" s="69">
        <f>SUM(D52:D53)</f>
        <v>28736.734499999999</v>
      </c>
      <c r="E54" s="69">
        <f t="shared" ref="E54:H54" si="17">SUM(E52:E53)</f>
        <v>29455.182000000001</v>
      </c>
      <c r="F54" s="69">
        <f t="shared" si="17"/>
        <v>30191.611499999999</v>
      </c>
      <c r="G54" s="69">
        <f t="shared" si="17"/>
        <v>30946.356000000003</v>
      </c>
      <c r="H54" s="69">
        <f t="shared" si="17"/>
        <v>31720.0815</v>
      </c>
      <c r="I54" s="62"/>
      <c r="J54" s="69">
        <f t="shared" si="16"/>
        <v>151049.96549999999</v>
      </c>
    </row>
    <row r="55" spans="2:13" ht="15.75" thickBot="1" x14ac:dyDescent="0.3">
      <c r="B55" s="6"/>
      <c r="C55" s="62"/>
      <c r="D55" s="62"/>
      <c r="E55" s="62"/>
      <c r="F55" s="62"/>
      <c r="G55" s="62"/>
      <c r="H55" s="62"/>
      <c r="I55" s="62"/>
      <c r="J55" s="62" t="s">
        <v>20</v>
      </c>
    </row>
    <row r="56" spans="2:13" s="1" customFormat="1" ht="30.75" thickBot="1" x14ac:dyDescent="0.3">
      <c r="B56" s="12" t="s">
        <v>22</v>
      </c>
      <c r="C56" s="77"/>
      <c r="D56" s="78">
        <f>SUM(D54,D49)</f>
        <v>5467734.3845000006</v>
      </c>
      <c r="E56" s="78">
        <f t="shared" ref="E56:H56" si="18">SUM(E54,E49)</f>
        <v>5247983.5820000004</v>
      </c>
      <c r="F56" s="78">
        <f t="shared" si="18"/>
        <v>253364.16149999999</v>
      </c>
      <c r="G56" s="78">
        <f t="shared" si="18"/>
        <v>258878.55600000001</v>
      </c>
      <c r="H56" s="78">
        <f t="shared" si="18"/>
        <v>264531.63150000002</v>
      </c>
      <c r="I56" s="62">
        <f>SUM(I54,I49)</f>
        <v>0</v>
      </c>
      <c r="J56" s="78">
        <f>SUM(J54,J49)</f>
        <v>11492492.315500002</v>
      </c>
    </row>
    <row r="57" spans="2:13" x14ac:dyDescent="0.25">
      <c r="B57" s="6"/>
    </row>
    <row r="58" spans="2:13" x14ac:dyDescent="0.25">
      <c r="B58" s="6"/>
    </row>
    <row r="59" spans="2:13" x14ac:dyDescent="0.25">
      <c r="B59" s="6"/>
    </row>
    <row r="60" spans="2:13" x14ac:dyDescent="0.25">
      <c r="B60" s="6"/>
    </row>
    <row r="61" spans="2:13" x14ac:dyDescent="0.25">
      <c r="B61" s="6"/>
    </row>
    <row r="62" spans="2:13" x14ac:dyDescent="0.25">
      <c r="B62" s="6"/>
    </row>
    <row r="63" spans="2:13" x14ac:dyDescent="0.25">
      <c r="B63" s="6"/>
    </row>
    <row r="64" spans="2:13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</sheetData>
  <pageMargins left="0.7" right="0.7" top="0.75" bottom="0.75" header="0.3" footer="0.3"/>
  <pageSetup scale="89" fitToHeight="0" orientation="landscape" r:id="rId1"/>
  <ignoredErrors>
    <ignoredError sqref="J18:J24 J42:J44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5E23D65F08364BB68086CF0832AFE4" ma:contentTypeVersion="15" ma:contentTypeDescription="Create a new document." ma:contentTypeScope="" ma:versionID="73cdc9f041f7ee689943f1ae149c9046">
  <xsd:schema xmlns:xsd="http://www.w3.org/2001/XMLSchema" xmlns:xs="http://www.w3.org/2001/XMLSchema" xmlns:p="http://schemas.microsoft.com/office/2006/metadata/properties" xmlns:ns2="597af22e-d916-40d4-b161-952cc28661ad" xmlns:ns3="7b14613d-f575-4bda-9316-8ad5b2da4c5a" targetNamespace="http://schemas.microsoft.com/office/2006/metadata/properties" ma:root="true" ma:fieldsID="b63ab2596e9e29713ea9a6e24d561da6" ns2:_="" ns3:_="">
    <xsd:import namespace="597af22e-d916-40d4-b161-952cc28661ad"/>
    <xsd:import namespace="7b14613d-f575-4bda-9316-8ad5b2da4c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7af22e-d916-40d4-b161-952cc28661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c0d83692-8000-456c-81e0-753272234f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4613d-f575-4bda-9316-8ad5b2da4c5a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41dd3b87-5ab9-47dc-9438-f5f47cbfb088}" ma:internalName="TaxCatchAll" ma:showField="CatchAllData" ma:web="7b14613d-f575-4bda-9316-8ad5b2da4c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b14613d-f575-4bda-9316-8ad5b2da4c5a">
      <UserInfo>
        <DisplayName>Strong, Regina (EGLE)</DisplayName>
        <AccountId>50</AccountId>
        <AccountType/>
      </UserInfo>
      <UserInfo>
        <DisplayName>SharingLinks.b43b17e1-7a4a-4ea7-8759-5c56a3edb0d8.OrganizationView.325daa59-b261-4ce0-9505-a23ba8b197bc</DisplayName>
        <AccountId>62</AccountId>
        <AccountType/>
      </UserInfo>
      <UserInfo>
        <DisplayName>Huss, Maggie (EGLE-Contractor)</DisplayName>
        <AccountId>16</AccountId>
        <AccountType/>
      </UserInfo>
      <UserInfo>
        <DisplayName>Peterson, Lauren</DisplayName>
        <AccountId>17</AccountId>
        <AccountType/>
      </UserInfo>
      <UserInfo>
        <DisplayName>Kasper, Monica</DisplayName>
        <AccountId>14</AccountId>
        <AccountType/>
      </UserInfo>
      <UserInfo>
        <DisplayName>Kirk, Carly (EGLE)</DisplayName>
        <AccountId>78</AccountId>
        <AccountType/>
      </UserInfo>
      <UserInfo>
        <DisplayName>Root, Lisa (EGLE)</DisplayName>
        <AccountId>79</AccountId>
        <AccountType/>
      </UserInfo>
      <UserInfo>
        <DisplayName>Connolly, Cory (EGLE)</DisplayName>
        <AccountId>12</AccountId>
        <AccountType/>
      </UserInfo>
      <UserInfo>
        <DisplayName>Power, Jordan (EGLE)</DisplayName>
        <AccountId>23</AccountId>
        <AccountType/>
      </UserInfo>
      <UserInfo>
        <DisplayName>Field, Julia (EGLE)</DisplayName>
        <AccountId>29</AccountId>
        <AccountType/>
      </UserInfo>
    </SharedWithUsers>
    <lcf76f155ced4ddcb4097134ff3c332f xmlns="597af22e-d916-40d4-b161-952cc28661ad">
      <Terms xmlns="http://schemas.microsoft.com/office/infopath/2007/PartnerControls"/>
    </lcf76f155ced4ddcb4097134ff3c332f>
    <TaxCatchAll xmlns="7b14613d-f575-4bda-9316-8ad5b2da4c5a" xsi:nil="true"/>
  </documentManagement>
</p:properti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ED93232-F6AD-4AB5-8046-E71656BBC4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7af22e-d916-40d4-b161-952cc28661ad"/>
    <ds:schemaRef ds:uri="7b14613d-f575-4bda-9316-8ad5b2da4c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infopath/2007/PartnerControls"/>
    <ds:schemaRef ds:uri="597af22e-d916-40d4-b161-952cc28661ad"/>
    <ds:schemaRef ds:uri="http://purl.org/dc/terms/"/>
    <ds:schemaRef ds:uri="http://schemas.microsoft.com/office/2006/documentManagement/types"/>
    <ds:schemaRef ds:uri="7b14613d-f575-4bda-9316-8ad5b2da4c5a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Overview</vt:lpstr>
      <vt:lpstr>Consolidated Budget</vt:lpstr>
      <vt:lpstr>Measure 1 Budget</vt:lpstr>
      <vt:lpstr>Measure 2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2024-03-25T18:27:18Z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0x0101000B5E23D65F08364BB68086CF0832AFE4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MSIP_Label_3a2fed65-62e7-46ea-af74-187e0c17143a_Enabled">
    <vt:lpwstr>true</vt:lpwstr>
  </property>
  <property fmtid="{D5CDD505-2E9C-101B-9397-08002B2CF9AE}" pid="9" name="MSIP_Label_3a2fed65-62e7-46ea-af74-187e0c17143a_SetDate">
    <vt:lpwstr>2024-02-29T14:51:34Z</vt:lpwstr>
  </property>
  <property fmtid="{D5CDD505-2E9C-101B-9397-08002B2CF9AE}" pid="10" name="MSIP_Label_3a2fed65-62e7-46ea-af74-187e0c17143a_Method">
    <vt:lpwstr>Privileged</vt:lpwstr>
  </property>
  <property fmtid="{D5CDD505-2E9C-101B-9397-08002B2CF9AE}" pid="11" name="MSIP_Label_3a2fed65-62e7-46ea-af74-187e0c17143a_Name">
    <vt:lpwstr>3a2fed65-62e7-46ea-af74-187e0c17143a</vt:lpwstr>
  </property>
  <property fmtid="{D5CDD505-2E9C-101B-9397-08002B2CF9AE}" pid="12" name="MSIP_Label_3a2fed65-62e7-46ea-af74-187e0c17143a_SiteId">
    <vt:lpwstr>d5fb7087-3777-42ad-966a-892ef47225d1</vt:lpwstr>
  </property>
  <property fmtid="{D5CDD505-2E9C-101B-9397-08002B2CF9AE}" pid="13" name="MSIP_Label_3a2fed65-62e7-46ea-af74-187e0c17143a_ActionId">
    <vt:lpwstr>b467bc5b-9ef5-4448-b2d1-a10d7c1ebfd7</vt:lpwstr>
  </property>
  <property fmtid="{D5CDD505-2E9C-101B-9397-08002B2CF9AE}" pid="14" name="MSIP_Label_3a2fed65-62e7-46ea-af74-187e0c17143a_ContentBits">
    <vt:lpwstr>0</vt:lpwstr>
  </property>
</Properties>
</file>