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CMEAV503\Common\Health\Environmental Programs\Sustainability\Move - Health_Environmental\Grants\2024\CPRG\Business grants\"/>
    </mc:Choice>
  </mc:AlternateContent>
  <xr:revisionPtr revIDLastSave="0" documentId="13_ncr:1_{00C6B05D-D1CE-4E92-B449-35A25158593E}" xr6:coauthVersionLast="47" xr6:coauthVersionMax="47" xr10:uidLastSave="{00000000-0000-0000-0000-000000000000}"/>
  <bookViews>
    <workbookView xWindow="-110" yWindow="-110" windowWidth="19420" windowHeight="10420" xr2:uid="{39A6B84A-051A-40FC-9C30-1F543D4F4872}"/>
  </bookViews>
  <sheets>
    <sheet name="Budget Minneapolis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4" l="1"/>
  <c r="H22" i="4"/>
  <c r="F20" i="4"/>
  <c r="H20" i="4"/>
  <c r="H21" i="4"/>
  <c r="H18" i="4"/>
  <c r="H8" i="4"/>
  <c r="H7" i="4"/>
  <c r="E18" i="4"/>
  <c r="F18" i="4"/>
  <c r="G18" i="4"/>
  <c r="D18" i="4"/>
  <c r="C28" i="4"/>
  <c r="C27" i="4"/>
  <c r="E16" i="4"/>
  <c r="E20" i="4" s="1"/>
  <c r="E22" i="4" s="1"/>
  <c r="F16" i="4"/>
  <c r="G16" i="4"/>
  <c r="G20" i="4" s="1"/>
  <c r="G22" i="4" s="1"/>
  <c r="D16" i="4"/>
  <c r="D20" i="4" s="1"/>
  <c r="E21" i="4"/>
  <c r="F21" i="4"/>
  <c r="G21" i="4"/>
  <c r="D21" i="4"/>
  <c r="H14" i="4"/>
  <c r="E14" i="4"/>
  <c r="F14" i="4"/>
  <c r="G14" i="4"/>
  <c r="D14" i="4"/>
  <c r="D15" i="4"/>
  <c r="E15" i="4" s="1"/>
  <c r="F15" i="4" s="1"/>
  <c r="G15" i="4" s="1"/>
  <c r="H13" i="4"/>
  <c r="H12" i="4"/>
  <c r="H11" i="4"/>
  <c r="D7" i="4"/>
  <c r="E6" i="4"/>
  <c r="F6" i="4" s="1"/>
  <c r="G6" i="4" s="1"/>
  <c r="G7" i="4" s="1"/>
  <c r="E5" i="4"/>
  <c r="F5" i="4" s="1"/>
  <c r="G5" i="4" s="1"/>
  <c r="F22" i="4" l="1"/>
  <c r="D22" i="4"/>
  <c r="F7" i="4"/>
  <c r="E7" i="4"/>
  <c r="H15" i="4"/>
  <c r="H16" i="4"/>
  <c r="O19" i="4"/>
  <c r="N19" i="4"/>
  <c r="Q26" i="4"/>
  <c r="Q25" i="4"/>
  <c r="Q27" i="4"/>
  <c r="Q39" i="4"/>
  <c r="Q29" i="4"/>
  <c r="Q40" i="4"/>
  <c r="Q41" i="4"/>
  <c r="Q30" i="4"/>
  <c r="Q37" i="4"/>
  <c r="Q38" i="4"/>
  <c r="Q16" i="4"/>
  <c r="Q11" i="4"/>
  <c r="R19" i="4" l="1"/>
  <c r="R31" i="4"/>
  <c r="R42" i="4"/>
  <c r="P11" i="4"/>
  <c r="Q45" i="4"/>
  <c r="Q49" i="4" s="1"/>
  <c r="R45" i="4" l="1"/>
  <c r="R48" i="4" s="1"/>
  <c r="Q48" i="4"/>
  <c r="Q46" i="4"/>
  <c r="R46" i="4" l="1"/>
  <c r="K9" i="4" l="1"/>
  <c r="L9" i="4" s="1"/>
  <c r="D8" i="4"/>
  <c r="D9" i="4" s="1"/>
  <c r="G8" i="4" l="1"/>
  <c r="G9" i="4" s="1"/>
  <c r="E8" i="4"/>
  <c r="E9" i="4" s="1"/>
  <c r="F8" i="4"/>
  <c r="F9" i="4" s="1"/>
  <c r="S9" i="4" l="1"/>
  <c r="H9" i="4"/>
  <c r="S22" i="4" l="1"/>
  <c r="S16" i="4"/>
  <c r="S17" i="4"/>
</calcChain>
</file>

<file path=xl/sharedStrings.xml><?xml version="1.0" encoding="utf-8"?>
<sst xmlns="http://schemas.openxmlformats.org/spreadsheetml/2006/main" count="86" uniqueCount="78">
  <si>
    <t>Categories (do not change)</t>
  </si>
  <si>
    <t>Category</t>
  </si>
  <si>
    <t>Scope of Work</t>
  </si>
  <si>
    <t>Cost year 1</t>
  </si>
  <si>
    <t>Cost Year 2</t>
  </si>
  <si>
    <t>Avg</t>
  </si>
  <si>
    <t>2 year total</t>
  </si>
  <si>
    <t>Personnel</t>
  </si>
  <si>
    <t>Fringe Benefits</t>
  </si>
  <si>
    <t>Travel</t>
  </si>
  <si>
    <t>Health Program Coordinator - NonSupervisor (10) Step 4</t>
  </si>
  <si>
    <t>Equipment</t>
  </si>
  <si>
    <t>Innovation Program Manager</t>
  </si>
  <si>
    <t>Supplies</t>
  </si>
  <si>
    <t>Contractual</t>
  </si>
  <si>
    <t>Fringe Benefits, vacation, sick, holiday</t>
  </si>
  <si>
    <t>Construction</t>
  </si>
  <si>
    <t>Meeting Supplies</t>
  </si>
  <si>
    <t>Meeting Translators</t>
  </si>
  <si>
    <t>6 mtgs/yr*$50/hr*3hrs</t>
  </si>
  <si>
    <t>Translated materials</t>
  </si>
  <si>
    <t>Handouts and final plan</t>
  </si>
  <si>
    <t>Transportation stipend</t>
  </si>
  <si>
    <t>6 mtgs/yr*$5*50people</t>
  </si>
  <si>
    <t>Low-income participant stipend $50 x 50 x 6)</t>
  </si>
  <si>
    <t>6 mtgs/yr*$50*50 people</t>
  </si>
  <si>
    <t xml:space="preserve">Paper, post-its, printing, etc. </t>
  </si>
  <si>
    <t>Subtotal</t>
  </si>
  <si>
    <t>Design consultant</t>
  </si>
  <si>
    <t>Engagement and Facilitator consultant</t>
  </si>
  <si>
    <t>Childcare</t>
  </si>
  <si>
    <t>$300*3hrs*6 mtgs</t>
  </si>
  <si>
    <t>Food/beverage</t>
  </si>
  <si>
    <t>6 mtgs*$20*50 people</t>
  </si>
  <si>
    <t>Space rental</t>
  </si>
  <si>
    <t>$1,000* 6 mtgs</t>
  </si>
  <si>
    <t>10% de minimus</t>
  </si>
  <si>
    <t>Total</t>
  </si>
  <si>
    <t>Remaining</t>
  </si>
  <si>
    <t>TOTAL PERSONAL</t>
  </si>
  <si>
    <t>TOTAL PERSONAL COSTs</t>
  </si>
  <si>
    <t>NA</t>
  </si>
  <si>
    <t xml:space="preserve">Program </t>
  </si>
  <si>
    <t>Outputs</t>
  </si>
  <si>
    <t>Number of projects funded</t>
  </si>
  <si>
    <t>Number of staff hired</t>
  </si>
  <si>
    <t>Number of BIPOCI CBOs partnered with</t>
  </si>
  <si>
    <t xml:space="preserve">Number of residents trained </t>
  </si>
  <si>
    <t>Number of traning workshops held</t>
  </si>
  <si>
    <t>Outcomes</t>
  </si>
  <si>
    <t>Annual GHG savings 2025-2050</t>
  </si>
  <si>
    <t xml:space="preserve">Reduction in cumualtive metric tone of GHG emissions:  2025-2030 and 2025 - 2050 </t>
  </si>
  <si>
    <t>Reduction in annual amount of CAP and HAP emissions in 2030</t>
  </si>
  <si>
    <t>Number of annual and cumulative costs savings for participants</t>
  </si>
  <si>
    <t>Number of annual and cumulative costs savings for participants in LIDAC communities</t>
  </si>
  <si>
    <t>Reduction in annual amount of CAP and HAP emissions in low income and disadvantaged communites in 2030</t>
  </si>
  <si>
    <t>Private dollars invested per dollar of CPRG</t>
  </si>
  <si>
    <t>Contractual Outreach and engagement</t>
  </si>
  <si>
    <t>Subaward</t>
  </si>
  <si>
    <t>Twin Cities Commercial EE Program - 2024</t>
  </si>
  <si>
    <t>TOTAL CHARGES/GRANT REQUEST</t>
  </si>
  <si>
    <t>Admin</t>
  </si>
  <si>
    <t>Outreach</t>
  </si>
  <si>
    <t>% of total</t>
  </si>
  <si>
    <t>One(1) Program coordinator in Mpls @ $78,000 with 5% annual COL increase</t>
  </si>
  <si>
    <t>One(1) Program coordinator in St. Paul @78,000 with 5% annual COL increase</t>
  </si>
  <si>
    <t xml:space="preserve">Total Direct Charges </t>
  </si>
  <si>
    <t xml:space="preserve">Communications and Outreach in partner cities and LSC &amp; BIPOCI CBOs </t>
  </si>
  <si>
    <t xml:space="preserve">Total Contractual </t>
  </si>
  <si>
    <t>Two (2) project staff at Energy Smart @ $65,000 + 35% benfits each with 5% annual COL increase</t>
  </si>
  <si>
    <t>Total TES</t>
  </si>
  <si>
    <t xml:space="preserve">Total Indirect costs </t>
  </si>
  <si>
    <t>Internal tracking</t>
  </si>
  <si>
    <t>10% of personal costs and first $50,000 per year of EnergySmart and LSC contract costs</t>
  </si>
  <si>
    <t>Year 1 - 2025</t>
  </si>
  <si>
    <t>Energy Smart to perform audits distribute funds and track outcomes on 69 solar PV and 566 EE  for a total of 635 projects</t>
  </si>
  <si>
    <t>Number of audits performed in EJ communities @ 40% project conversion rate</t>
  </si>
  <si>
    <t>Total Number of Energy Audits performed @ 60% project convertion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</si>
</sst>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44" fontId="0" fillId="0" borderId="0" xfId="1" applyFont="1"/>
    <xf numFmtId="0" fontId="0" fillId="0" borderId="0" xfId="0" applyFill="1"/>
    <xf numFmtId="0" fontId="0" fillId="2" borderId="0" xfId="0" applyFill="1" applyAlignment="1">
      <alignment wrapText="1"/>
    </xf>
    <xf numFmtId="0" fontId="1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 applyAlignment="1">
      <alignment wrapText="1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64" fontId="1" fillId="0" borderId="0" xfId="0" applyNumberFormat="1" applyFont="1" applyAlignment="1">
      <alignment horizontal="right"/>
    </xf>
    <xf numFmtId="1" fontId="0" fillId="0" borderId="0" xfId="0" applyNumberFormat="1" applyAlignment="1">
      <alignment wrapText="1"/>
    </xf>
    <xf numFmtId="9" fontId="0" fillId="0" borderId="0" xfId="0" applyNumberFormat="1"/>
    <xf numFmtId="0" fontId="0" fillId="0" borderId="0" xfId="0" applyFill="1" applyAlignment="1">
      <alignment wrapText="1"/>
    </xf>
    <xf numFmtId="164" fontId="0" fillId="0" borderId="0" xfId="0" applyNumberFormat="1" applyFill="1"/>
    <xf numFmtId="164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F0043-0635-46E9-8401-EEC29781714B}">
  <dimension ref="B1:S49"/>
  <sheetViews>
    <sheetView tabSelected="1" topLeftCell="G28" zoomScale="130" zoomScaleNormal="130" workbookViewId="0">
      <selection activeCell="AB28" sqref="AB28"/>
    </sheetView>
  </sheetViews>
  <sheetFormatPr defaultRowHeight="14.5" x14ac:dyDescent="0.35"/>
  <cols>
    <col min="2" max="2" width="42.453125" customWidth="1"/>
    <col min="3" max="3" width="34.26953125" style="1" customWidth="1"/>
    <col min="4" max="4" width="13.1796875" bestFit="1" customWidth="1"/>
    <col min="5" max="7" width="10.81640625" bestFit="1" customWidth="1"/>
    <col min="8" max="8" width="12" style="11" bestFit="1" customWidth="1"/>
    <col min="9" max="9" width="11.1796875" hidden="1" customWidth="1"/>
    <col min="10" max="10" width="10.1796875" style="11" bestFit="1" customWidth="1"/>
    <col min="11" max="11" width="38.81640625" hidden="1" customWidth="1"/>
    <col min="12" max="13" width="23.7265625" style="1" hidden="1" customWidth="1"/>
    <col min="14" max="14" width="12.26953125" hidden="1" customWidth="1"/>
    <col min="15" max="15" width="11.26953125" hidden="1" customWidth="1"/>
    <col min="16" max="18" width="0" hidden="1" customWidth="1"/>
    <col min="19" max="19" width="10.81640625" bestFit="1" customWidth="1"/>
  </cols>
  <sheetData>
    <row r="1" spans="2:19" x14ac:dyDescent="0.35">
      <c r="B1" s="2" t="s">
        <v>59</v>
      </c>
    </row>
    <row r="2" spans="2:19" x14ac:dyDescent="0.35">
      <c r="B2" s="2" t="s">
        <v>0</v>
      </c>
      <c r="D2" t="s">
        <v>74</v>
      </c>
      <c r="E2">
        <v>2</v>
      </c>
      <c r="F2">
        <v>3</v>
      </c>
      <c r="G2">
        <v>4</v>
      </c>
      <c r="K2" t="s">
        <v>1</v>
      </c>
      <c r="L2" s="1" t="s">
        <v>2</v>
      </c>
      <c r="N2" t="s">
        <v>3</v>
      </c>
      <c r="O2" t="s">
        <v>4</v>
      </c>
      <c r="P2" t="s">
        <v>5</v>
      </c>
      <c r="Q2" t="s">
        <v>6</v>
      </c>
      <c r="S2" t="s">
        <v>63</v>
      </c>
    </row>
    <row r="4" spans="2:19" x14ac:dyDescent="0.35">
      <c r="B4" t="s">
        <v>7</v>
      </c>
      <c r="K4" t="s">
        <v>7</v>
      </c>
      <c r="N4" s="3"/>
    </row>
    <row r="5" spans="2:19" ht="29" x14ac:dyDescent="0.35">
      <c r="C5" s="1" t="s">
        <v>64</v>
      </c>
      <c r="D5" s="7">
        <v>78000</v>
      </c>
      <c r="E5" s="7">
        <f>D5*1.05</f>
        <v>81900</v>
      </c>
      <c r="F5" s="7">
        <f t="shared" ref="F5:G5" si="0">E5*1.05</f>
        <v>85995</v>
      </c>
      <c r="G5" s="7">
        <f t="shared" si="0"/>
        <v>90294.75</v>
      </c>
      <c r="H5" s="12"/>
      <c r="N5" s="3"/>
      <c r="S5" s="15"/>
    </row>
    <row r="6" spans="2:19" ht="29" x14ac:dyDescent="0.35">
      <c r="B6" t="s">
        <v>58</v>
      </c>
      <c r="C6" s="1" t="s">
        <v>65</v>
      </c>
      <c r="D6" s="7">
        <v>78000</v>
      </c>
      <c r="E6" s="7">
        <f>D6*1.05</f>
        <v>81900</v>
      </c>
      <c r="F6" s="7">
        <f t="shared" ref="F6:G6" si="1">E6*1.05</f>
        <v>85995</v>
      </c>
      <c r="G6" s="7">
        <f t="shared" si="1"/>
        <v>90294.75</v>
      </c>
      <c r="H6" s="12"/>
      <c r="J6" s="1" t="s">
        <v>72</v>
      </c>
      <c r="N6" s="3"/>
      <c r="S6" s="15"/>
    </row>
    <row r="7" spans="2:19" x14ac:dyDescent="0.35">
      <c r="B7" t="s">
        <v>39</v>
      </c>
      <c r="D7" s="7">
        <f>D5+D6</f>
        <v>156000</v>
      </c>
      <c r="E7" s="7">
        <f t="shared" ref="E7:G7" si="2">E5+E6</f>
        <v>163800</v>
      </c>
      <c r="F7" s="7">
        <f t="shared" si="2"/>
        <v>171990</v>
      </c>
      <c r="G7" s="7">
        <f t="shared" si="2"/>
        <v>180589.5</v>
      </c>
      <c r="H7" s="12">
        <f>SUM(D7:G7)</f>
        <v>672379.5</v>
      </c>
      <c r="N7" s="3"/>
      <c r="S7" s="15"/>
    </row>
    <row r="8" spans="2:19" x14ac:dyDescent="0.35">
      <c r="B8" t="s">
        <v>8</v>
      </c>
      <c r="D8" s="7">
        <f>D7*0.35</f>
        <v>54600</v>
      </c>
      <c r="E8" s="7">
        <f t="shared" ref="E8:G8" si="3">E7*0.35</f>
        <v>57330</v>
      </c>
      <c r="F8" s="7">
        <f t="shared" si="3"/>
        <v>60196.499999999993</v>
      </c>
      <c r="G8" s="7">
        <f t="shared" si="3"/>
        <v>63206.324999999997</v>
      </c>
      <c r="H8" s="12">
        <f>SUM(D8:G8)</f>
        <v>235332.82500000001</v>
      </c>
      <c r="S8" s="15"/>
    </row>
    <row r="9" spans="2:19" x14ac:dyDescent="0.35">
      <c r="B9" t="s">
        <v>40</v>
      </c>
      <c r="D9" s="7">
        <f>D7+D8</f>
        <v>210600</v>
      </c>
      <c r="E9" s="7">
        <f t="shared" ref="E9:G9" si="4">E7+E8</f>
        <v>221130</v>
      </c>
      <c r="F9" s="7">
        <f t="shared" si="4"/>
        <v>232186.5</v>
      </c>
      <c r="G9" s="7">
        <f t="shared" si="4"/>
        <v>243795.82500000001</v>
      </c>
      <c r="H9" s="12">
        <f>SUM(D9:G9)</f>
        <v>907712.32499999995</v>
      </c>
      <c r="I9" s="9">
        <v>9999999</v>
      </c>
      <c r="J9" s="12" t="s">
        <v>61</v>
      </c>
      <c r="K9" s="7" t="e">
        <f>J9/2</f>
        <v>#VALUE!</v>
      </c>
      <c r="L9" s="8" t="e">
        <f>K9/5500</f>
        <v>#VALUE!</v>
      </c>
      <c r="S9" s="15">
        <f>(H9+H14+H15+H21)/H22</f>
        <v>0.1831837100555963</v>
      </c>
    </row>
    <row r="10" spans="2:19" x14ac:dyDescent="0.35">
      <c r="D10" s="7"/>
      <c r="E10" s="7"/>
      <c r="F10" s="7"/>
      <c r="G10" s="7"/>
      <c r="H10" s="12"/>
      <c r="S10" s="15"/>
    </row>
    <row r="11" spans="2:19" x14ac:dyDescent="0.35">
      <c r="B11" t="s">
        <v>9</v>
      </c>
      <c r="D11" s="7">
        <v>6000</v>
      </c>
      <c r="E11" s="7">
        <v>6000</v>
      </c>
      <c r="F11" s="7">
        <v>6000</v>
      </c>
      <c r="G11" s="7">
        <v>6000</v>
      </c>
      <c r="H11" s="12">
        <f>SUM(D11:G11)</f>
        <v>24000</v>
      </c>
      <c r="K11" t="s">
        <v>10</v>
      </c>
      <c r="N11">
        <v>92249</v>
      </c>
      <c r="O11">
        <v>99385</v>
      </c>
      <c r="P11">
        <f>Q11/2</f>
        <v>95817</v>
      </c>
      <c r="Q11">
        <f>N11+O11</f>
        <v>191634</v>
      </c>
      <c r="S11" s="15"/>
    </row>
    <row r="12" spans="2:19" x14ac:dyDescent="0.35">
      <c r="B12" t="s">
        <v>11</v>
      </c>
      <c r="D12" s="7">
        <v>5000</v>
      </c>
      <c r="E12" s="7"/>
      <c r="F12" s="7">
        <v>2500</v>
      </c>
      <c r="G12" s="7"/>
      <c r="H12" s="12">
        <f>SUM(D12:G12)</f>
        <v>7500</v>
      </c>
      <c r="K12" t="s">
        <v>12</v>
      </c>
      <c r="S12" s="15"/>
    </row>
    <row r="13" spans="2:19" x14ac:dyDescent="0.35">
      <c r="B13" t="s">
        <v>13</v>
      </c>
      <c r="D13" s="7">
        <v>500</v>
      </c>
      <c r="E13" s="7">
        <v>500</v>
      </c>
      <c r="F13" s="7">
        <v>500</v>
      </c>
      <c r="G13" s="7">
        <v>500</v>
      </c>
      <c r="H13" s="12">
        <f>SUM(D13:G13)</f>
        <v>2000</v>
      </c>
      <c r="S13" s="15"/>
    </row>
    <row r="14" spans="2:19" x14ac:dyDescent="0.35">
      <c r="B14" t="s">
        <v>70</v>
      </c>
      <c r="D14" s="7">
        <f>SUM(D11:D13)</f>
        <v>11500</v>
      </c>
      <c r="E14" s="7">
        <f t="shared" ref="E14:H14" si="5">SUM(E11:E13)</f>
        <v>6500</v>
      </c>
      <c r="F14" s="7">
        <f t="shared" si="5"/>
        <v>9000</v>
      </c>
      <c r="G14" s="7">
        <f t="shared" si="5"/>
        <v>6500</v>
      </c>
      <c r="H14" s="7">
        <f t="shared" si="5"/>
        <v>33500</v>
      </c>
      <c r="S14" s="15"/>
    </row>
    <row r="15" spans="2:19" ht="43.5" x14ac:dyDescent="0.35">
      <c r="B15" t="s">
        <v>14</v>
      </c>
      <c r="C15" s="1" t="s">
        <v>69</v>
      </c>
      <c r="D15" s="7">
        <f>(130000*1.35)</f>
        <v>175500</v>
      </c>
      <c r="E15" s="7">
        <f>D15*1.05</f>
        <v>184275</v>
      </c>
      <c r="F15" s="7">
        <f t="shared" ref="F15:G15" si="6">E15*1.05</f>
        <v>193488.75</v>
      </c>
      <c r="G15" s="7">
        <f t="shared" si="6"/>
        <v>203163.1875</v>
      </c>
      <c r="H15" s="12">
        <f>SUM(D15:G15)</f>
        <v>756426.9375</v>
      </c>
      <c r="N15" s="3"/>
      <c r="S15" s="15"/>
    </row>
    <row r="16" spans="2:19" ht="58" x14ac:dyDescent="0.35">
      <c r="B16" t="s">
        <v>14</v>
      </c>
      <c r="C16" s="1" t="s">
        <v>75</v>
      </c>
      <c r="D16" s="7">
        <f>((23259*(69/4)+(11272*(566/4))))</f>
        <v>1996205.75</v>
      </c>
      <c r="E16" s="7">
        <f t="shared" ref="E16:G16" si="7">((23259*(69/4)+(11272*(566/4))))</f>
        <v>1996205.75</v>
      </c>
      <c r="F16" s="7">
        <f t="shared" si="7"/>
        <v>1996205.75</v>
      </c>
      <c r="G16" s="7">
        <f t="shared" si="7"/>
        <v>1996205.75</v>
      </c>
      <c r="H16" s="12">
        <f>SUM(D16:G16)</f>
        <v>7984823</v>
      </c>
      <c r="J16" s="11" t="s">
        <v>42</v>
      </c>
      <c r="K16" t="s">
        <v>15</v>
      </c>
      <c r="N16">
        <v>50086</v>
      </c>
      <c r="O16">
        <v>52148</v>
      </c>
      <c r="Q16">
        <f>N16+O16</f>
        <v>102234</v>
      </c>
      <c r="R16">
        <v>102299</v>
      </c>
      <c r="S16" s="15">
        <f>H16/H22</f>
        <v>0.79851535853584343</v>
      </c>
    </row>
    <row r="17" spans="2:19" ht="29" x14ac:dyDescent="0.35">
      <c r="B17" t="s">
        <v>57</v>
      </c>
      <c r="C17" s="1" t="s">
        <v>67</v>
      </c>
      <c r="D17" s="7">
        <v>75000</v>
      </c>
      <c r="E17" s="7">
        <v>50000</v>
      </c>
      <c r="F17" s="7">
        <v>35000</v>
      </c>
      <c r="G17" s="7">
        <v>23000</v>
      </c>
      <c r="H17" s="12">
        <f>SUM(D17:G17)</f>
        <v>183000</v>
      </c>
      <c r="J17" s="11" t="s">
        <v>62</v>
      </c>
      <c r="S17" s="15">
        <f>H17/H22</f>
        <v>1.8300757651366767E-2</v>
      </c>
    </row>
    <row r="18" spans="2:19" x14ac:dyDescent="0.35">
      <c r="B18" t="s">
        <v>68</v>
      </c>
      <c r="D18" s="7">
        <f>SUM(D15:D17)</f>
        <v>2246705.75</v>
      </c>
      <c r="E18" s="7">
        <f t="shared" ref="E18:G18" si="8">SUM(E15:E17)</f>
        <v>2230480.75</v>
      </c>
      <c r="F18" s="7">
        <f t="shared" si="8"/>
        <v>2224694.5</v>
      </c>
      <c r="G18" s="7">
        <f t="shared" si="8"/>
        <v>2222368.9375</v>
      </c>
      <c r="H18" s="12">
        <f>D18+E18+F18+G18+1</f>
        <v>8924250.9375</v>
      </c>
      <c r="S18" s="15"/>
    </row>
    <row r="19" spans="2:19" x14ac:dyDescent="0.35">
      <c r="B19" t="s">
        <v>16</v>
      </c>
      <c r="C19" s="1" t="s">
        <v>41</v>
      </c>
      <c r="D19" s="7"/>
      <c r="E19" s="7"/>
      <c r="F19" s="7"/>
      <c r="G19" s="7"/>
      <c r="H19" s="12"/>
      <c r="N19">
        <f>N16/N11</f>
        <v>0.54294355494368507</v>
      </c>
      <c r="O19">
        <f>O16/O11</f>
        <v>0.52470694772853044</v>
      </c>
      <c r="R19">
        <f>(N19+O19)/2</f>
        <v>0.5338252513361077</v>
      </c>
      <c r="S19" s="15"/>
    </row>
    <row r="20" spans="2:19" x14ac:dyDescent="0.35">
      <c r="B20" t="s">
        <v>66</v>
      </c>
      <c r="D20" s="7">
        <f>D9+D14+D15+D16+D17</f>
        <v>2468805.75</v>
      </c>
      <c r="E20" s="7">
        <f t="shared" ref="E20:G20" si="9">E9+E14+E15+E16+E17</f>
        <v>2458110.75</v>
      </c>
      <c r="F20" s="7">
        <f>F9+F14+F15+F16+F17+1</f>
        <v>2465882</v>
      </c>
      <c r="G20" s="7">
        <f t="shared" si="9"/>
        <v>2472664.7625000002</v>
      </c>
      <c r="H20" s="12">
        <f>2468806+2458111+2465882+2472665</f>
        <v>9865464</v>
      </c>
      <c r="S20" s="15"/>
    </row>
    <row r="21" spans="2:19" ht="43.5" x14ac:dyDescent="0.35">
      <c r="B21" t="s">
        <v>71</v>
      </c>
      <c r="C21" s="1" t="s">
        <v>73</v>
      </c>
      <c r="D21" s="7">
        <f>0.1*(D9+D14+50000+50000)</f>
        <v>32210</v>
      </c>
      <c r="E21" s="7">
        <f>0.1*(E9+E14+50000+50000)</f>
        <v>32763</v>
      </c>
      <c r="F21" s="7">
        <f>0.1*(F9+F14+50000+50000)</f>
        <v>34118.65</v>
      </c>
      <c r="G21" s="7">
        <f>0.1*(G9+G14+50000+50000)</f>
        <v>35029.582500000004</v>
      </c>
      <c r="H21" s="12">
        <f>32210+32763+34119+35030</f>
        <v>134122</v>
      </c>
      <c r="I21" s="10"/>
      <c r="S21" s="15"/>
    </row>
    <row r="22" spans="2:19" x14ac:dyDescent="0.35">
      <c r="B22" t="s">
        <v>60</v>
      </c>
      <c r="D22" s="7">
        <f>D20+D21</f>
        <v>2501015.75</v>
      </c>
      <c r="E22" s="7">
        <f t="shared" ref="E22:G22" si="10">E20+E21</f>
        <v>2490873.75</v>
      </c>
      <c r="F22" s="7">
        <f t="shared" si="10"/>
        <v>2500000.65</v>
      </c>
      <c r="G22" s="7">
        <f t="shared" si="10"/>
        <v>2507694.3450000002</v>
      </c>
      <c r="H22" s="13">
        <f>H20+H21</f>
        <v>9999586</v>
      </c>
      <c r="J22" s="12"/>
      <c r="S22" s="15">
        <f>H22/H22</f>
        <v>1</v>
      </c>
    </row>
    <row r="23" spans="2:19" x14ac:dyDescent="0.35">
      <c r="D23" s="7"/>
      <c r="E23" s="7"/>
      <c r="F23" s="7"/>
      <c r="G23" s="7"/>
      <c r="H23" s="12"/>
      <c r="K23" t="s">
        <v>9</v>
      </c>
      <c r="N23" s="3"/>
      <c r="O23" s="3"/>
    </row>
    <row r="24" spans="2:19" x14ac:dyDescent="0.35">
      <c r="D24" s="7"/>
      <c r="E24" s="7"/>
      <c r="F24" s="7"/>
      <c r="G24" s="7"/>
      <c r="H24" s="12"/>
      <c r="K24" t="s">
        <v>11</v>
      </c>
      <c r="N24" s="3"/>
    </row>
    <row r="25" spans="2:19" x14ac:dyDescent="0.35">
      <c r="D25" s="7"/>
      <c r="E25" s="7"/>
      <c r="F25" s="7"/>
      <c r="G25" s="7"/>
      <c r="H25" s="12"/>
      <c r="K25" t="s">
        <v>17</v>
      </c>
      <c r="L25" s="1" t="s">
        <v>18</v>
      </c>
      <c r="M25" s="1" t="s">
        <v>19</v>
      </c>
      <c r="N25" s="3">
        <v>900</v>
      </c>
      <c r="O25">
        <v>900</v>
      </c>
      <c r="Q25">
        <f>N25+O25</f>
        <v>1800</v>
      </c>
    </row>
    <row r="26" spans="2:19" x14ac:dyDescent="0.35">
      <c r="B26" s="2" t="s">
        <v>43</v>
      </c>
      <c r="D26" s="7"/>
      <c r="E26" s="7"/>
      <c r="F26" s="7"/>
      <c r="G26" s="7"/>
      <c r="H26" s="12"/>
      <c r="L26" s="1" t="s">
        <v>20</v>
      </c>
      <c r="M26" s="1" t="s">
        <v>21</v>
      </c>
      <c r="N26">
        <v>500</v>
      </c>
      <c r="O26">
        <v>3000</v>
      </c>
      <c r="Q26">
        <f>N26+O26</f>
        <v>3500</v>
      </c>
    </row>
    <row r="27" spans="2:19" ht="29" x14ac:dyDescent="0.35">
      <c r="B27" s="1" t="s">
        <v>77</v>
      </c>
      <c r="C27" s="14">
        <f>(635/2)/0.6</f>
        <v>529.16666666666674</v>
      </c>
      <c r="D27" s="7"/>
      <c r="E27" s="7"/>
      <c r="F27" s="7"/>
      <c r="G27" s="7"/>
      <c r="H27" s="12"/>
      <c r="L27" s="1" t="s">
        <v>22</v>
      </c>
      <c r="M27" s="1" t="s">
        <v>23</v>
      </c>
      <c r="N27">
        <v>1500</v>
      </c>
      <c r="O27">
        <v>1500</v>
      </c>
      <c r="Q27">
        <f>N27+O27</f>
        <v>3000</v>
      </c>
    </row>
    <row r="28" spans="2:19" ht="29" x14ac:dyDescent="0.35">
      <c r="B28" s="1" t="s">
        <v>76</v>
      </c>
      <c r="C28" s="14">
        <f>(635/2)/0.4</f>
        <v>793.75</v>
      </c>
      <c r="D28" s="7"/>
      <c r="E28" s="7"/>
      <c r="F28" s="7"/>
      <c r="G28" s="7"/>
      <c r="H28" s="12"/>
    </row>
    <row r="29" spans="2:19" ht="15.75" customHeight="1" x14ac:dyDescent="0.35">
      <c r="B29" s="1" t="s">
        <v>44</v>
      </c>
      <c r="C29" s="1">
        <v>635</v>
      </c>
      <c r="D29" s="7"/>
      <c r="E29" s="7"/>
      <c r="F29" s="7"/>
      <c r="G29" s="7"/>
      <c r="H29" s="12"/>
      <c r="L29" s="1" t="s">
        <v>24</v>
      </c>
      <c r="M29" s="1" t="s">
        <v>25</v>
      </c>
      <c r="N29">
        <v>15000</v>
      </c>
      <c r="O29">
        <v>15000</v>
      </c>
      <c r="Q29">
        <f>N29+O29</f>
        <v>30000</v>
      </c>
    </row>
    <row r="30" spans="2:19" ht="20.25" customHeight="1" x14ac:dyDescent="0.35">
      <c r="B30" s="1" t="s">
        <v>45</v>
      </c>
      <c r="C30" s="1">
        <v>4</v>
      </c>
      <c r="D30" s="7"/>
      <c r="E30" s="7"/>
      <c r="F30" s="7"/>
      <c r="G30" s="7"/>
      <c r="H30" s="12"/>
      <c r="L30" s="1" t="s">
        <v>26</v>
      </c>
      <c r="N30">
        <v>500</v>
      </c>
      <c r="O30">
        <v>500</v>
      </c>
      <c r="Q30">
        <f>N30+O30</f>
        <v>1000</v>
      </c>
    </row>
    <row r="31" spans="2:19" x14ac:dyDescent="0.35">
      <c r="B31" s="1" t="s">
        <v>46</v>
      </c>
      <c r="C31" s="1">
        <v>5</v>
      </c>
      <c r="D31" s="7"/>
      <c r="E31" s="7"/>
      <c r="F31" s="7"/>
      <c r="G31" s="7"/>
      <c r="H31" s="12"/>
      <c r="P31" t="s">
        <v>27</v>
      </c>
      <c r="R31">
        <f>SUM(Q25:Q30)</f>
        <v>39300</v>
      </c>
    </row>
    <row r="32" spans="2:19" s="4" customFormat="1" x14ac:dyDescent="0.35">
      <c r="B32" s="16" t="s">
        <v>47</v>
      </c>
      <c r="C32" s="16">
        <v>25</v>
      </c>
      <c r="D32" s="17"/>
      <c r="E32" s="17"/>
      <c r="F32" s="17"/>
      <c r="G32" s="17"/>
      <c r="H32" s="18"/>
      <c r="J32" s="19"/>
      <c r="L32" s="16"/>
      <c r="M32" s="16"/>
    </row>
    <row r="33" spans="2:18" s="4" customFormat="1" x14ac:dyDescent="0.35">
      <c r="B33" s="16" t="s">
        <v>48</v>
      </c>
      <c r="C33" s="16">
        <v>8</v>
      </c>
      <c r="D33" s="17"/>
      <c r="E33" s="17"/>
      <c r="F33" s="17"/>
      <c r="G33" s="17"/>
      <c r="H33" s="18"/>
      <c r="J33" s="19"/>
      <c r="L33" s="16"/>
      <c r="M33" s="16"/>
    </row>
    <row r="34" spans="2:18" x14ac:dyDescent="0.35">
      <c r="B34" s="1"/>
      <c r="D34" s="7"/>
      <c r="E34" s="7"/>
      <c r="F34" s="7"/>
      <c r="G34" s="7"/>
      <c r="H34" s="12"/>
    </row>
    <row r="35" spans="2:18" x14ac:dyDescent="0.35">
      <c r="B35" s="6" t="s">
        <v>49</v>
      </c>
      <c r="D35" s="7"/>
      <c r="E35" s="7"/>
      <c r="F35" s="7"/>
      <c r="G35" s="7"/>
      <c r="H35" s="12"/>
    </row>
    <row r="36" spans="2:18" x14ac:dyDescent="0.35">
      <c r="B36" s="1" t="s">
        <v>50</v>
      </c>
    </row>
    <row r="37" spans="2:18" ht="29" x14ac:dyDescent="0.35">
      <c r="B37" s="1" t="s">
        <v>51</v>
      </c>
      <c r="K37" t="s">
        <v>14</v>
      </c>
      <c r="L37" s="1" t="s">
        <v>28</v>
      </c>
      <c r="N37">
        <v>5000</v>
      </c>
      <c r="O37">
        <v>15000</v>
      </c>
      <c r="Q37">
        <f>N37+O37</f>
        <v>20000</v>
      </c>
    </row>
    <row r="38" spans="2:18" ht="29" x14ac:dyDescent="0.35">
      <c r="B38" s="1" t="s">
        <v>52</v>
      </c>
      <c r="L38" s="1" t="s">
        <v>29</v>
      </c>
      <c r="N38" s="3">
        <v>30000</v>
      </c>
      <c r="O38">
        <v>30000</v>
      </c>
      <c r="Q38">
        <f>N38+O38</f>
        <v>60000</v>
      </c>
    </row>
    <row r="39" spans="2:18" ht="43.5" x14ac:dyDescent="0.35">
      <c r="B39" s="1" t="s">
        <v>55</v>
      </c>
      <c r="L39" s="1" t="s">
        <v>30</v>
      </c>
      <c r="M39" s="1" t="s">
        <v>31</v>
      </c>
      <c r="N39">
        <v>5400</v>
      </c>
      <c r="O39">
        <v>5400</v>
      </c>
      <c r="Q39">
        <f>N39+O39</f>
        <v>10800</v>
      </c>
    </row>
    <row r="40" spans="2:18" ht="29" x14ac:dyDescent="0.35">
      <c r="B40" s="1" t="s">
        <v>53</v>
      </c>
      <c r="L40" s="5" t="s">
        <v>32</v>
      </c>
      <c r="M40" s="5" t="s">
        <v>33</v>
      </c>
      <c r="N40">
        <v>6000</v>
      </c>
      <c r="O40">
        <v>6000</v>
      </c>
      <c r="Q40">
        <f>N40+O40</f>
        <v>12000</v>
      </c>
    </row>
    <row r="41" spans="2:18" ht="29" x14ac:dyDescent="0.35">
      <c r="B41" s="1" t="s">
        <v>54</v>
      </c>
      <c r="L41" s="1" t="s">
        <v>34</v>
      </c>
      <c r="M41" s="1" t="s">
        <v>35</v>
      </c>
      <c r="N41">
        <v>6000</v>
      </c>
      <c r="O41">
        <v>6000</v>
      </c>
      <c r="Q41">
        <f>N41+O41</f>
        <v>12000</v>
      </c>
    </row>
    <row r="42" spans="2:18" x14ac:dyDescent="0.35">
      <c r="B42" s="1" t="s">
        <v>56</v>
      </c>
      <c r="P42" t="s">
        <v>27</v>
      </c>
      <c r="R42">
        <f>SUM(Q37:Q41)</f>
        <v>114800</v>
      </c>
    </row>
    <row r="44" spans="2:18" x14ac:dyDescent="0.35">
      <c r="K44" t="s">
        <v>16</v>
      </c>
    </row>
    <row r="45" spans="2:18" x14ac:dyDescent="0.35">
      <c r="N45" t="s">
        <v>27</v>
      </c>
      <c r="Q45">
        <f>SUM(Q11:Q40)</f>
        <v>435968</v>
      </c>
      <c r="R45">
        <f>Q11+R31+R42+R16</f>
        <v>448033</v>
      </c>
    </row>
    <row r="46" spans="2:18" x14ac:dyDescent="0.35">
      <c r="N46" t="s">
        <v>36</v>
      </c>
      <c r="Q46">
        <f>Q45*0.1</f>
        <v>43596.800000000003</v>
      </c>
      <c r="R46">
        <f>R45*0.1</f>
        <v>44803.3</v>
      </c>
    </row>
    <row r="48" spans="2:18" x14ac:dyDescent="0.35">
      <c r="N48" t="s">
        <v>37</v>
      </c>
      <c r="Q48">
        <f>Q45*1.1</f>
        <v>479564.80000000005</v>
      </c>
      <c r="R48">
        <f>R45*1.1</f>
        <v>492836.30000000005</v>
      </c>
    </row>
    <row r="49" spans="14:17" x14ac:dyDescent="0.35">
      <c r="N49" t="s">
        <v>38</v>
      </c>
      <c r="Q49">
        <f>450000-Q45</f>
        <v>14032</v>
      </c>
    </row>
  </sheetData>
  <pageMargins left="0.7" right="0.7" top="0.75" bottom="0.75" header="0.3" footer="0.3"/>
  <pageSetup orientation="portrait" r:id="rId1"/>
  <ignoredErrors>
    <ignoredError sqref="D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Minneapolis</vt:lpstr>
    </vt:vector>
  </TitlesOfParts>
  <Manager/>
  <Company>City of Minneapolis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Olson, Bjorn</dc:creator>
  <cp:keywords/>
  <dc:description/>
  <cp:lastModifiedBy>Havey, Kim W</cp:lastModifiedBy>
  <cp:revision/>
  <dcterms:created xsi:type="dcterms:W3CDTF">2023-09-14T18:56:22Z</dcterms:created>
  <dcterms:modified xsi:type="dcterms:W3CDTF">2024-04-01T18:52:31Z</dcterms:modified>
  <cp:category/>
  <cp:contentStatus/>
</cp:coreProperties>
</file>