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14"/>
  <workbookPr/>
  <mc:AlternateContent xmlns:mc="http://schemas.openxmlformats.org/markup-compatibility/2006">
    <mc:Choice Requires="x15">
      <x15ac:absPath xmlns:x15ac="http://schemas.microsoft.com/office/spreadsheetml/2010/11/ac" url="https://wigov.sharepoint.com/sites/DOATEAMDEHCRREVMidwestCoalition/Shared Documents/General/CPRG/Application materials/"/>
    </mc:Choice>
  </mc:AlternateContent>
  <xr:revisionPtr revIDLastSave="912" documentId="8_{0E96DC0C-9CFB-48EA-AA66-C560A62D99DF}" xr6:coauthVersionLast="47" xr6:coauthVersionMax="47" xr10:uidLastSave="{0E739A78-F2FA-4BAF-B4BB-AE0FC5E35C8F}"/>
  <bookViews>
    <workbookView xWindow="-120" yWindow="-120" windowWidth="29040" windowHeight="15840" firstSheet="1" activeTab="1" xr2:uid="{DD151052-0861-4B50-96AC-D4ED5B1B80E1}"/>
  </bookViews>
  <sheets>
    <sheet name="GHG Emissions " sheetId="1" r:id="rId1"/>
    <sheet name="Program Costs" sheetId="2" r:id="rId2"/>
  </sheets>
  <externalReferences>
    <externalReference r:id="rId3"/>
    <externalReference r:id="rId4"/>
  </externalReferences>
  <definedNames>
    <definedName name="Calculated_Gasoline_LHV">'[1]Background Data'!$C$1913</definedName>
    <definedName name="gram2pound">'[1]Background Data'!$C$1919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2" i="2" l="1"/>
  <c r="S38" i="1"/>
  <c r="K43" i="1"/>
  <c r="J43" i="1"/>
  <c r="T38" i="1"/>
  <c r="U38" i="1"/>
  <c r="V38" i="1"/>
  <c r="W38" i="1"/>
  <c r="X38" i="1"/>
  <c r="Y38" i="1"/>
  <c r="P45" i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P58" i="1" s="1"/>
  <c r="P59" i="1" s="1"/>
  <c r="P60" i="1" s="1"/>
  <c r="P61" i="1" s="1"/>
  <c r="P62" i="1" s="1"/>
  <c r="P63" i="1" s="1"/>
  <c r="P44" i="1"/>
  <c r="P43" i="1"/>
  <c r="P42" i="1" s="1"/>
  <c r="O45" i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44" i="1"/>
  <c r="O43" i="1"/>
  <c r="O42" i="1" s="1"/>
  <c r="N45" i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44" i="1"/>
  <c r="N43" i="1"/>
  <c r="N42" i="1" s="1"/>
  <c r="M45" i="1"/>
  <c r="M46" i="1" s="1"/>
  <c r="M47" i="1" s="1"/>
  <c r="M48" i="1" s="1"/>
  <c r="M49" i="1" s="1"/>
  <c r="M50" i="1" s="1"/>
  <c r="M51" i="1" s="1"/>
  <c r="M52" i="1" s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M44" i="1"/>
  <c r="M43" i="1"/>
  <c r="M42" i="1" s="1"/>
  <c r="L45" i="1"/>
  <c r="L46" i="1" s="1"/>
  <c r="L47" i="1" s="1"/>
  <c r="L48" i="1" s="1"/>
  <c r="L49" i="1" s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44" i="1"/>
  <c r="L43" i="1"/>
  <c r="L42" i="1" s="1"/>
  <c r="K46" i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45" i="1"/>
  <c r="K44" i="1"/>
  <c r="K42" i="1"/>
  <c r="J45" i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44" i="1"/>
  <c r="J42" i="1"/>
  <c r="B42" i="1"/>
  <c r="B41" i="1"/>
  <c r="C13" i="1"/>
  <c r="C3" i="2"/>
  <c r="C4" i="2"/>
  <c r="B5" i="2"/>
  <c r="B6" i="2" s="1"/>
  <c r="C5" i="2" l="1"/>
  <c r="C6" i="2" s="1"/>
  <c r="B22" i="2" l="1"/>
  <c r="B7" i="2"/>
  <c r="V22" i="1" l="1"/>
  <c r="Q22" i="1"/>
  <c r="L22" i="1"/>
  <c r="G22" i="1"/>
  <c r="B22" i="1"/>
  <c r="D37" i="1"/>
  <c r="D38" i="1" s="1"/>
  <c r="H13" i="1"/>
  <c r="G18" i="1"/>
  <c r="B24" i="2" l="1"/>
  <c r="C41" i="1"/>
  <c r="D41" i="1" s="1"/>
  <c r="C42" i="1"/>
  <c r="D42" i="1" s="1"/>
  <c r="L18" i="1"/>
  <c r="Q18" i="1"/>
  <c r="V18" i="1"/>
  <c r="B26" i="2"/>
  <c r="B18" i="1"/>
  <c r="B43" i="1"/>
  <c r="C43" i="1" s="1"/>
  <c r="B44" i="1" l="1"/>
  <c r="C44" i="1" s="1"/>
  <c r="D43" i="1"/>
  <c r="D44" i="1" l="1"/>
  <c r="B45" i="1"/>
  <c r="C45" i="1" s="1"/>
  <c r="D45" i="1" l="1"/>
  <c r="B46" i="1"/>
  <c r="C46" i="1" s="1"/>
  <c r="B47" i="1" l="1"/>
  <c r="C47" i="1" s="1"/>
  <c r="D46" i="1"/>
  <c r="B48" i="1" l="1"/>
  <c r="C48" i="1" s="1"/>
  <c r="D47" i="1"/>
  <c r="B49" i="1" l="1"/>
  <c r="C49" i="1" s="1"/>
  <c r="D48" i="1"/>
  <c r="B50" i="1" l="1"/>
  <c r="C50" i="1" s="1"/>
  <c r="D49" i="1"/>
  <c r="B51" i="1" l="1"/>
  <c r="C51" i="1" s="1"/>
  <c r="D50" i="1"/>
  <c r="B52" i="1" l="1"/>
  <c r="C52" i="1" s="1"/>
  <c r="D51" i="1"/>
  <c r="B53" i="1" l="1"/>
  <c r="C53" i="1" s="1"/>
  <c r="D52" i="1"/>
  <c r="B54" i="1" l="1"/>
  <c r="C54" i="1" s="1"/>
  <c r="D53" i="1"/>
  <c r="B55" i="1" l="1"/>
  <c r="C55" i="1" s="1"/>
  <c r="D54" i="1"/>
  <c r="B56" i="1" l="1"/>
  <c r="C56" i="1" s="1"/>
  <c r="D55" i="1"/>
  <c r="B57" i="1" l="1"/>
  <c r="C57" i="1" s="1"/>
  <c r="D56" i="1"/>
  <c r="B58" i="1" l="1"/>
  <c r="C58" i="1" s="1"/>
  <c r="D57" i="1"/>
  <c r="B59" i="1" l="1"/>
  <c r="C59" i="1" s="1"/>
  <c r="D58" i="1"/>
  <c r="B60" i="1" l="1"/>
  <c r="C60" i="1" s="1"/>
  <c r="D59" i="1"/>
  <c r="B61" i="1" l="1"/>
  <c r="C61" i="1" s="1"/>
  <c r="D60" i="1"/>
  <c r="B62" i="1" l="1"/>
  <c r="C62" i="1" s="1"/>
  <c r="D61" i="1"/>
  <c r="D62" i="1" l="1"/>
  <c r="B27" i="2" s="1"/>
  <c r="C40" i="1"/>
  <c r="C39" i="1"/>
  <c r="D39" i="1" s="1"/>
  <c r="D4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tc={0993DEAF-0807-4566-A6C6-D166D7583FFD}</author>
    <author>tc={9CAF5CC5-473B-4353-8A24-B5445CF60BAB}</author>
    <author>tc={3CC12454-F541-4370-B868-83E5DC30F41E}</author>
    <author>tc={7EA182D3-FB64-483E-83B8-95ED7C38014E}</author>
    <author>tc={C0558F08-F18B-4DF0-8CAC-A91E1583BD19}</author>
    <author>tc={F5891E68-71C3-4861-8E47-54B3EA8778A9}</author>
    <author>tc={8B9298BC-8599-456A-9DD7-3F1D8A3988C1}</author>
    <author>tc={B6FFAC19-B28D-4C35-AB55-BC62FA31768F}</author>
  </authors>
  <commentList>
    <comment ref="A29" authorId="0" shapeId="0" xr:uid="{0993DEAF-0807-4566-A6C6-D166D7583FFD}">
      <text>
        <t>[Threaded comment]
Your version of Excel allows you to read this threaded comment; however, any edits to it will get removed if the file is opened in a newer version of Excel. Learn more: https://go.microsoft.com/fwlink/?linkid=870924
Comment:
    Evap = evaporative emissions</t>
      </text>
    </comment>
    <comment ref="F29" authorId="1" shapeId="0" xr:uid="{9CAF5CC5-473B-4353-8A24-B5445CF60BAB}">
      <text>
        <t>[Threaded comment]
Your version of Excel allows you to read this threaded comment; however, any edits to it will get removed if the file is opened in a newer version of Excel. Learn more: https://go.microsoft.com/fwlink/?linkid=870924
Comment:
    Evap = evaporative emissions</t>
      </text>
    </comment>
    <comment ref="K29" authorId="2" shapeId="0" xr:uid="{3CC12454-F541-4370-B868-83E5DC30F41E}">
      <text>
        <t>[Threaded comment]
Your version of Excel allows you to read this threaded comment; however, any edits to it will get removed if the file is opened in a newer version of Excel. Learn more: https://go.microsoft.com/fwlink/?linkid=870924
Comment:
    Evap = evaporative emissions</t>
      </text>
    </comment>
    <comment ref="P29" authorId="3" shapeId="0" xr:uid="{7EA182D3-FB64-483E-83B8-95ED7C38014E}">
      <text>
        <t>[Threaded comment]
Your version of Excel allows you to read this threaded comment; however, any edits to it will get removed if the file is opened in a newer version of Excel. Learn more: https://go.microsoft.com/fwlink/?linkid=870924
Comment:
    Evap = evaporative emissions</t>
      </text>
    </comment>
    <comment ref="U29" authorId="4" shapeId="0" xr:uid="{C0558F08-F18B-4DF0-8CAC-A91E1583BD19}">
      <text>
        <t>[Threaded comment]
Your version of Excel allows you to read this threaded comment; however, any edits to it will get removed if the file is opened in a newer version of Excel. Learn more: https://go.microsoft.com/fwlink/?linkid=870924
Comment:
    Evap = evaporative emissions</t>
      </text>
    </comment>
    <comment ref="C36" authorId="5" shapeId="0" xr:uid="{F5891E68-71C3-4861-8E47-54B3EA8778A9}">
      <text>
        <t>[Threaded comment]
Your version of Excel allows you to read this threaded comment; however, any edits to it will get removed if the file is opened in a newer version of Excel. Learn more: https://go.microsoft.com/fwlink/?linkid=870924
Comment:
    Assuming this project is funded from CPRG alone right now. But these numbers might change if we add other funding sources</t>
      </text>
    </comment>
    <comment ref="O37" authorId="6" shapeId="0" xr:uid="{8B9298BC-8599-456A-9DD7-3F1D8A3988C1}">
      <text>
        <t>[Threaded comment]
Your version of Excel allows you to read this threaded comment; however, any edits to it will get removed if the file is opened in a newer version of Excel. Learn more: https://go.microsoft.com/fwlink/?linkid=870924
Comment:
    Evap = evaporative emissions</t>
      </text>
    </comment>
    <comment ref="X37" authorId="7" shapeId="0" xr:uid="{B6FFAC19-B28D-4C35-AB55-BC62FA31768F}">
      <text>
        <t>[Threaded comment]
Your version of Excel allows you to read this threaded comment; however, any edits to it will get removed if the file is opened in a newer version of Excel. Learn more: https://go.microsoft.com/fwlink/?linkid=870924
Comment:
    Evap = evaporative emissions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tc={B12EA0B3-2801-4F70-A69D-A24D5A3EBA9E}</author>
  </authors>
  <commentList>
    <comment ref="A10" authorId="0" shapeId="0" xr:uid="{B12EA0B3-2801-4F70-A69D-A24D5A3EBA9E}">
      <text>
        <t>[Threaded comment]
Your version of Excel allows you to read this threaded comment; however, any edits to it will get removed if the file is opened in a newer version of Excel. Learn more: https://go.microsoft.com/fwlink/?linkid=870924
Comment:
    What is our administrative cost percentage?</t>
      </text>
    </comment>
  </commentList>
</comments>
</file>

<file path=xl/sharedStrings.xml><?xml version="1.0" encoding="utf-8"?>
<sst xmlns="http://schemas.openxmlformats.org/spreadsheetml/2006/main" count="281" uniqueCount="83">
  <si>
    <t>REV Midwest GHG and Air Quality Spreadsheet</t>
  </si>
  <si>
    <t>350 kW chargers</t>
  </si>
  <si>
    <t>1 MW chargers</t>
  </si>
  <si>
    <t>Quantity</t>
  </si>
  <si>
    <t>Units</t>
  </si>
  <si>
    <t>Ports per station</t>
  </si>
  <si>
    <t>350 kW EVSE</t>
  </si>
  <si>
    <t>1MW EVSE</t>
  </si>
  <si>
    <t>Max power draw</t>
  </si>
  <si>
    <t>MW</t>
  </si>
  <si>
    <t>Weekly Utilization
(sessions/week/ port)</t>
  </si>
  <si>
    <t>Average Session Energy Dispensed 
(kWh)</t>
  </si>
  <si>
    <t>Annual fuel consumption per port (kWh)</t>
  </si>
  <si>
    <t>* assumung two sessions per port per day</t>
  </si>
  <si>
    <t>**assuming the 350 kW chargers mostly cater to medium-duty EVs with 250 kWh batteries. Vehicles being charged from 10% to 90% state of charge.</t>
  </si>
  <si>
    <t>***assuming 25% utilization comes from light-duty electric vehicles and 75% utilization comes from heavy-duty electric vehicles</t>
  </si>
  <si>
    <t>**assuming the 1 MW chargers mostly cater to heavy-duty EVs with 500+ kWh batteries. Vehicles being charged from 10% to 90% state of charge.</t>
  </si>
  <si>
    <t>Minnesota</t>
  </si>
  <si>
    <t>Wisconsin</t>
  </si>
  <si>
    <t>Michigan</t>
  </si>
  <si>
    <t>Illinois</t>
  </si>
  <si>
    <t>Indiana</t>
  </si>
  <si>
    <t>Unit</t>
  </si>
  <si>
    <t>Notes</t>
  </si>
  <si>
    <t>Source</t>
  </si>
  <si>
    <t>Total consumption per site</t>
  </si>
  <si>
    <t>kWh</t>
  </si>
  <si>
    <t xml:space="preserve">Each site will have 4x350kW + 4x1MW chargers. </t>
  </si>
  <si>
    <t>https://greet.anl.gov/afleet</t>
  </si>
  <si>
    <t>Annual EV miles from site</t>
  </si>
  <si>
    <t>miles</t>
  </si>
  <si>
    <t>Manually input the total consumption per site into K29 (CFI tab) on AFLEET 2023. AFLEET converts kWh/year into GGE/year. That GGE/year figure is then processed into Miles based on the Weighted Average AFV MPGGE (31.6) in Background data K19612</t>
  </si>
  <si>
    <t>Output on K24 on CFI tab, https://greet.anl.gov/afleet</t>
  </si>
  <si>
    <t>Conventional fuel gallons replaced by site</t>
  </si>
  <si>
    <t>gallons</t>
  </si>
  <si>
    <t>AFLEET subtracts AFV Petroluem use from Gasoline/Diesel Petroluem use to calculate the AFV petroluem benefit. Visit cells K51 and K53 for reference to Background data that includes emission factors.</t>
  </si>
  <si>
    <t>Output on K55 on CFI tab, https://greet.anl.gov/afleet</t>
  </si>
  <si>
    <t>Annual GHG emissions avoided</t>
  </si>
  <si>
    <t>short tons</t>
  </si>
  <si>
    <t>metric tons</t>
  </si>
  <si>
    <t>AFLEET subtracts AFV GHG emissions from Gasoline GHG to calculate the AFV GHG benefit. Visit cells K70 and K72 for reference to Background data that includes emission factors.</t>
  </si>
  <si>
    <t>Output on K74 on CFI tab, https://greet.anl.gov/afleet</t>
  </si>
  <si>
    <t>Annual air pollutant benefit</t>
  </si>
  <si>
    <t>CO</t>
  </si>
  <si>
    <t>pounds</t>
  </si>
  <si>
    <t>Output on K357 on CFI</t>
  </si>
  <si>
    <t>NOx</t>
  </si>
  <si>
    <t>Output on K358 on CFI</t>
  </si>
  <si>
    <t>PM10</t>
  </si>
  <si>
    <t>Output on K359 on CFI</t>
  </si>
  <si>
    <t>PM2.5</t>
  </si>
  <si>
    <t>Output on K361 on CFI</t>
  </si>
  <si>
    <t>VOC</t>
  </si>
  <si>
    <t>Output on K363 on CFI</t>
  </si>
  <si>
    <t>VOC (Evap)</t>
  </si>
  <si>
    <t>Output on K364 on CFI</t>
  </si>
  <si>
    <t>SOx</t>
  </si>
  <si>
    <t>Output on K365 on CFI</t>
  </si>
  <si>
    <t>Cumulative GHG Reduction Calculations (MN, MI, and WI)</t>
  </si>
  <si>
    <t>*assuming two sites per state.</t>
  </si>
  <si>
    <t xml:space="preserve"> Cumulative Air Quality Improvement Calculations (MN, MI, and WI)</t>
  </si>
  <si>
    <t>Year</t>
  </si>
  <si>
    <t>GHG emission reductions (metric tons)</t>
  </si>
  <si>
    <t>Prorated GHG Emissions based on other State and Federal Funding (metric tons)</t>
  </si>
  <si>
    <t>Cumulative GHG Emission Reductions (metric tons)</t>
  </si>
  <si>
    <t>Air pollutant benefits (pounds)</t>
  </si>
  <si>
    <t>2030  Air Pollutant Benefits (tons)</t>
  </si>
  <si>
    <t>REV Midwest Multi-Use Charging Hubs</t>
  </si>
  <si>
    <t>Costs</t>
  </si>
  <si>
    <t>Federal Tax Credits</t>
  </si>
  <si>
    <t>4 x 350 kW DC Fast Charging EVSE</t>
  </si>
  <si>
    <t>4 x 1 MW DC Fast Charging EVSE</t>
  </si>
  <si>
    <t>Total per site</t>
  </si>
  <si>
    <t>Total for 10 sites</t>
  </si>
  <si>
    <t>Total CPRG funded</t>
  </si>
  <si>
    <t>Third party administrator</t>
  </si>
  <si>
    <t>REV Midwest Optimization Study and Safety and Technical Standards Development</t>
  </si>
  <si>
    <t>Contract for optimization study (competitive procurement) with embedded CBO and LIDAC support</t>
  </si>
  <si>
    <t>CPRG Funded Costs</t>
  </si>
  <si>
    <t>Other Federal and State Funding Estimate</t>
  </si>
  <si>
    <t>GHG annual cost-effectiveness value proration factor (Credit received for GHG emission reductions for Proposal implementation)</t>
  </si>
  <si>
    <t>2025 - 2030 Cost Effectiveness (Based on Confidential Truck Stop Estimates)</t>
  </si>
  <si>
    <t>2025 - 2050 Cost Effectiveness (Based on Confidential Truck Stop Estimates)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</si>
</sst>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8"/>
      <color theme="1"/>
      <name val="Aptos Narrow"/>
      <family val="2"/>
    </font>
    <font>
      <sz val="11"/>
      <color theme="1"/>
      <name val="Aptos Narrow"/>
      <family val="2"/>
    </font>
    <font>
      <u/>
      <sz val="11"/>
      <color theme="10"/>
      <name val="Aptos Narrow"/>
      <family val="2"/>
      <scheme val="minor"/>
    </font>
    <font>
      <sz val="11"/>
      <color theme="1"/>
      <name val="Calibri"/>
      <family val="2"/>
    </font>
    <font>
      <b/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8"/>
      <color theme="1"/>
      <name val="Aptos narrow"/>
    </font>
    <font>
      <b/>
      <sz val="11"/>
      <color theme="1"/>
      <name val="Aptos narrow"/>
    </font>
    <font>
      <sz val="11"/>
      <color theme="1"/>
      <name val="Aptos narrow"/>
    </font>
    <font>
      <sz val="11"/>
      <color rgb="FFFF0000"/>
      <name val="Aptos narrow"/>
    </font>
    <font>
      <sz val="11"/>
      <color theme="1"/>
      <name val="Aptos Narrow"/>
      <scheme val="minor"/>
    </font>
    <font>
      <b/>
      <sz val="11"/>
      <color theme="1"/>
      <name val="Aptos narrow"/>
      <family val="2"/>
    </font>
    <font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19">
    <xf numFmtId="0" fontId="0" fillId="0" borderId="0" xfId="0"/>
    <xf numFmtId="0" fontId="0" fillId="0" borderId="1" xfId="0" applyBorder="1"/>
    <xf numFmtId="0" fontId="2" fillId="0" borderId="2" xfId="0" applyFont="1" applyBorder="1"/>
    <xf numFmtId="164" fontId="0" fillId="0" borderId="0" xfId="0" applyNumberFormat="1"/>
    <xf numFmtId="0" fontId="0" fillId="0" borderId="4" xfId="0" applyBorder="1"/>
    <xf numFmtId="0" fontId="0" fillId="0" borderId="7" xfId="0" applyBorder="1"/>
    <xf numFmtId="164" fontId="0" fillId="0" borderId="4" xfId="0" applyNumberFormat="1" applyBorder="1"/>
    <xf numFmtId="0" fontId="2" fillId="3" borderId="0" xfId="0" applyFont="1" applyFill="1" applyAlignment="1">
      <alignment horizontal="left" indent="2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3" borderId="5" xfId="0" applyFont="1" applyFill="1" applyBorder="1" applyAlignment="1">
      <alignment horizontal="left" indent="2"/>
    </xf>
    <xf numFmtId="0" fontId="2" fillId="3" borderId="6" xfId="0" applyFont="1" applyFill="1" applyBorder="1" applyAlignment="1">
      <alignment horizontal="left" indent="2"/>
    </xf>
    <xf numFmtId="164" fontId="0" fillId="0" borderId="7" xfId="0" applyNumberFormat="1" applyBorder="1"/>
    <xf numFmtId="0" fontId="0" fillId="3" borderId="0" xfId="0" applyFill="1"/>
    <xf numFmtId="0" fontId="0" fillId="3" borderId="0" xfId="0" applyFill="1" applyAlignment="1">
      <alignment vertical="top"/>
    </xf>
    <xf numFmtId="0" fontId="0" fillId="3" borderId="0" xfId="0" applyFill="1" applyAlignment="1">
      <alignment vertical="top" wrapText="1"/>
    </xf>
    <xf numFmtId="0" fontId="2" fillId="3" borderId="0" xfId="0" applyFont="1" applyFill="1"/>
    <xf numFmtId="0" fontId="6" fillId="3" borderId="0" xfId="0" applyFont="1" applyFill="1" applyAlignment="1">
      <alignment horizontal="center" wrapText="1"/>
    </xf>
    <xf numFmtId="0" fontId="0" fillId="3" borderId="9" xfId="0" applyFill="1" applyBorder="1"/>
    <xf numFmtId="0" fontId="0" fillId="3" borderId="1" xfId="0" applyFill="1" applyBorder="1"/>
    <xf numFmtId="0" fontId="2" fillId="3" borderId="2" xfId="0" applyFont="1" applyFill="1" applyBorder="1"/>
    <xf numFmtId="0" fontId="0" fillId="3" borderId="1" xfId="0" applyFill="1" applyBorder="1" applyAlignment="1">
      <alignment vertical="center"/>
    </xf>
    <xf numFmtId="0" fontId="0" fillId="3" borderId="2" xfId="0" applyFill="1" applyBorder="1"/>
    <xf numFmtId="0" fontId="6" fillId="3" borderId="1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0" fillId="3" borderId="12" xfId="0" applyFill="1" applyBorder="1"/>
    <xf numFmtId="0" fontId="0" fillId="3" borderId="13" xfId="0" applyFill="1" applyBorder="1"/>
    <xf numFmtId="164" fontId="0" fillId="3" borderId="3" xfId="1" applyNumberFormat="1" applyFont="1" applyFill="1" applyBorder="1"/>
    <xf numFmtId="164" fontId="1" fillId="3" borderId="3" xfId="1" applyNumberFormat="1" applyFont="1" applyFill="1" applyBorder="1"/>
    <xf numFmtId="0" fontId="2" fillId="0" borderId="0" xfId="0" applyFont="1"/>
    <xf numFmtId="0" fontId="0" fillId="0" borderId="0" xfId="0" applyAlignment="1">
      <alignment wrapText="1"/>
    </xf>
    <xf numFmtId="3" fontId="0" fillId="0" borderId="0" xfId="0" applyNumberFormat="1"/>
    <xf numFmtId="164" fontId="0" fillId="3" borderId="0" xfId="1" applyNumberFormat="1" applyFont="1" applyFill="1" applyBorder="1" applyAlignment="1">
      <alignment wrapText="1"/>
    </xf>
    <xf numFmtId="164" fontId="0" fillId="3" borderId="0" xfId="1" applyNumberFormat="1" applyFont="1" applyFill="1" applyBorder="1" applyAlignment="1">
      <alignment vertical="center" wrapText="1"/>
    </xf>
    <xf numFmtId="1" fontId="0" fillId="0" borderId="0" xfId="0" applyNumberFormat="1"/>
    <xf numFmtId="1" fontId="0" fillId="0" borderId="4" xfId="0" applyNumberFormat="1" applyBorder="1"/>
    <xf numFmtId="0" fontId="1" fillId="0" borderId="0" xfId="0" applyFont="1" applyAlignment="1">
      <alignment vertical="center" wrapText="1"/>
    </xf>
    <xf numFmtId="0" fontId="3" fillId="0" borderId="9" xfId="0" applyFont="1" applyBorder="1"/>
    <xf numFmtId="0" fontId="0" fillId="0" borderId="10" xfId="0" applyBorder="1"/>
    <xf numFmtId="0" fontId="0" fillId="0" borderId="11" xfId="0" applyBorder="1"/>
    <xf numFmtId="0" fontId="1" fillId="0" borderId="1" xfId="0" applyFont="1" applyBorder="1" applyAlignment="1">
      <alignment vertical="center"/>
    </xf>
    <xf numFmtId="0" fontId="2" fillId="3" borderId="15" xfId="0" applyFont="1" applyFill="1" applyBorder="1" applyAlignment="1">
      <alignment horizontal="left" indent="2"/>
    </xf>
    <xf numFmtId="0" fontId="1" fillId="0" borderId="1" xfId="0" applyFont="1" applyBorder="1"/>
    <xf numFmtId="0" fontId="0" fillId="0" borderId="2" xfId="0" applyBorder="1"/>
    <xf numFmtId="164" fontId="0" fillId="0" borderId="0" xfId="1" applyNumberFormat="1" applyFont="1" applyBorder="1"/>
    <xf numFmtId="164" fontId="0" fillId="0" borderId="0" xfId="1" applyNumberFormat="1" applyFont="1" applyBorder="1" applyAlignment="1">
      <alignment horizontal="right"/>
    </xf>
    <xf numFmtId="164" fontId="0" fillId="0" borderId="2" xfId="1" applyNumberFormat="1" applyFont="1" applyBorder="1"/>
    <xf numFmtId="0" fontId="1" fillId="0" borderId="12" xfId="0" applyFont="1" applyBorder="1"/>
    <xf numFmtId="0" fontId="1" fillId="0" borderId="0" xfId="0" applyFont="1" applyAlignment="1">
      <alignment wrapText="1"/>
    </xf>
    <xf numFmtId="164" fontId="4" fillId="0" borderId="0" xfId="0" applyNumberFormat="1" applyFont="1"/>
    <xf numFmtId="164" fontId="4" fillId="0" borderId="13" xfId="0" applyNumberFormat="1" applyFont="1" applyBorder="1"/>
    <xf numFmtId="0" fontId="0" fillId="0" borderId="3" xfId="0" applyBorder="1"/>
    <xf numFmtId="0" fontId="5" fillId="0" borderId="2" xfId="2" applyBorder="1" applyAlignment="1">
      <alignment vertical="center"/>
    </xf>
    <xf numFmtId="0" fontId="5" fillId="0" borderId="3" xfId="2" applyBorder="1" applyAlignment="1">
      <alignment vertical="center"/>
    </xf>
    <xf numFmtId="0" fontId="2" fillId="3" borderId="4" xfId="0" applyFont="1" applyFill="1" applyBorder="1" applyAlignment="1">
      <alignment horizontal="left" indent="2"/>
    </xf>
    <xf numFmtId="43" fontId="0" fillId="0" borderId="0" xfId="0" applyNumberFormat="1"/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left"/>
    </xf>
    <xf numFmtId="44" fontId="12" fillId="0" borderId="0" xfId="0" applyNumberFormat="1" applyFont="1"/>
    <xf numFmtId="0" fontId="13" fillId="0" borderId="0" xfId="0" applyFont="1"/>
    <xf numFmtId="0" fontId="12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6" fontId="12" fillId="0" borderId="0" xfId="0" applyNumberFormat="1" applyFont="1"/>
    <xf numFmtId="0" fontId="14" fillId="0" borderId="0" xfId="0" applyFont="1"/>
    <xf numFmtId="8" fontId="12" fillId="0" borderId="0" xfId="0" applyNumberFormat="1" applyFont="1"/>
    <xf numFmtId="44" fontId="11" fillId="0" borderId="0" xfId="0" applyNumberFormat="1" applyFont="1"/>
    <xf numFmtId="0" fontId="15" fillId="0" borderId="0" xfId="0" applyFont="1" applyAlignment="1">
      <alignment horizontal="left"/>
    </xf>
    <xf numFmtId="0" fontId="3" fillId="0" borderId="0" xfId="0" applyFont="1"/>
    <xf numFmtId="0" fontId="1" fillId="0" borderId="0" xfId="0" applyFont="1"/>
    <xf numFmtId="44" fontId="4" fillId="0" borderId="0" xfId="0" applyNumberFormat="1" applyFont="1"/>
    <xf numFmtId="9" fontId="4" fillId="0" borderId="0" xfId="0" applyNumberFormat="1" applyFont="1"/>
    <xf numFmtId="0" fontId="15" fillId="0" borderId="0" xfId="0" applyFont="1"/>
    <xf numFmtId="164" fontId="15" fillId="0" borderId="0" xfId="0" applyNumberFormat="1" applyFont="1"/>
    <xf numFmtId="164" fontId="15" fillId="0" borderId="13" xfId="0" applyNumberFormat="1" applyFont="1" applyBorder="1"/>
    <xf numFmtId="0" fontId="0" fillId="0" borderId="0" xfId="0"/>
    <xf numFmtId="0" fontId="16" fillId="0" borderId="0" xfId="0" applyFont="1"/>
    <xf numFmtId="6" fontId="1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top"/>
    </xf>
    <xf numFmtId="0" fontId="8" fillId="8" borderId="10" xfId="0" applyFont="1" applyFill="1" applyBorder="1" applyAlignment="1">
      <alignment horizontal="center" vertical="top"/>
    </xf>
    <xf numFmtId="0" fontId="8" fillId="8" borderId="11" xfId="0" applyFont="1" applyFill="1" applyBorder="1" applyAlignment="1">
      <alignment horizontal="center" vertical="top"/>
    </xf>
    <xf numFmtId="0" fontId="8" fillId="8" borderId="1" xfId="0" applyFont="1" applyFill="1" applyBorder="1" applyAlignment="1">
      <alignment horizontal="center" vertical="top"/>
    </xf>
    <xf numFmtId="0" fontId="8" fillId="8" borderId="0" xfId="0" applyFont="1" applyFill="1" applyAlignment="1">
      <alignment horizontal="center" vertical="top"/>
    </xf>
    <xf numFmtId="0" fontId="8" fillId="8" borderId="2" xfId="0" applyFont="1" applyFill="1" applyBorder="1" applyAlignment="1">
      <alignment horizontal="center" vertical="top"/>
    </xf>
    <xf numFmtId="0" fontId="5" fillId="0" borderId="2" xfId="2" applyBorder="1" applyAlignment="1">
      <alignment horizontal="center" vertical="center"/>
    </xf>
    <xf numFmtId="0" fontId="5" fillId="0" borderId="3" xfId="2" applyBorder="1" applyAlignment="1">
      <alignment horizontal="center" vertical="center"/>
    </xf>
    <xf numFmtId="0" fontId="9" fillId="9" borderId="0" xfId="0" applyFont="1" applyFill="1" applyAlignment="1">
      <alignment horizontal="center" vertical="center"/>
    </xf>
    <xf numFmtId="0" fontId="8" fillId="5" borderId="9" xfId="0" applyFont="1" applyFill="1" applyBorder="1" applyAlignment="1">
      <alignment horizontal="center" vertical="top"/>
    </xf>
    <xf numFmtId="0" fontId="8" fillId="5" borderId="10" xfId="0" applyFont="1" applyFill="1" applyBorder="1" applyAlignment="1">
      <alignment horizontal="center" vertical="top"/>
    </xf>
    <xf numFmtId="0" fontId="8" fillId="5" borderId="11" xfId="0" applyFont="1" applyFill="1" applyBorder="1" applyAlignment="1">
      <alignment horizontal="center" vertical="top"/>
    </xf>
    <xf numFmtId="0" fontId="8" fillId="5" borderId="1" xfId="0" applyFont="1" applyFill="1" applyBorder="1" applyAlignment="1">
      <alignment horizontal="center" vertical="top"/>
    </xf>
    <xf numFmtId="0" fontId="8" fillId="5" borderId="0" xfId="0" applyFont="1" applyFill="1" applyAlignment="1">
      <alignment horizontal="center" vertical="top"/>
    </xf>
    <xf numFmtId="0" fontId="8" fillId="5" borderId="2" xfId="0" applyFont="1" applyFill="1" applyBorder="1" applyAlignment="1">
      <alignment horizontal="center" vertical="top"/>
    </xf>
    <xf numFmtId="0" fontId="8" fillId="6" borderId="9" xfId="0" applyFont="1" applyFill="1" applyBorder="1" applyAlignment="1">
      <alignment horizontal="center" vertical="top"/>
    </xf>
    <xf numFmtId="0" fontId="8" fillId="6" borderId="10" xfId="0" applyFont="1" applyFill="1" applyBorder="1" applyAlignment="1">
      <alignment horizontal="center" vertical="top"/>
    </xf>
    <xf numFmtId="0" fontId="8" fillId="6" borderId="11" xfId="0" applyFont="1" applyFill="1" applyBorder="1" applyAlignment="1">
      <alignment horizontal="center" vertical="top"/>
    </xf>
    <xf numFmtId="0" fontId="8" fillId="6" borderId="1" xfId="0" applyFont="1" applyFill="1" applyBorder="1" applyAlignment="1">
      <alignment horizontal="center" vertical="top"/>
    </xf>
    <xf numFmtId="0" fontId="8" fillId="6" borderId="0" xfId="0" applyFont="1" applyFill="1" applyAlignment="1">
      <alignment horizontal="center" vertical="top"/>
    </xf>
    <xf numFmtId="0" fontId="8" fillId="6" borderId="2" xfId="0" applyFont="1" applyFill="1" applyBorder="1" applyAlignment="1">
      <alignment horizontal="center" vertical="top"/>
    </xf>
    <xf numFmtId="0" fontId="8" fillId="7" borderId="9" xfId="0" applyFont="1" applyFill="1" applyBorder="1" applyAlignment="1">
      <alignment horizontal="center" vertical="top"/>
    </xf>
    <xf numFmtId="0" fontId="8" fillId="7" borderId="10" xfId="0" applyFont="1" applyFill="1" applyBorder="1" applyAlignment="1">
      <alignment horizontal="center" vertical="top"/>
    </xf>
    <xf numFmtId="0" fontId="8" fillId="7" borderId="11" xfId="0" applyFont="1" applyFill="1" applyBorder="1" applyAlignment="1">
      <alignment horizontal="center" vertical="top"/>
    </xf>
    <xf numFmtId="0" fontId="8" fillId="7" borderId="1" xfId="0" applyFont="1" applyFill="1" applyBorder="1" applyAlignment="1">
      <alignment horizontal="center" vertical="top"/>
    </xf>
    <xf numFmtId="0" fontId="8" fillId="7" borderId="0" xfId="0" applyFont="1" applyFill="1" applyAlignment="1">
      <alignment horizontal="center" vertical="top"/>
    </xf>
    <xf numFmtId="0" fontId="8" fillId="7" borderId="2" xfId="0" applyFont="1" applyFill="1" applyBorder="1" applyAlignment="1">
      <alignment horizontal="center" vertical="top"/>
    </xf>
    <xf numFmtId="0" fontId="7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 vertical="top"/>
    </xf>
    <xf numFmtId="0" fontId="8" fillId="4" borderId="10" xfId="0" applyFont="1" applyFill="1" applyBorder="1" applyAlignment="1">
      <alignment horizontal="center" vertical="top"/>
    </xf>
    <xf numFmtId="0" fontId="8" fillId="4" borderId="11" xfId="0" applyFont="1" applyFill="1" applyBorder="1" applyAlignment="1">
      <alignment horizontal="center" vertical="top"/>
    </xf>
    <xf numFmtId="0" fontId="8" fillId="4" borderId="1" xfId="0" applyFont="1" applyFill="1" applyBorder="1" applyAlignment="1">
      <alignment horizontal="center" vertical="top"/>
    </xf>
    <xf numFmtId="0" fontId="8" fillId="4" borderId="0" xfId="0" applyFont="1" applyFill="1" applyAlignment="1">
      <alignment horizontal="center" vertical="top"/>
    </xf>
    <xf numFmtId="0" fontId="8" fillId="4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0" fillId="0" borderId="0" xfId="0" applyAlignment="1"/>
    <xf numFmtId="0" fontId="12" fillId="0" borderId="0" xfId="0" applyFont="1" applyFill="1" applyAlignment="1">
      <alignment horizontal="left"/>
    </xf>
    <xf numFmtId="44" fontId="12" fillId="0" borderId="0" xfId="0" applyNumberFormat="1" applyFont="1" applyFill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oaz\Downloads\AFLEET_Tool_2023.xlsx" TargetMode="External"/><Relationship Id="rId1" Type="http://schemas.openxmlformats.org/officeDocument/2006/relationships/externalLinkPath" Target="file:///C:\Users\Moaz\Downloads\AFLEET_Tool_2023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gpisd-my.sharepoint.com/personal/muddin_gpisd_net/Documents/CPRG/AK-OK%20Plan/GHG%20Emissions%20Reductions%20Calculation%20Spreadsheet.xlsx" TargetMode="External"/><Relationship Id="rId1" Type="http://schemas.openxmlformats.org/officeDocument/2006/relationships/externalLinkPath" Target="/personal/muddin_gpisd_net/Documents/CPRG/AK-OK%20Plan/GHG%20Emissions%20Reductions%20Calculation%20Spread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ro"/>
      <sheetName val="Inputs"/>
      <sheetName val="Payback"/>
      <sheetName val="Payback-Onroad Output"/>
      <sheetName val="Payback-Offroad Output"/>
      <sheetName val="TCO"/>
      <sheetName val="TCO Output"/>
      <sheetName val="Footprint-Onroad"/>
      <sheetName val="Footprint-Offroad"/>
      <sheetName val="Footprint Output"/>
      <sheetName val="CFI"/>
      <sheetName val="CFI Output"/>
      <sheetName val="EV Rate"/>
      <sheetName val="Charger TCO"/>
      <sheetName val="Charger TCO Output"/>
      <sheetName val="IR"/>
      <sheetName val="IR Output"/>
      <sheetName val="Background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gram Costs"/>
      <sheetName val="GHG Calcs"/>
      <sheetName val="2030 Co-Pollutant Benefits"/>
    </sheetNames>
    <sheetDataSet>
      <sheetData sheetId="0">
        <row r="44">
          <cell r="B44">
            <v>0.85924526288990088</v>
          </cell>
        </row>
      </sheetData>
      <sheetData sheetId="1"/>
      <sheetData sheetId="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aburnham" id="{B0CA5342-F25D-48FC-83D8-E61EA2D7FB35}" userId="aburnham" providerId="None"/>
  <person displayName="Moaz Uddin" id="{E09A87FA-2322-4866-AD39-16A69E4E87F8}" userId="S::MUddin@gpisd.net::9a32f9c6-83ae-4a3e-ba50-41c6bbdf609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9" personId="{B0CA5342-F25D-48FC-83D8-E61EA2D7FB35}" id="{0993DEAF-0807-4566-A6C6-D166D7583FFD}">
    <text>Evap = evaporative emissions</text>
  </threadedComment>
  <threadedComment ref="F29" personId="{B0CA5342-F25D-48FC-83D8-E61EA2D7FB35}" id="{9CAF5CC5-473B-4353-8A24-B5445CF60BAB}">
    <text>Evap = evaporative emissions</text>
  </threadedComment>
  <threadedComment ref="K29" personId="{B0CA5342-F25D-48FC-83D8-E61EA2D7FB35}" id="{3CC12454-F541-4370-B868-83E5DC30F41E}">
    <text>Evap = evaporative emissions</text>
  </threadedComment>
  <threadedComment ref="P29" personId="{B0CA5342-F25D-48FC-83D8-E61EA2D7FB35}" id="{7EA182D3-FB64-483E-83B8-95ED7C38014E}">
    <text>Evap = evaporative emissions</text>
  </threadedComment>
  <threadedComment ref="U29" personId="{B0CA5342-F25D-48FC-83D8-E61EA2D7FB35}" id="{C0558F08-F18B-4DF0-8CAC-A91E1583BD19}">
    <text>Evap = evaporative emissions</text>
  </threadedComment>
  <threadedComment ref="C36" dT="2024-03-13T21:56:21.93" personId="{E09A87FA-2322-4866-AD39-16A69E4E87F8}" id="{F5891E68-71C3-4861-8E47-54B3EA8778A9}">
    <text>Assuming this project is funded from CPRG alone right now. But these numbers might change if we add other funding sources</text>
  </threadedComment>
  <threadedComment ref="O37" personId="{B0CA5342-F25D-48FC-83D8-E61EA2D7FB35}" id="{8B9298BC-8599-456A-9DD7-3F1D8A3988C1}">
    <text>Evap = evaporative emissions</text>
  </threadedComment>
  <threadedComment ref="X37" personId="{B0CA5342-F25D-48FC-83D8-E61EA2D7FB35}" id="{B6FFAC19-B28D-4C35-AB55-BC62FA31768F}">
    <text>Evap = evaporative emissions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10" dT="2024-03-14T23:06:08.89" personId="{E09A87FA-2322-4866-AD39-16A69E4E87F8}" id="{B12EA0B3-2801-4F70-A69D-A24D5A3EBA9E}">
    <text>What is our administrative cost percentage?</text>
  </threadedComment>
</ThreadedComments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s://greet.anl.gov/afleet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greet.anl.gov/afleet" TargetMode="External"/><Relationship Id="rId1" Type="http://schemas.openxmlformats.org/officeDocument/2006/relationships/hyperlink" Target="https://greet.anl.gov/afleet" TargetMode="External"/><Relationship Id="rId6" Type="http://schemas.openxmlformats.org/officeDocument/2006/relationships/hyperlink" Target="https://greet.anl.gov/afleet" TargetMode="External"/><Relationship Id="rId5" Type="http://schemas.openxmlformats.org/officeDocument/2006/relationships/hyperlink" Target="https://greet.anl.gov/afleet" TargetMode="External"/><Relationship Id="rId10" Type="http://schemas.microsoft.com/office/2017/10/relationships/threadedComment" Target="../threadedComments/threadedComment1.xml"/><Relationship Id="rId4" Type="http://schemas.openxmlformats.org/officeDocument/2006/relationships/hyperlink" Target="https://greet.anl.gov/afleet" TargetMode="Externa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12320-7848-45C8-85DA-E42BD0CB48A6}">
  <dimension ref="A1:Y63"/>
  <sheetViews>
    <sheetView zoomScale="80" workbookViewId="0">
      <selection activeCell="S38" sqref="S38"/>
    </sheetView>
  </sheetViews>
  <sheetFormatPr defaultRowHeight="15"/>
  <cols>
    <col min="1" max="1" width="29.85546875" bestFit="1" customWidth="1"/>
    <col min="2" max="2" width="17.42578125" customWidth="1"/>
    <col min="3" max="3" width="19.140625" customWidth="1"/>
    <col min="4" max="4" width="31.85546875" bestFit="1" customWidth="1"/>
    <col min="5" max="5" width="25" bestFit="1" customWidth="1"/>
    <col min="6" max="6" width="30.7109375" customWidth="1"/>
    <col min="7" max="7" width="21.85546875" customWidth="1"/>
    <col min="8" max="8" width="14.7109375" customWidth="1"/>
    <col min="9" max="9" width="20.85546875" customWidth="1"/>
    <col min="10" max="10" width="12.85546875" customWidth="1"/>
    <col min="11" max="11" width="29.7109375" customWidth="1"/>
    <col min="12" max="12" width="17.85546875" customWidth="1"/>
    <col min="13" max="13" width="11.7109375" customWidth="1"/>
    <col min="14" max="14" width="21.42578125" customWidth="1"/>
    <col min="15" max="15" width="16" customWidth="1"/>
    <col min="16" max="16" width="29.85546875" bestFit="1" customWidth="1"/>
    <col min="17" max="17" width="13" bestFit="1" customWidth="1"/>
    <col min="18" max="18" width="9.85546875" bestFit="1" customWidth="1"/>
    <col min="19" max="19" width="20.7109375" bestFit="1" customWidth="1"/>
    <col min="20" max="20" width="25" bestFit="1" customWidth="1"/>
    <col min="21" max="21" width="29.85546875" bestFit="1" customWidth="1"/>
    <col min="22" max="22" width="13" bestFit="1" customWidth="1"/>
    <col min="23" max="23" width="9.85546875" bestFit="1" customWidth="1"/>
    <col min="24" max="24" width="20.7109375" bestFit="1" customWidth="1"/>
    <col min="25" max="25" width="25" bestFit="1" customWidth="1"/>
  </cols>
  <sheetData>
    <row r="1" spans="1:25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</row>
    <row r="2" spans="1:25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</row>
    <row r="3" spans="1:25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</row>
    <row r="4" spans="1:25" ht="15.75" thickBo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</row>
    <row r="5" spans="1:25" ht="18.75">
      <c r="A5" s="18"/>
      <c r="B5" s="107" t="s">
        <v>1</v>
      </c>
      <c r="C5" s="108"/>
      <c r="D5" s="13"/>
      <c r="E5" s="13"/>
      <c r="F5" s="18"/>
      <c r="G5" s="107" t="s">
        <v>2</v>
      </c>
      <c r="H5" s="108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</row>
    <row r="6" spans="1:25">
      <c r="A6" s="19"/>
      <c r="B6" s="16" t="s">
        <v>3</v>
      </c>
      <c r="C6" s="20" t="s">
        <v>4</v>
      </c>
      <c r="D6" s="13"/>
      <c r="E6" s="13"/>
      <c r="F6" s="19"/>
      <c r="G6" s="16" t="s">
        <v>3</v>
      </c>
      <c r="H6" s="20" t="s">
        <v>4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</row>
    <row r="7" spans="1:25">
      <c r="A7" s="21" t="s">
        <v>5</v>
      </c>
      <c r="B7" s="13">
        <v>4</v>
      </c>
      <c r="C7" s="22" t="s">
        <v>6</v>
      </c>
      <c r="D7" s="13"/>
      <c r="E7" s="13"/>
      <c r="F7" s="21" t="s">
        <v>5</v>
      </c>
      <c r="G7" s="13">
        <v>4</v>
      </c>
      <c r="H7" s="22" t="s">
        <v>7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</row>
    <row r="8" spans="1:25">
      <c r="A8" s="19" t="s">
        <v>8</v>
      </c>
      <c r="B8" s="13">
        <v>1.4</v>
      </c>
      <c r="C8" s="22" t="s">
        <v>9</v>
      </c>
      <c r="D8" s="13"/>
      <c r="E8" s="13"/>
      <c r="F8" s="19" t="s">
        <v>8</v>
      </c>
      <c r="G8" s="13">
        <v>4</v>
      </c>
      <c r="H8" s="22" t="s">
        <v>9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1:25">
      <c r="A9" s="19"/>
      <c r="B9" s="13"/>
      <c r="C9" s="22"/>
      <c r="D9" s="13"/>
      <c r="E9" s="13"/>
      <c r="F9" s="19"/>
      <c r="G9" s="13"/>
      <c r="H9" s="22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>
      <c r="A10" s="19"/>
      <c r="B10" s="13"/>
      <c r="C10" s="22"/>
      <c r="D10" s="13"/>
      <c r="E10" s="13"/>
      <c r="F10" s="19"/>
      <c r="G10" s="13"/>
      <c r="H10" s="22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>
      <c r="A11" s="19"/>
      <c r="B11" s="13"/>
      <c r="C11" s="22"/>
      <c r="D11" s="13"/>
      <c r="E11" s="13"/>
      <c r="F11" s="19"/>
      <c r="G11" s="13"/>
      <c r="H11" s="22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25" ht="63.75" customHeight="1">
      <c r="A12" s="23" t="s">
        <v>10</v>
      </c>
      <c r="B12" s="17" t="s">
        <v>11</v>
      </c>
      <c r="C12" s="24" t="s">
        <v>12</v>
      </c>
      <c r="D12" s="13"/>
      <c r="E12" s="13"/>
      <c r="F12" s="23" t="s">
        <v>10</v>
      </c>
      <c r="G12" s="17" t="s">
        <v>11</v>
      </c>
      <c r="H12" s="24" t="s">
        <v>12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25" ht="15.75" thickBot="1">
      <c r="A13" s="25">
        <v>14</v>
      </c>
      <c r="B13" s="26">
        <v>200</v>
      </c>
      <c r="C13" s="27">
        <f>B13*A13*52</f>
        <v>145600</v>
      </c>
      <c r="D13" s="13"/>
      <c r="E13" s="13"/>
      <c r="F13" s="25">
        <v>14</v>
      </c>
      <c r="G13" s="26">
        <v>400</v>
      </c>
      <c r="H13" s="28">
        <f>G13*F13*52</f>
        <v>291200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25" ht="144" customHeight="1" thickBot="1">
      <c r="A14" s="14" t="s">
        <v>13</v>
      </c>
      <c r="B14" s="15" t="s">
        <v>14</v>
      </c>
      <c r="C14" s="32" t="s">
        <v>15</v>
      </c>
      <c r="D14" s="13"/>
      <c r="E14" s="13"/>
      <c r="F14" s="15" t="s">
        <v>13</v>
      </c>
      <c r="G14" s="15" t="s">
        <v>16</v>
      </c>
      <c r="H14" s="33" t="s">
        <v>15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>
      <c r="A15" s="109" t="s">
        <v>17</v>
      </c>
      <c r="B15" s="110"/>
      <c r="C15" s="110"/>
      <c r="D15" s="110"/>
      <c r="E15" s="111"/>
      <c r="F15" s="89" t="s">
        <v>18</v>
      </c>
      <c r="G15" s="90"/>
      <c r="H15" s="90"/>
      <c r="I15" s="90"/>
      <c r="J15" s="91"/>
      <c r="K15" s="95" t="s">
        <v>19</v>
      </c>
      <c r="L15" s="96"/>
      <c r="M15" s="96"/>
      <c r="N15" s="96"/>
      <c r="O15" s="97"/>
      <c r="P15" s="101" t="s">
        <v>20</v>
      </c>
      <c r="Q15" s="102"/>
      <c r="R15" s="102"/>
      <c r="S15" s="102"/>
      <c r="T15" s="103"/>
      <c r="U15" s="80" t="s">
        <v>21</v>
      </c>
      <c r="V15" s="81"/>
      <c r="W15" s="81"/>
      <c r="X15" s="81"/>
      <c r="Y15" s="82"/>
    </row>
    <row r="16" spans="1:25">
      <c r="A16" s="112"/>
      <c r="B16" s="113"/>
      <c r="C16" s="113"/>
      <c r="D16" s="113"/>
      <c r="E16" s="114"/>
      <c r="F16" s="92"/>
      <c r="G16" s="93"/>
      <c r="H16" s="93"/>
      <c r="I16" s="93"/>
      <c r="J16" s="94"/>
      <c r="K16" s="98"/>
      <c r="L16" s="99"/>
      <c r="M16" s="99"/>
      <c r="N16" s="99"/>
      <c r="O16" s="100"/>
      <c r="P16" s="104"/>
      <c r="Q16" s="105"/>
      <c r="R16" s="105"/>
      <c r="S16" s="105"/>
      <c r="T16" s="106"/>
      <c r="U16" s="83"/>
      <c r="V16" s="84"/>
      <c r="W16" s="84"/>
      <c r="X16" s="84"/>
      <c r="Y16" s="85"/>
    </row>
    <row r="17" spans="1:25">
      <c r="A17" s="1"/>
      <c r="B17" s="29" t="s">
        <v>3</v>
      </c>
      <c r="C17" s="29" t="s">
        <v>22</v>
      </c>
      <c r="D17" s="29" t="s">
        <v>23</v>
      </c>
      <c r="E17" s="2" t="s">
        <v>24</v>
      </c>
      <c r="F17" s="1"/>
      <c r="G17" s="29" t="s">
        <v>3</v>
      </c>
      <c r="H17" s="29" t="s">
        <v>22</v>
      </c>
      <c r="I17" s="29" t="s">
        <v>23</v>
      </c>
      <c r="J17" s="2" t="s">
        <v>24</v>
      </c>
      <c r="K17" s="1"/>
      <c r="L17" s="29" t="s">
        <v>3</v>
      </c>
      <c r="M17" s="29" t="s">
        <v>22</v>
      </c>
      <c r="N17" s="29" t="s">
        <v>23</v>
      </c>
      <c r="O17" s="2" t="s">
        <v>24</v>
      </c>
      <c r="P17" s="1"/>
      <c r="Q17" s="29" t="s">
        <v>3</v>
      </c>
      <c r="R17" s="29" t="s">
        <v>22</v>
      </c>
      <c r="S17" s="29" t="s">
        <v>23</v>
      </c>
      <c r="T17" s="2" t="s">
        <v>24</v>
      </c>
      <c r="U17" s="1"/>
      <c r="V17" s="29" t="s">
        <v>3</v>
      </c>
      <c r="W17" s="29" t="s">
        <v>22</v>
      </c>
      <c r="X17" s="29" t="s">
        <v>23</v>
      </c>
      <c r="Y17" s="2" t="s">
        <v>24</v>
      </c>
    </row>
    <row r="18" spans="1:25" ht="90" customHeight="1">
      <c r="A18" s="8" t="s">
        <v>25</v>
      </c>
      <c r="B18" s="3">
        <f>(4*C13)+(4*H13)</f>
        <v>1747200</v>
      </c>
      <c r="C18" s="75" t="s">
        <v>26</v>
      </c>
      <c r="D18" s="30" t="s">
        <v>27</v>
      </c>
      <c r="E18" s="52" t="s">
        <v>28</v>
      </c>
      <c r="F18" s="8" t="s">
        <v>25</v>
      </c>
      <c r="G18" s="3">
        <f>(4*C13)+(4*H13)</f>
        <v>1747200</v>
      </c>
      <c r="H18" s="75" t="s">
        <v>26</v>
      </c>
      <c r="I18" s="30" t="s">
        <v>27</v>
      </c>
      <c r="J18" s="86" t="s">
        <v>28</v>
      </c>
      <c r="K18" s="8" t="s">
        <v>25</v>
      </c>
      <c r="L18" s="3">
        <f>G18</f>
        <v>1747200</v>
      </c>
      <c r="M18" s="75" t="s">
        <v>26</v>
      </c>
      <c r="N18" s="30" t="s">
        <v>27</v>
      </c>
      <c r="O18" s="86" t="s">
        <v>28</v>
      </c>
      <c r="P18" s="8" t="s">
        <v>25</v>
      </c>
      <c r="Q18" s="3">
        <f>G18</f>
        <v>1747200</v>
      </c>
      <c r="R18" s="75" t="s">
        <v>26</v>
      </c>
      <c r="S18" s="30" t="s">
        <v>27</v>
      </c>
      <c r="T18" s="86" t="s">
        <v>28</v>
      </c>
      <c r="U18" s="8" t="s">
        <v>25</v>
      </c>
      <c r="V18" s="3">
        <f>G18</f>
        <v>1747200</v>
      </c>
      <c r="W18" s="75" t="s">
        <v>26</v>
      </c>
      <c r="X18" s="30" t="s">
        <v>27</v>
      </c>
      <c r="Y18" s="86" t="s">
        <v>28</v>
      </c>
    </row>
    <row r="19" spans="1:25" ht="210">
      <c r="A19" s="9" t="s">
        <v>29</v>
      </c>
      <c r="B19" s="31">
        <v>1679805.7980723635</v>
      </c>
      <c r="C19" s="75" t="s">
        <v>30</v>
      </c>
      <c r="D19" s="30" t="s">
        <v>31</v>
      </c>
      <c r="E19" s="52" t="s">
        <v>32</v>
      </c>
      <c r="F19" s="9" t="s">
        <v>29</v>
      </c>
      <c r="G19" s="31">
        <v>1679805.7980723635</v>
      </c>
      <c r="H19" s="75" t="s">
        <v>30</v>
      </c>
      <c r="I19" s="30" t="s">
        <v>31</v>
      </c>
      <c r="J19" s="86"/>
      <c r="K19" s="9" t="s">
        <v>29</v>
      </c>
      <c r="L19" s="31">
        <v>1679805.7980723635</v>
      </c>
      <c r="M19" s="75" t="s">
        <v>30</v>
      </c>
      <c r="N19" s="30" t="s">
        <v>31</v>
      </c>
      <c r="O19" s="86"/>
      <c r="P19" s="9" t="s">
        <v>29</v>
      </c>
      <c r="Q19" s="31">
        <v>1679805.7980723635</v>
      </c>
      <c r="R19" s="75" t="s">
        <v>30</v>
      </c>
      <c r="S19" s="30" t="s">
        <v>31</v>
      </c>
      <c r="T19" s="86"/>
      <c r="U19" s="9" t="s">
        <v>29</v>
      </c>
      <c r="V19" s="31">
        <v>1679805.7980723635</v>
      </c>
      <c r="W19" s="75" t="s">
        <v>30</v>
      </c>
      <c r="X19" s="30" t="s">
        <v>31</v>
      </c>
      <c r="Y19" s="86"/>
    </row>
    <row r="20" spans="1:25">
      <c r="A20" s="9" t="s">
        <v>33</v>
      </c>
      <c r="B20" s="75">
        <v>3567</v>
      </c>
      <c r="C20" s="75" t="s">
        <v>34</v>
      </c>
      <c r="D20" s="75" t="s">
        <v>35</v>
      </c>
      <c r="E20" s="75" t="s">
        <v>36</v>
      </c>
      <c r="F20" s="9" t="s">
        <v>33</v>
      </c>
      <c r="G20" s="75">
        <v>3600</v>
      </c>
      <c r="H20" s="75" t="s">
        <v>34</v>
      </c>
      <c r="I20" s="75" t="s">
        <v>35</v>
      </c>
      <c r="J20" s="86"/>
      <c r="K20" s="9" t="s">
        <v>33</v>
      </c>
      <c r="L20" s="75">
        <v>3600</v>
      </c>
      <c r="M20" s="75" t="s">
        <v>34</v>
      </c>
      <c r="N20" s="75" t="s">
        <v>35</v>
      </c>
      <c r="O20" s="86"/>
      <c r="P20" s="9" t="s">
        <v>33</v>
      </c>
      <c r="Q20" s="75">
        <v>3681</v>
      </c>
      <c r="R20" s="75" t="s">
        <v>34</v>
      </c>
      <c r="S20" s="75" t="s">
        <v>35</v>
      </c>
      <c r="T20" s="86"/>
      <c r="U20" s="9" t="s">
        <v>33</v>
      </c>
      <c r="V20" s="75">
        <v>3600</v>
      </c>
      <c r="W20" s="75" t="s">
        <v>34</v>
      </c>
      <c r="X20" s="75" t="s">
        <v>35</v>
      </c>
      <c r="Y20" s="86"/>
    </row>
    <row r="21" spans="1:25">
      <c r="A21" s="9" t="s">
        <v>37</v>
      </c>
      <c r="B21" s="75">
        <v>880</v>
      </c>
      <c r="C21" s="75" t="s">
        <v>38</v>
      </c>
      <c r="D21" s="75"/>
      <c r="E21" s="75"/>
      <c r="F21" s="9" t="s">
        <v>37</v>
      </c>
      <c r="G21" s="75">
        <v>1129</v>
      </c>
      <c r="H21" s="75" t="s">
        <v>38</v>
      </c>
      <c r="I21" s="75"/>
      <c r="J21" s="86"/>
      <c r="K21" s="9" t="s">
        <v>37</v>
      </c>
      <c r="L21" s="75">
        <v>1129</v>
      </c>
      <c r="M21" s="75" t="s">
        <v>38</v>
      </c>
      <c r="N21" s="75"/>
      <c r="O21" s="86"/>
      <c r="P21" s="9" t="s">
        <v>37</v>
      </c>
      <c r="Q21" s="75">
        <v>1073</v>
      </c>
      <c r="R21" s="75" t="s">
        <v>38</v>
      </c>
      <c r="S21" s="75"/>
      <c r="T21" s="86"/>
      <c r="U21" s="9" t="s">
        <v>37</v>
      </c>
      <c r="V21" s="75">
        <v>1129</v>
      </c>
      <c r="W21" s="75" t="s">
        <v>38</v>
      </c>
      <c r="X21" s="75"/>
      <c r="Y21" s="86"/>
    </row>
    <row r="22" spans="1:25">
      <c r="A22" s="9" t="s">
        <v>37</v>
      </c>
      <c r="B22" s="3">
        <f>880*0.907185</f>
        <v>798.32280000000003</v>
      </c>
      <c r="C22" s="75" t="s">
        <v>39</v>
      </c>
      <c r="D22" s="75" t="s">
        <v>40</v>
      </c>
      <c r="E22" s="75" t="s">
        <v>41</v>
      </c>
      <c r="F22" s="9" t="s">
        <v>37</v>
      </c>
      <c r="G22" s="3">
        <f>1129*0.907185</f>
        <v>1024.211865</v>
      </c>
      <c r="H22" s="75" t="s">
        <v>39</v>
      </c>
      <c r="I22" s="75" t="s">
        <v>40</v>
      </c>
      <c r="J22" s="86"/>
      <c r="K22" s="9" t="s">
        <v>37</v>
      </c>
      <c r="L22" s="3">
        <f>1129*0.907185</f>
        <v>1024.211865</v>
      </c>
      <c r="M22" s="75" t="s">
        <v>39</v>
      </c>
      <c r="N22" s="75" t="s">
        <v>40</v>
      </c>
      <c r="O22" s="86"/>
      <c r="P22" s="9" t="s">
        <v>37</v>
      </c>
      <c r="Q22" s="3">
        <f>1073*0.907185</f>
        <v>973.40950499999997</v>
      </c>
      <c r="R22" s="75" t="s">
        <v>39</v>
      </c>
      <c r="S22" s="75" t="s">
        <v>40</v>
      </c>
      <c r="T22" s="86"/>
      <c r="U22" s="9" t="s">
        <v>37</v>
      </c>
      <c r="V22" s="3">
        <f>1129*0.907185</f>
        <v>1024.211865</v>
      </c>
      <c r="W22" s="75" t="s">
        <v>39</v>
      </c>
      <c r="X22" s="75" t="s">
        <v>40</v>
      </c>
      <c r="Y22" s="86"/>
    </row>
    <row r="23" spans="1:25">
      <c r="A23" s="9" t="s">
        <v>42</v>
      </c>
      <c r="B23" s="29"/>
      <c r="C23" s="75"/>
      <c r="D23" s="75"/>
      <c r="E23" s="52"/>
      <c r="F23" s="9" t="s">
        <v>42</v>
      </c>
      <c r="G23" s="29"/>
      <c r="H23" s="75"/>
      <c r="I23" s="75"/>
      <c r="J23" s="86"/>
      <c r="K23" s="9" t="s">
        <v>42</v>
      </c>
      <c r="L23" s="29"/>
      <c r="M23" s="75"/>
      <c r="N23" s="75"/>
      <c r="O23" s="86"/>
      <c r="P23" s="9" t="s">
        <v>42</v>
      </c>
      <c r="Q23" s="29"/>
      <c r="R23" s="75"/>
      <c r="S23" s="75"/>
      <c r="T23" s="86"/>
      <c r="U23" s="9" t="s">
        <v>42</v>
      </c>
      <c r="V23" s="29"/>
      <c r="W23" s="75"/>
      <c r="X23" s="75"/>
      <c r="Y23" s="86"/>
    </row>
    <row r="24" spans="1:25">
      <c r="A24" s="54" t="s">
        <v>43</v>
      </c>
      <c r="B24" s="35">
        <v>5458.4505321180759</v>
      </c>
      <c r="C24" s="4" t="s">
        <v>44</v>
      </c>
      <c r="D24" s="4" t="s">
        <v>45</v>
      </c>
      <c r="E24" s="52"/>
      <c r="F24" s="10" t="s">
        <v>43</v>
      </c>
      <c r="G24" s="35">
        <v>5335.1413897669536</v>
      </c>
      <c r="H24" s="4" t="s">
        <v>44</v>
      </c>
      <c r="I24" s="4" t="s">
        <v>45</v>
      </c>
      <c r="J24" s="86"/>
      <c r="K24" s="10" t="s">
        <v>43</v>
      </c>
      <c r="L24" s="4">
        <v>5536</v>
      </c>
      <c r="M24" s="4" t="s">
        <v>44</v>
      </c>
      <c r="N24" s="4" t="s">
        <v>45</v>
      </c>
      <c r="O24" s="86"/>
      <c r="P24" s="10" t="s">
        <v>43</v>
      </c>
      <c r="Q24" s="4">
        <v>5585</v>
      </c>
      <c r="R24" s="4" t="s">
        <v>44</v>
      </c>
      <c r="S24" s="4" t="s">
        <v>45</v>
      </c>
      <c r="T24" s="86"/>
      <c r="U24" s="10" t="s">
        <v>43</v>
      </c>
      <c r="V24" s="4">
        <v>5406</v>
      </c>
      <c r="W24" s="4" t="s">
        <v>44</v>
      </c>
      <c r="X24" s="4" t="s">
        <v>45</v>
      </c>
      <c r="Y24" s="86"/>
    </row>
    <row r="25" spans="1:25">
      <c r="A25" s="54" t="s">
        <v>46</v>
      </c>
      <c r="B25" s="35">
        <v>6516.2628767011283</v>
      </c>
      <c r="C25" s="4" t="s">
        <v>44</v>
      </c>
      <c r="D25" s="4" t="s">
        <v>47</v>
      </c>
      <c r="E25" s="52"/>
      <c r="F25" s="10" t="s">
        <v>46</v>
      </c>
      <c r="G25" s="35">
        <v>6349.1968161164568</v>
      </c>
      <c r="H25" s="4" t="s">
        <v>44</v>
      </c>
      <c r="I25" s="4" t="s">
        <v>47</v>
      </c>
      <c r="J25" s="86"/>
      <c r="K25" s="10" t="s">
        <v>46</v>
      </c>
      <c r="L25" s="4">
        <v>6667</v>
      </c>
      <c r="M25" s="4" t="s">
        <v>44</v>
      </c>
      <c r="N25" s="4" t="s">
        <v>47</v>
      </c>
      <c r="O25" s="86"/>
      <c r="P25" s="10" t="s">
        <v>46</v>
      </c>
      <c r="Q25" s="4">
        <v>6733</v>
      </c>
      <c r="R25" s="4" t="s">
        <v>44</v>
      </c>
      <c r="S25" s="4" t="s">
        <v>47</v>
      </c>
      <c r="T25" s="86"/>
      <c r="U25" s="10" t="s">
        <v>46</v>
      </c>
      <c r="V25" s="4">
        <v>6456</v>
      </c>
      <c r="W25" s="4" t="s">
        <v>44</v>
      </c>
      <c r="X25" s="4" t="s">
        <v>47</v>
      </c>
      <c r="Y25" s="86"/>
    </row>
    <row r="26" spans="1:25">
      <c r="A26" s="54" t="s">
        <v>48</v>
      </c>
      <c r="B26" s="35">
        <v>60.878172887657961</v>
      </c>
      <c r="C26" s="4" t="s">
        <v>44</v>
      </c>
      <c r="D26" s="4" t="s">
        <v>49</v>
      </c>
      <c r="E26" s="52"/>
      <c r="F26" s="10" t="s">
        <v>48</v>
      </c>
      <c r="G26" s="35">
        <v>59.815923457605074</v>
      </c>
      <c r="H26" s="4" t="s">
        <v>44</v>
      </c>
      <c r="I26" s="4" t="s">
        <v>49</v>
      </c>
      <c r="J26" s="86"/>
      <c r="K26" s="10" t="s">
        <v>48</v>
      </c>
      <c r="L26" s="4">
        <v>64</v>
      </c>
      <c r="M26" s="4" t="s">
        <v>44</v>
      </c>
      <c r="N26" s="4" t="s">
        <v>49</v>
      </c>
      <c r="O26" s="86"/>
      <c r="P26" s="10" t="s">
        <v>48</v>
      </c>
      <c r="Q26" s="4">
        <v>64</v>
      </c>
      <c r="R26" s="4" t="s">
        <v>44</v>
      </c>
      <c r="S26" s="4" t="s">
        <v>49</v>
      </c>
      <c r="T26" s="86"/>
      <c r="U26" s="10" t="s">
        <v>48</v>
      </c>
      <c r="V26" s="4">
        <v>61</v>
      </c>
      <c r="W26" s="4" t="s">
        <v>44</v>
      </c>
      <c r="X26" s="4" t="s">
        <v>49</v>
      </c>
      <c r="Y26" s="86"/>
    </row>
    <row r="27" spans="1:25">
      <c r="A27" s="54" t="s">
        <v>50</v>
      </c>
      <c r="B27" s="35">
        <v>55.513455013270551</v>
      </c>
      <c r="C27" s="4" t="s">
        <v>44</v>
      </c>
      <c r="D27" s="4" t="s">
        <v>51</v>
      </c>
      <c r="E27" s="52"/>
      <c r="F27" s="10" t="s">
        <v>50</v>
      </c>
      <c r="G27" s="35">
        <v>55.465846233674775</v>
      </c>
      <c r="H27" s="4" t="s">
        <v>44</v>
      </c>
      <c r="I27" s="4" t="s">
        <v>51</v>
      </c>
      <c r="J27" s="86"/>
      <c r="K27" s="10" t="s">
        <v>50</v>
      </c>
      <c r="L27" s="4">
        <v>56.8</v>
      </c>
      <c r="M27" s="4" t="s">
        <v>44</v>
      </c>
      <c r="N27" s="4" t="s">
        <v>51</v>
      </c>
      <c r="O27" s="86"/>
      <c r="P27" s="10" t="s">
        <v>50</v>
      </c>
      <c r="Q27" s="4">
        <v>56</v>
      </c>
      <c r="R27" s="4" t="s">
        <v>44</v>
      </c>
      <c r="S27" s="4" t="s">
        <v>51</v>
      </c>
      <c r="T27" s="86"/>
      <c r="U27" s="10" t="s">
        <v>50</v>
      </c>
      <c r="V27" s="4">
        <v>56</v>
      </c>
      <c r="W27" s="4" t="s">
        <v>44</v>
      </c>
      <c r="X27" s="4" t="s">
        <v>51</v>
      </c>
      <c r="Y27" s="86"/>
    </row>
    <row r="28" spans="1:25">
      <c r="A28" s="54" t="s">
        <v>52</v>
      </c>
      <c r="B28" s="35">
        <v>278.58450065724077</v>
      </c>
      <c r="C28" s="4" t="s">
        <v>44</v>
      </c>
      <c r="D28" s="4" t="s">
        <v>53</v>
      </c>
      <c r="E28" s="52"/>
      <c r="F28" s="10" t="s">
        <v>52</v>
      </c>
      <c r="G28" s="35">
        <v>264.67908151529184</v>
      </c>
      <c r="H28" s="4" t="s">
        <v>44</v>
      </c>
      <c r="I28" s="4" t="s">
        <v>53</v>
      </c>
      <c r="J28" s="86"/>
      <c r="K28" s="10" t="s">
        <v>52</v>
      </c>
      <c r="L28" s="6">
        <v>277</v>
      </c>
      <c r="M28" s="4" t="s">
        <v>44</v>
      </c>
      <c r="N28" s="4" t="s">
        <v>53</v>
      </c>
      <c r="O28" s="86"/>
      <c r="P28" s="10" t="s">
        <v>52</v>
      </c>
      <c r="Q28" s="6">
        <v>264</v>
      </c>
      <c r="R28" s="4" t="s">
        <v>44</v>
      </c>
      <c r="S28" s="4" t="s">
        <v>53</v>
      </c>
      <c r="T28" s="86"/>
      <c r="U28" s="10" t="s">
        <v>52</v>
      </c>
      <c r="V28" s="6">
        <v>247</v>
      </c>
      <c r="W28" s="4" t="s">
        <v>44</v>
      </c>
      <c r="X28" s="4" t="s">
        <v>53</v>
      </c>
      <c r="Y28" s="86"/>
    </row>
    <row r="29" spans="1:25">
      <c r="A29" s="54" t="s">
        <v>54</v>
      </c>
      <c r="B29" s="4">
        <v>218.38877191923336</v>
      </c>
      <c r="C29" s="4" t="s">
        <v>44</v>
      </c>
      <c r="D29" s="4" t="s">
        <v>55</v>
      </c>
      <c r="E29" s="52"/>
      <c r="F29" s="10" t="s">
        <v>54</v>
      </c>
      <c r="G29" s="35">
        <v>218.38877191923336</v>
      </c>
      <c r="H29" s="4" t="s">
        <v>44</v>
      </c>
      <c r="I29" s="4" t="s">
        <v>55</v>
      </c>
      <c r="J29" s="86"/>
      <c r="K29" s="10" t="s">
        <v>54</v>
      </c>
      <c r="L29" s="6">
        <v>222</v>
      </c>
      <c r="M29" s="4" t="s">
        <v>44</v>
      </c>
      <c r="N29" s="4" t="s">
        <v>55</v>
      </c>
      <c r="O29" s="86"/>
      <c r="P29" s="10" t="s">
        <v>54</v>
      </c>
      <c r="Q29" s="6">
        <v>224</v>
      </c>
      <c r="R29" s="4" t="s">
        <v>44</v>
      </c>
      <c r="S29" s="4" t="s">
        <v>55</v>
      </c>
      <c r="T29" s="86"/>
      <c r="U29" s="10" t="s">
        <v>54</v>
      </c>
      <c r="V29" s="6">
        <v>223</v>
      </c>
      <c r="W29" s="4" t="s">
        <v>44</v>
      </c>
      <c r="X29" s="4" t="s">
        <v>55</v>
      </c>
      <c r="Y29" s="86"/>
    </row>
    <row r="30" spans="1:25" ht="15.75" thickBot="1">
      <c r="A30" s="54" t="s">
        <v>56</v>
      </c>
      <c r="B30" s="4">
        <v>6.8673219559215566</v>
      </c>
      <c r="C30" s="4" t="s">
        <v>44</v>
      </c>
      <c r="D30" s="4" t="s">
        <v>57</v>
      </c>
      <c r="E30" s="53"/>
      <c r="F30" s="11" t="s">
        <v>56</v>
      </c>
      <c r="G30" s="35">
        <v>6.8673219559215566</v>
      </c>
      <c r="H30" s="5" t="s">
        <v>44</v>
      </c>
      <c r="I30" s="5" t="s">
        <v>57</v>
      </c>
      <c r="J30" s="87"/>
      <c r="K30" s="11" t="s">
        <v>56</v>
      </c>
      <c r="L30" s="12">
        <v>7.0424153841738928</v>
      </c>
      <c r="M30" s="5" t="s">
        <v>44</v>
      </c>
      <c r="N30" s="5" t="s">
        <v>57</v>
      </c>
      <c r="O30" s="87"/>
      <c r="P30" s="11" t="s">
        <v>56</v>
      </c>
      <c r="Q30" s="12">
        <v>7.0424153841738928</v>
      </c>
      <c r="R30" s="5" t="s">
        <v>44</v>
      </c>
      <c r="S30" s="5" t="s">
        <v>57</v>
      </c>
      <c r="T30" s="87"/>
      <c r="U30" s="11" t="s">
        <v>56</v>
      </c>
      <c r="V30" s="12">
        <v>7.0424153841738928</v>
      </c>
      <c r="W30" s="5" t="s">
        <v>44</v>
      </c>
      <c r="X30" s="5" t="s">
        <v>57</v>
      </c>
      <c r="Y30" s="87"/>
    </row>
    <row r="31" spans="1:25" ht="15" customHeight="1">
      <c r="A31" s="75"/>
      <c r="B31" s="3"/>
      <c r="C31" s="75"/>
      <c r="D31" s="75"/>
      <c r="E31" s="75"/>
      <c r="F31" s="75"/>
      <c r="G31" s="75"/>
      <c r="H31" s="7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</row>
    <row r="32" spans="1:25" ht="15" customHeight="1">
      <c r="A32" s="75"/>
      <c r="B32" s="3"/>
      <c r="C32" s="75"/>
      <c r="D32" s="75"/>
      <c r="E32" s="75"/>
      <c r="F32" s="75"/>
      <c r="G32" s="75"/>
      <c r="H32" s="7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</row>
    <row r="34" spans="1:25" ht="15.75" thickBot="1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</row>
    <row r="35" spans="1:25" ht="24">
      <c r="A35" s="37" t="s">
        <v>58</v>
      </c>
      <c r="B35" s="38"/>
      <c r="C35" s="38"/>
      <c r="D35" s="38"/>
      <c r="E35" s="39"/>
      <c r="F35" s="75" t="s">
        <v>59</v>
      </c>
      <c r="G35" s="75"/>
      <c r="H35" s="75"/>
      <c r="I35" s="37" t="s">
        <v>60</v>
      </c>
      <c r="J35" s="38"/>
      <c r="K35" s="38"/>
      <c r="L35" s="38"/>
      <c r="M35" s="38"/>
      <c r="N35" s="38"/>
      <c r="O35" s="38"/>
      <c r="P35" s="39"/>
      <c r="Q35" s="75" t="s">
        <v>59</v>
      </c>
      <c r="R35" s="75"/>
      <c r="S35" s="75"/>
      <c r="T35" s="75"/>
      <c r="U35" s="75"/>
      <c r="V35" s="75"/>
      <c r="W35" s="75"/>
      <c r="X35" s="75"/>
      <c r="Y35" s="75"/>
    </row>
    <row r="36" spans="1:25" ht="114.75" customHeight="1">
      <c r="A36" s="42" t="s">
        <v>61</v>
      </c>
      <c r="B36" s="48" t="s">
        <v>62</v>
      </c>
      <c r="C36" s="36" t="s">
        <v>63</v>
      </c>
      <c r="D36" s="48" t="s">
        <v>64</v>
      </c>
      <c r="E36" s="43"/>
      <c r="F36" s="75"/>
      <c r="G36" s="75"/>
      <c r="H36" s="75"/>
      <c r="I36" s="40" t="s">
        <v>61</v>
      </c>
      <c r="J36" s="78" t="s">
        <v>65</v>
      </c>
      <c r="K36" s="78"/>
      <c r="L36" s="78"/>
      <c r="M36" s="78"/>
      <c r="N36" s="78"/>
      <c r="O36" s="78"/>
      <c r="P36" s="79"/>
      <c r="Q36" s="75"/>
      <c r="R36" s="75"/>
      <c r="S36" s="75" t="s">
        <v>66</v>
      </c>
      <c r="T36" s="75"/>
      <c r="U36" s="75"/>
      <c r="V36" s="36"/>
      <c r="W36" s="36"/>
      <c r="X36" s="75"/>
      <c r="Y36" s="75"/>
    </row>
    <row r="37" spans="1:25" ht="15.75" thickBot="1">
      <c r="A37" s="42">
        <v>2025</v>
      </c>
      <c r="B37" s="49">
        <v>0</v>
      </c>
      <c r="C37" s="49"/>
      <c r="D37" s="49">
        <f>C37</f>
        <v>0</v>
      </c>
      <c r="E37" s="43"/>
      <c r="F37" s="75"/>
      <c r="G37" s="75"/>
      <c r="H37" s="75"/>
      <c r="I37" s="1"/>
      <c r="J37" s="10" t="s">
        <v>43</v>
      </c>
      <c r="K37" s="10" t="s">
        <v>46</v>
      </c>
      <c r="L37" s="10" t="s">
        <v>48</v>
      </c>
      <c r="M37" s="10" t="s">
        <v>50</v>
      </c>
      <c r="N37" s="10" t="s">
        <v>52</v>
      </c>
      <c r="O37" s="10" t="s">
        <v>54</v>
      </c>
      <c r="P37" s="41" t="s">
        <v>56</v>
      </c>
      <c r="Q37" s="75"/>
      <c r="R37" s="75"/>
      <c r="S37" s="10" t="s">
        <v>43</v>
      </c>
      <c r="T37" s="10" t="s">
        <v>46</v>
      </c>
      <c r="U37" s="10" t="s">
        <v>48</v>
      </c>
      <c r="V37" s="10" t="s">
        <v>50</v>
      </c>
      <c r="W37" s="10" t="s">
        <v>52</v>
      </c>
      <c r="X37" s="10" t="s">
        <v>54</v>
      </c>
      <c r="Y37" s="41" t="s">
        <v>56</v>
      </c>
    </row>
    <row r="38" spans="1:25">
      <c r="A38" s="42">
        <v>2026</v>
      </c>
      <c r="B38" s="49">
        <v>0</v>
      </c>
      <c r="C38" s="49"/>
      <c r="D38" s="49">
        <f>C38+D37</f>
        <v>0</v>
      </c>
      <c r="E38" s="43"/>
      <c r="F38" s="75"/>
      <c r="G38" s="75"/>
      <c r="H38" s="75"/>
      <c r="I38" s="42">
        <v>2025</v>
      </c>
      <c r="J38" s="75"/>
      <c r="K38" s="75"/>
      <c r="L38" s="75"/>
      <c r="M38" s="75"/>
      <c r="N38" s="75"/>
      <c r="O38" s="75"/>
      <c r="P38" s="43"/>
      <c r="Q38" s="75"/>
      <c r="R38" s="75"/>
      <c r="S38" s="55">
        <f>J43*0.000453592</f>
        <v>14.813944518063348</v>
      </c>
      <c r="T38" s="55">
        <f t="shared" ref="T38:Y38" si="0">K43*0.000453592</f>
        <v>17.719534913969028</v>
      </c>
      <c r="U38" s="55">
        <f t="shared" si="0"/>
        <v>0.1675515290988811</v>
      </c>
      <c r="V38" s="55">
        <f t="shared" si="0"/>
        <v>0.15220669762240885</v>
      </c>
      <c r="W38" s="55">
        <f t="shared" si="0"/>
        <v>0.74412999752960673</v>
      </c>
      <c r="X38" s="55">
        <f t="shared" si="0"/>
        <v>0.59763244732955556</v>
      </c>
      <c r="Y38" s="55">
        <f t="shared" si="0"/>
        <v>1.8848615760397893E-2</v>
      </c>
    </row>
    <row r="39" spans="1:25">
      <c r="A39" s="42">
        <v>2027</v>
      </c>
      <c r="B39" s="49">
        <v>0</v>
      </c>
      <c r="C39" s="49">
        <f>B39*'[2]Program Costs'!$B$44</f>
        <v>0</v>
      </c>
      <c r="D39" s="49">
        <f>C39+D38</f>
        <v>0</v>
      </c>
      <c r="E39" s="43"/>
      <c r="F39" s="75"/>
      <c r="G39" s="75"/>
      <c r="H39" s="75"/>
      <c r="I39" s="42">
        <v>2026</v>
      </c>
      <c r="J39" s="75"/>
      <c r="K39" s="75"/>
      <c r="L39" s="75"/>
      <c r="M39" s="75"/>
      <c r="N39" s="75"/>
      <c r="O39" s="75"/>
      <c r="P39" s="43"/>
      <c r="Q39" s="75"/>
      <c r="R39" s="75"/>
      <c r="S39" s="75"/>
      <c r="T39" s="75"/>
      <c r="U39" s="75"/>
      <c r="V39" s="75"/>
      <c r="W39" s="75"/>
      <c r="X39" s="75"/>
      <c r="Y39" s="75"/>
    </row>
    <row r="40" spans="1:25">
      <c r="A40" s="42">
        <v>2028</v>
      </c>
      <c r="B40" s="49">
        <v>0</v>
      </c>
      <c r="C40" s="49">
        <f>B40*'[2]Program Costs'!$B$44</f>
        <v>0</v>
      </c>
      <c r="D40" s="49">
        <f t="shared" ref="D40" si="1">C40+D39</f>
        <v>0</v>
      </c>
      <c r="E40" s="43"/>
      <c r="F40" s="75"/>
      <c r="G40" s="75"/>
      <c r="H40" s="34"/>
      <c r="I40" s="42">
        <v>2027</v>
      </c>
      <c r="J40" s="75"/>
      <c r="K40" s="75"/>
      <c r="L40" s="75"/>
      <c r="M40" s="75"/>
      <c r="N40" s="75"/>
      <c r="O40" s="75"/>
      <c r="P40" s="43"/>
      <c r="Q40" s="75"/>
      <c r="R40" s="75"/>
      <c r="S40" s="75"/>
      <c r="T40" s="75"/>
      <c r="U40" s="75"/>
      <c r="V40" s="75"/>
      <c r="W40" s="75"/>
      <c r="X40" s="75"/>
      <c r="Y40" s="75"/>
    </row>
    <row r="41" spans="1:25">
      <c r="A41" s="42">
        <v>2029</v>
      </c>
      <c r="B41" s="49">
        <f>2*(B22*(9/12)+G22*(9/12)+L22*(9/12))</f>
        <v>4270.1197949999996</v>
      </c>
      <c r="C41" s="49">
        <f>B41*'Program Costs'!$B$24</f>
        <v>3804.0687427454354</v>
      </c>
      <c r="D41" s="49">
        <f>C41</f>
        <v>3804.0687427454354</v>
      </c>
      <c r="E41" s="43"/>
      <c r="F41" s="75"/>
      <c r="G41" s="75"/>
      <c r="H41" s="34"/>
      <c r="I41" s="42">
        <v>2028</v>
      </c>
      <c r="J41" s="75"/>
      <c r="K41" s="75"/>
      <c r="L41" s="75"/>
      <c r="M41" s="75"/>
      <c r="N41" s="75"/>
      <c r="O41" s="75"/>
      <c r="P41" s="43"/>
      <c r="Q41" s="75"/>
      <c r="R41" s="75"/>
      <c r="S41" s="75"/>
      <c r="T41" s="75"/>
      <c r="U41" s="75"/>
      <c r="V41" s="75"/>
      <c r="W41" s="75"/>
      <c r="X41" s="75"/>
      <c r="Y41" s="75"/>
    </row>
    <row r="42" spans="1:25">
      <c r="A42" s="42">
        <v>2030</v>
      </c>
      <c r="B42" s="49">
        <f>2*(B22+G22+L22)</f>
        <v>5693.4930600000007</v>
      </c>
      <c r="C42" s="49">
        <f>B42*'Program Costs'!$B$24</f>
        <v>5072.0916569939154</v>
      </c>
      <c r="D42" s="73">
        <f>C42+D41</f>
        <v>8876.1603997393504</v>
      </c>
      <c r="E42" s="43"/>
      <c r="F42" s="75"/>
      <c r="G42" s="75"/>
      <c r="H42" s="34"/>
      <c r="I42" s="42">
        <v>2029</v>
      </c>
      <c r="J42" s="44">
        <f t="shared" ref="J42:P42" si="2">(J43*(9/12))</f>
        <v>24494.387882827541</v>
      </c>
      <c r="K42" s="45">
        <f t="shared" si="2"/>
        <v>29298.689539226376</v>
      </c>
      <c r="L42" s="44">
        <f t="shared" si="2"/>
        <v>277.04114451789457</v>
      </c>
      <c r="M42" s="44">
        <f t="shared" si="2"/>
        <v>251.66895187041797</v>
      </c>
      <c r="N42" s="44">
        <f t="shared" si="2"/>
        <v>1230.3953732587988</v>
      </c>
      <c r="O42" s="44">
        <f t="shared" si="2"/>
        <v>988.16631575770009</v>
      </c>
      <c r="P42" s="46">
        <f t="shared" si="2"/>
        <v>31.165588944025512</v>
      </c>
      <c r="Q42" s="75"/>
      <c r="R42" s="75"/>
      <c r="S42" s="75"/>
      <c r="T42" s="75"/>
      <c r="U42" s="75"/>
      <c r="V42" s="75"/>
      <c r="W42" s="75"/>
      <c r="X42" s="75"/>
      <c r="Y42" s="75"/>
    </row>
    <row r="43" spans="1:25">
      <c r="A43" s="42">
        <v>2031</v>
      </c>
      <c r="B43" s="49">
        <f t="shared" ref="B43:B62" si="3">B42</f>
        <v>5693.4930600000007</v>
      </c>
      <c r="C43" s="49">
        <f>B43*'Program Costs'!$B$24</f>
        <v>5072.0916569939154</v>
      </c>
      <c r="D43" s="49">
        <f>D42+C43</f>
        <v>13948.252056733265</v>
      </c>
      <c r="E43" s="43"/>
      <c r="F43" s="75"/>
      <c r="G43" s="75"/>
      <c r="H43" s="34"/>
      <c r="I43" s="42">
        <v>2030</v>
      </c>
      <c r="J43" s="44">
        <f>2*(B24+G24+L24)</f>
        <v>32659.183843770057</v>
      </c>
      <c r="K43" s="44">
        <f>2*(B25+G25+L25)</f>
        <v>39064.91938563517</v>
      </c>
      <c r="L43" s="44">
        <f>2*(B26+G26+L26)</f>
        <v>369.38819269052607</v>
      </c>
      <c r="M43" s="44">
        <f>2*(B27+G27+L27)</f>
        <v>335.55860249389065</v>
      </c>
      <c r="N43" s="44">
        <f>2*(B28+G28+L28)</f>
        <v>1640.5271643450651</v>
      </c>
      <c r="O43" s="44">
        <f>2*(B29+G29+L29)</f>
        <v>1317.5550876769335</v>
      </c>
      <c r="P43" s="46">
        <f>2*(B30+G30+L30)</f>
        <v>41.554118592034015</v>
      </c>
      <c r="Q43" s="75"/>
      <c r="R43" s="75"/>
      <c r="S43" s="75"/>
      <c r="T43" s="75"/>
      <c r="U43" s="75"/>
      <c r="V43" s="75"/>
      <c r="W43" s="75"/>
      <c r="X43" s="75"/>
      <c r="Y43" s="75"/>
    </row>
    <row r="44" spans="1:25">
      <c r="A44" s="42">
        <v>2032</v>
      </c>
      <c r="B44" s="49">
        <f t="shared" si="3"/>
        <v>5693.4930600000007</v>
      </c>
      <c r="C44" s="49">
        <f>B44*'Program Costs'!$B$24</f>
        <v>5072.0916569939154</v>
      </c>
      <c r="D44" s="49">
        <f t="shared" ref="D44:D62" si="4">D43+C44</f>
        <v>19020.343713727179</v>
      </c>
      <c r="E44" s="43"/>
      <c r="F44" s="75"/>
      <c r="G44" s="75"/>
      <c r="H44" s="34"/>
      <c r="I44" s="42">
        <v>2031</v>
      </c>
      <c r="J44" s="44">
        <f>J43+32659</f>
        <v>65318.183843770057</v>
      </c>
      <c r="K44" s="44">
        <f>K43+39065</f>
        <v>78129.919385635178</v>
      </c>
      <c r="L44" s="44">
        <f>L43+369</f>
        <v>738.38819269052601</v>
      </c>
      <c r="M44" s="44">
        <f>M43+336</f>
        <v>671.5586024938907</v>
      </c>
      <c r="N44" s="44">
        <f>N43+1641</f>
        <v>3281.5271643450651</v>
      </c>
      <c r="O44" s="44">
        <f>O43+1318</f>
        <v>2635.5550876769335</v>
      </c>
      <c r="P44" s="46">
        <f>P43+42</f>
        <v>83.554118592034015</v>
      </c>
      <c r="Q44" s="75"/>
      <c r="R44" s="75"/>
      <c r="S44" s="75"/>
      <c r="T44" s="75"/>
      <c r="U44" s="75"/>
      <c r="V44" s="75"/>
      <c r="W44" s="75"/>
      <c r="X44" s="75"/>
      <c r="Y44" s="75"/>
    </row>
    <row r="45" spans="1:25">
      <c r="A45" s="42">
        <v>2033</v>
      </c>
      <c r="B45" s="49">
        <f t="shared" si="3"/>
        <v>5693.4930600000007</v>
      </c>
      <c r="C45" s="49">
        <f>B45*'Program Costs'!$B$24</f>
        <v>5072.0916569939154</v>
      </c>
      <c r="D45" s="49">
        <f t="shared" si="4"/>
        <v>24092.435370721094</v>
      </c>
      <c r="E45" s="43"/>
      <c r="F45" s="75"/>
      <c r="G45" s="75"/>
      <c r="H45" s="34"/>
      <c r="I45" s="42">
        <v>2032</v>
      </c>
      <c r="J45" s="44">
        <f t="shared" ref="J45:J63" si="5">J44+32659</f>
        <v>97977.183843770064</v>
      </c>
      <c r="K45" s="44">
        <f t="shared" ref="K45:K63" si="6">K44+39065</f>
        <v>117194.91938563518</v>
      </c>
      <c r="L45" s="44">
        <f t="shared" ref="L45:L63" si="7">L44+369</f>
        <v>1107.388192690526</v>
      </c>
      <c r="M45" s="44">
        <f t="shared" ref="M45:M63" si="8">M44+336</f>
        <v>1007.5586024938907</v>
      </c>
      <c r="N45" s="44">
        <f t="shared" ref="N45:N63" si="9">N44+1641</f>
        <v>4922.5271643450651</v>
      </c>
      <c r="O45" s="44">
        <f t="shared" ref="O45:O63" si="10">O44+1318</f>
        <v>3953.5550876769335</v>
      </c>
      <c r="P45" s="46">
        <f t="shared" ref="P45:P63" si="11">P44+42</f>
        <v>125.55411859203402</v>
      </c>
      <c r="Q45" s="75"/>
      <c r="R45" s="75"/>
      <c r="S45" s="75"/>
      <c r="T45" s="75"/>
      <c r="U45" s="75"/>
      <c r="V45" s="75"/>
      <c r="W45" s="75"/>
      <c r="X45" s="75"/>
      <c r="Y45" s="75"/>
    </row>
    <row r="46" spans="1:25">
      <c r="A46" s="42">
        <v>2034</v>
      </c>
      <c r="B46" s="49">
        <f t="shared" si="3"/>
        <v>5693.4930600000007</v>
      </c>
      <c r="C46" s="49">
        <f>B46*'Program Costs'!$B$24</f>
        <v>5072.0916569939154</v>
      </c>
      <c r="D46" s="49">
        <f t="shared" si="4"/>
        <v>29164.527027715008</v>
      </c>
      <c r="E46" s="43"/>
      <c r="F46" s="75"/>
      <c r="G46" s="75"/>
      <c r="H46" s="34"/>
      <c r="I46" s="42">
        <v>2033</v>
      </c>
      <c r="J46" s="44">
        <f t="shared" si="5"/>
        <v>130636.18384377006</v>
      </c>
      <c r="K46" s="44">
        <f t="shared" si="6"/>
        <v>156259.91938563518</v>
      </c>
      <c r="L46" s="44">
        <f t="shared" si="7"/>
        <v>1476.388192690526</v>
      </c>
      <c r="M46" s="44">
        <f t="shared" si="8"/>
        <v>1343.5586024938907</v>
      </c>
      <c r="N46" s="44">
        <f t="shared" si="9"/>
        <v>6563.5271643450651</v>
      </c>
      <c r="O46" s="44">
        <f t="shared" si="10"/>
        <v>5271.5550876769339</v>
      </c>
      <c r="P46" s="46">
        <f t="shared" si="11"/>
        <v>167.554118592034</v>
      </c>
      <c r="Q46" s="75"/>
      <c r="R46" s="75"/>
      <c r="S46" s="75"/>
      <c r="T46" s="75"/>
      <c r="U46" s="75"/>
      <c r="V46" s="75"/>
      <c r="W46" s="75"/>
      <c r="X46" s="75"/>
      <c r="Y46" s="75"/>
    </row>
    <row r="47" spans="1:25">
      <c r="A47" s="42">
        <v>2035</v>
      </c>
      <c r="B47" s="49">
        <f t="shared" si="3"/>
        <v>5693.4930600000007</v>
      </c>
      <c r="C47" s="49">
        <f>B47*'Program Costs'!$B$24</f>
        <v>5072.0916569939154</v>
      </c>
      <c r="D47" s="49">
        <f t="shared" si="4"/>
        <v>34236.618684708927</v>
      </c>
      <c r="E47" s="43"/>
      <c r="F47" s="75"/>
      <c r="G47" s="75"/>
      <c r="H47" s="75"/>
      <c r="I47" s="42">
        <v>2034</v>
      </c>
      <c r="J47" s="44">
        <f t="shared" si="5"/>
        <v>163295.18384377006</v>
      </c>
      <c r="K47" s="44">
        <f t="shared" si="6"/>
        <v>195324.91938563518</v>
      </c>
      <c r="L47" s="44">
        <f t="shared" si="7"/>
        <v>1845.388192690526</v>
      </c>
      <c r="M47" s="44">
        <f t="shared" si="8"/>
        <v>1679.5586024938907</v>
      </c>
      <c r="N47" s="44">
        <f t="shared" si="9"/>
        <v>8204.5271643450651</v>
      </c>
      <c r="O47" s="44">
        <f t="shared" si="10"/>
        <v>6589.5550876769339</v>
      </c>
      <c r="P47" s="46">
        <f t="shared" si="11"/>
        <v>209.554118592034</v>
      </c>
      <c r="Q47" s="75"/>
      <c r="R47" s="75"/>
      <c r="S47" s="75"/>
      <c r="T47" s="75"/>
      <c r="U47" s="75"/>
      <c r="V47" s="75"/>
      <c r="W47" s="75"/>
      <c r="X47" s="75"/>
      <c r="Y47" s="75"/>
    </row>
    <row r="48" spans="1:25">
      <c r="A48" s="42">
        <v>2036</v>
      </c>
      <c r="B48" s="49">
        <f t="shared" si="3"/>
        <v>5693.4930600000007</v>
      </c>
      <c r="C48" s="49">
        <f>B48*'Program Costs'!$B$24</f>
        <v>5072.0916569939154</v>
      </c>
      <c r="D48" s="49">
        <f t="shared" si="4"/>
        <v>39308.710341702841</v>
      </c>
      <c r="E48" s="43"/>
      <c r="F48" s="75"/>
      <c r="G48" s="75"/>
      <c r="H48" s="75"/>
      <c r="I48" s="42">
        <v>2035</v>
      </c>
      <c r="J48" s="44">
        <f t="shared" si="5"/>
        <v>195954.18384377006</v>
      </c>
      <c r="K48" s="44">
        <f t="shared" si="6"/>
        <v>234389.91938563518</v>
      </c>
      <c r="L48" s="44">
        <f t="shared" si="7"/>
        <v>2214.388192690526</v>
      </c>
      <c r="M48" s="44">
        <f t="shared" si="8"/>
        <v>2015.5586024938907</v>
      </c>
      <c r="N48" s="44">
        <f t="shared" si="9"/>
        <v>9845.5271643450651</v>
      </c>
      <c r="O48" s="44">
        <f t="shared" si="10"/>
        <v>7907.5550876769339</v>
      </c>
      <c r="P48" s="46">
        <f t="shared" si="11"/>
        <v>251.554118592034</v>
      </c>
      <c r="Q48" s="75"/>
      <c r="R48" s="75"/>
      <c r="S48" s="75"/>
      <c r="T48" s="75"/>
      <c r="U48" s="75"/>
      <c r="V48" s="75"/>
      <c r="W48" s="75"/>
      <c r="X48" s="75"/>
      <c r="Y48" s="75"/>
    </row>
    <row r="49" spans="1:16">
      <c r="A49" s="42">
        <v>2037</v>
      </c>
      <c r="B49" s="49">
        <f t="shared" si="3"/>
        <v>5693.4930600000007</v>
      </c>
      <c r="C49" s="49">
        <f>B49*'Program Costs'!$B$24</f>
        <v>5072.0916569939154</v>
      </c>
      <c r="D49" s="49">
        <f t="shared" si="4"/>
        <v>44380.801998696756</v>
      </c>
      <c r="E49" s="43"/>
      <c r="F49" s="75"/>
      <c r="G49" s="75"/>
      <c r="H49" s="75"/>
      <c r="I49" s="42">
        <v>2036</v>
      </c>
      <c r="J49" s="44">
        <f t="shared" si="5"/>
        <v>228613.18384377006</v>
      </c>
      <c r="K49" s="44">
        <f t="shared" si="6"/>
        <v>273454.91938563518</v>
      </c>
      <c r="L49" s="44">
        <f t="shared" si="7"/>
        <v>2583.388192690526</v>
      </c>
      <c r="M49" s="44">
        <f t="shared" si="8"/>
        <v>2351.5586024938907</v>
      </c>
      <c r="N49" s="44">
        <f t="shared" si="9"/>
        <v>11486.527164345065</v>
      </c>
      <c r="O49" s="44">
        <f t="shared" si="10"/>
        <v>9225.5550876769339</v>
      </c>
      <c r="P49" s="46">
        <f t="shared" si="11"/>
        <v>293.554118592034</v>
      </c>
    </row>
    <row r="50" spans="1:16">
      <c r="A50" s="42">
        <v>2038</v>
      </c>
      <c r="B50" s="49">
        <f t="shared" si="3"/>
        <v>5693.4930600000007</v>
      </c>
      <c r="C50" s="49">
        <f>B50*'Program Costs'!$B$24</f>
        <v>5072.0916569939154</v>
      </c>
      <c r="D50" s="49">
        <f t="shared" si="4"/>
        <v>49452.89365569067</v>
      </c>
      <c r="E50" s="43"/>
      <c r="F50" s="75"/>
      <c r="G50" s="75"/>
      <c r="H50" s="75"/>
      <c r="I50" s="42">
        <v>2037</v>
      </c>
      <c r="J50" s="44">
        <f t="shared" si="5"/>
        <v>261272.18384377006</v>
      </c>
      <c r="K50" s="44">
        <f t="shared" si="6"/>
        <v>312519.91938563518</v>
      </c>
      <c r="L50" s="44">
        <f t="shared" si="7"/>
        <v>2952.388192690526</v>
      </c>
      <c r="M50" s="44">
        <f t="shared" si="8"/>
        <v>2687.5586024938907</v>
      </c>
      <c r="N50" s="44">
        <f t="shared" si="9"/>
        <v>13127.527164345065</v>
      </c>
      <c r="O50" s="44">
        <f t="shared" si="10"/>
        <v>10543.555087676934</v>
      </c>
      <c r="P50" s="46">
        <f t="shared" si="11"/>
        <v>335.554118592034</v>
      </c>
    </row>
    <row r="51" spans="1:16">
      <c r="A51" s="42">
        <v>2039</v>
      </c>
      <c r="B51" s="49">
        <f t="shared" si="3"/>
        <v>5693.4930600000007</v>
      </c>
      <c r="C51" s="49">
        <f>B51*'Program Costs'!$B$24</f>
        <v>5072.0916569939154</v>
      </c>
      <c r="D51" s="49">
        <f t="shared" si="4"/>
        <v>54524.985312684585</v>
      </c>
      <c r="E51" s="43"/>
      <c r="F51" s="75"/>
      <c r="G51" s="75"/>
      <c r="H51" s="75"/>
      <c r="I51" s="42">
        <v>2038</v>
      </c>
      <c r="J51" s="44">
        <f t="shared" si="5"/>
        <v>293931.18384377006</v>
      </c>
      <c r="K51" s="44">
        <f t="shared" si="6"/>
        <v>351584.91938563518</v>
      </c>
      <c r="L51" s="44">
        <f t="shared" si="7"/>
        <v>3321.388192690526</v>
      </c>
      <c r="M51" s="44">
        <f t="shared" si="8"/>
        <v>3023.5586024938907</v>
      </c>
      <c r="N51" s="44">
        <f t="shared" si="9"/>
        <v>14768.527164345065</v>
      </c>
      <c r="O51" s="44">
        <f t="shared" si="10"/>
        <v>11861.555087676934</v>
      </c>
      <c r="P51" s="46">
        <f t="shared" si="11"/>
        <v>377.554118592034</v>
      </c>
    </row>
    <row r="52" spans="1:16">
      <c r="A52" s="42">
        <v>2040</v>
      </c>
      <c r="B52" s="49">
        <f t="shared" si="3"/>
        <v>5693.4930600000007</v>
      </c>
      <c r="C52" s="49">
        <f>B52*'Program Costs'!$B$24</f>
        <v>5072.0916569939154</v>
      </c>
      <c r="D52" s="49">
        <f t="shared" si="4"/>
        <v>59597.076969678499</v>
      </c>
      <c r="E52" s="43"/>
      <c r="F52" s="75"/>
      <c r="G52" s="75"/>
      <c r="H52" s="75"/>
      <c r="I52" s="42">
        <v>2039</v>
      </c>
      <c r="J52" s="44">
        <f t="shared" si="5"/>
        <v>326590.18384377006</v>
      </c>
      <c r="K52" s="44">
        <f t="shared" si="6"/>
        <v>390649.91938563518</v>
      </c>
      <c r="L52" s="44">
        <f t="shared" si="7"/>
        <v>3690.388192690526</v>
      </c>
      <c r="M52" s="44">
        <f t="shared" si="8"/>
        <v>3359.5586024938907</v>
      </c>
      <c r="N52" s="44">
        <f t="shared" si="9"/>
        <v>16409.527164345065</v>
      </c>
      <c r="O52" s="44">
        <f t="shared" si="10"/>
        <v>13179.555087676934</v>
      </c>
      <c r="P52" s="46">
        <f t="shared" si="11"/>
        <v>419.554118592034</v>
      </c>
    </row>
    <row r="53" spans="1:16">
      <c r="A53" s="42">
        <v>2041</v>
      </c>
      <c r="B53" s="49">
        <f t="shared" si="3"/>
        <v>5693.4930600000007</v>
      </c>
      <c r="C53" s="49">
        <f>B53*'Program Costs'!$B$24</f>
        <v>5072.0916569939154</v>
      </c>
      <c r="D53" s="49">
        <f t="shared" si="4"/>
        <v>64669.168626672414</v>
      </c>
      <c r="E53" s="43"/>
      <c r="F53" s="75"/>
      <c r="G53" s="75"/>
      <c r="H53" s="75"/>
      <c r="I53" s="42">
        <v>2040</v>
      </c>
      <c r="J53" s="44">
        <f t="shared" si="5"/>
        <v>359249.18384377006</v>
      </c>
      <c r="K53" s="44">
        <f t="shared" si="6"/>
        <v>429714.91938563518</v>
      </c>
      <c r="L53" s="44">
        <f t="shared" si="7"/>
        <v>4059.388192690526</v>
      </c>
      <c r="M53" s="44">
        <f t="shared" si="8"/>
        <v>3695.5586024938907</v>
      </c>
      <c r="N53" s="44">
        <f t="shared" si="9"/>
        <v>18050.527164345065</v>
      </c>
      <c r="O53" s="44">
        <f t="shared" si="10"/>
        <v>14497.555087676934</v>
      </c>
      <c r="P53" s="46">
        <f t="shared" si="11"/>
        <v>461.554118592034</v>
      </c>
    </row>
    <row r="54" spans="1:16">
      <c r="A54" s="42">
        <v>2042</v>
      </c>
      <c r="B54" s="49">
        <f t="shared" si="3"/>
        <v>5693.4930600000007</v>
      </c>
      <c r="C54" s="49">
        <f>B54*'Program Costs'!$B$24</f>
        <v>5072.0916569939154</v>
      </c>
      <c r="D54" s="49">
        <f t="shared" si="4"/>
        <v>69741.260283666328</v>
      </c>
      <c r="E54" s="43"/>
      <c r="F54" s="75"/>
      <c r="G54" s="75"/>
      <c r="H54" s="75"/>
      <c r="I54" s="42">
        <v>2041</v>
      </c>
      <c r="J54" s="44">
        <f t="shared" si="5"/>
        <v>391908.18384377006</v>
      </c>
      <c r="K54" s="44">
        <f t="shared" si="6"/>
        <v>468779.91938563518</v>
      </c>
      <c r="L54" s="44">
        <f t="shared" si="7"/>
        <v>4428.388192690526</v>
      </c>
      <c r="M54" s="44">
        <f t="shared" si="8"/>
        <v>4031.5586024938907</v>
      </c>
      <c r="N54" s="44">
        <f t="shared" si="9"/>
        <v>19691.527164345065</v>
      </c>
      <c r="O54" s="44">
        <f t="shared" si="10"/>
        <v>15815.555087676934</v>
      </c>
      <c r="P54" s="46">
        <f t="shared" si="11"/>
        <v>503.554118592034</v>
      </c>
    </row>
    <row r="55" spans="1:16">
      <c r="A55" s="42">
        <v>2043</v>
      </c>
      <c r="B55" s="49">
        <f t="shared" si="3"/>
        <v>5693.4930600000007</v>
      </c>
      <c r="C55" s="49">
        <f>B55*'Program Costs'!$B$24</f>
        <v>5072.0916569939154</v>
      </c>
      <c r="D55" s="49">
        <f t="shared" si="4"/>
        <v>74813.351940660243</v>
      </c>
      <c r="E55" s="43"/>
      <c r="F55" s="75"/>
      <c r="G55" s="75"/>
      <c r="H55" s="75"/>
      <c r="I55" s="42">
        <v>2042</v>
      </c>
      <c r="J55" s="44">
        <f t="shared" si="5"/>
        <v>424567.18384377006</v>
      </c>
      <c r="K55" s="44">
        <f t="shared" si="6"/>
        <v>507844.91938563518</v>
      </c>
      <c r="L55" s="44">
        <f t="shared" si="7"/>
        <v>4797.388192690526</v>
      </c>
      <c r="M55" s="44">
        <f t="shared" si="8"/>
        <v>4367.5586024938912</v>
      </c>
      <c r="N55" s="44">
        <f t="shared" si="9"/>
        <v>21332.527164345065</v>
      </c>
      <c r="O55" s="44">
        <f t="shared" si="10"/>
        <v>17133.555087676934</v>
      </c>
      <c r="P55" s="46">
        <f t="shared" si="11"/>
        <v>545.554118592034</v>
      </c>
    </row>
    <row r="56" spans="1:16">
      <c r="A56" s="42">
        <v>2044</v>
      </c>
      <c r="B56" s="49">
        <f t="shared" si="3"/>
        <v>5693.4930600000007</v>
      </c>
      <c r="C56" s="49">
        <f>B56*'Program Costs'!$B$24</f>
        <v>5072.0916569939154</v>
      </c>
      <c r="D56" s="49">
        <f t="shared" si="4"/>
        <v>79885.443597654157</v>
      </c>
      <c r="E56" s="43"/>
      <c r="F56" s="75"/>
      <c r="G56" s="75"/>
      <c r="H56" s="75"/>
      <c r="I56" s="42">
        <v>2043</v>
      </c>
      <c r="J56" s="44">
        <f t="shared" si="5"/>
        <v>457226.18384377006</v>
      </c>
      <c r="K56" s="44">
        <f t="shared" si="6"/>
        <v>546909.91938563518</v>
      </c>
      <c r="L56" s="44">
        <f t="shared" si="7"/>
        <v>5166.388192690526</v>
      </c>
      <c r="M56" s="44">
        <f t="shared" si="8"/>
        <v>4703.5586024938912</v>
      </c>
      <c r="N56" s="44">
        <f t="shared" si="9"/>
        <v>22973.527164345065</v>
      </c>
      <c r="O56" s="44">
        <f t="shared" si="10"/>
        <v>18451.555087676934</v>
      </c>
      <c r="P56" s="46">
        <f t="shared" si="11"/>
        <v>587.554118592034</v>
      </c>
    </row>
    <row r="57" spans="1:16">
      <c r="A57" s="42">
        <v>2045</v>
      </c>
      <c r="B57" s="49">
        <f t="shared" si="3"/>
        <v>5693.4930600000007</v>
      </c>
      <c r="C57" s="49">
        <f>B57*'Program Costs'!$B$24</f>
        <v>5072.0916569939154</v>
      </c>
      <c r="D57" s="49">
        <f t="shared" si="4"/>
        <v>84957.535254648072</v>
      </c>
      <c r="E57" s="43"/>
      <c r="F57" s="75"/>
      <c r="G57" s="75"/>
      <c r="H57" s="75"/>
      <c r="I57" s="42">
        <v>2044</v>
      </c>
      <c r="J57" s="44">
        <f t="shared" si="5"/>
        <v>489885.18384377006</v>
      </c>
      <c r="K57" s="44">
        <f t="shared" si="6"/>
        <v>585974.91938563518</v>
      </c>
      <c r="L57" s="44">
        <f t="shared" si="7"/>
        <v>5535.388192690526</v>
      </c>
      <c r="M57" s="44">
        <f t="shared" si="8"/>
        <v>5039.5586024938912</v>
      </c>
      <c r="N57" s="44">
        <f t="shared" si="9"/>
        <v>24614.527164345065</v>
      </c>
      <c r="O57" s="44">
        <f t="shared" si="10"/>
        <v>19769.555087676934</v>
      </c>
      <c r="P57" s="46">
        <f t="shared" si="11"/>
        <v>629.554118592034</v>
      </c>
    </row>
    <row r="58" spans="1:16">
      <c r="A58" s="42">
        <v>2046</v>
      </c>
      <c r="B58" s="49">
        <f t="shared" si="3"/>
        <v>5693.4930600000007</v>
      </c>
      <c r="C58" s="49">
        <f>B58*'Program Costs'!$B$24</f>
        <v>5072.0916569939154</v>
      </c>
      <c r="D58" s="49">
        <f t="shared" si="4"/>
        <v>90029.626911641986</v>
      </c>
      <c r="E58" s="43"/>
      <c r="F58" s="75"/>
      <c r="G58" s="75"/>
      <c r="H58" s="75"/>
      <c r="I58" s="42">
        <v>2045</v>
      </c>
      <c r="J58" s="44">
        <f t="shared" si="5"/>
        <v>522544.18384377006</v>
      </c>
      <c r="K58" s="44">
        <f t="shared" si="6"/>
        <v>625039.91938563518</v>
      </c>
      <c r="L58" s="44">
        <f t="shared" si="7"/>
        <v>5904.388192690526</v>
      </c>
      <c r="M58" s="44">
        <f t="shared" si="8"/>
        <v>5375.5586024938912</v>
      </c>
      <c r="N58" s="44">
        <f t="shared" si="9"/>
        <v>26255.527164345065</v>
      </c>
      <c r="O58" s="44">
        <f t="shared" si="10"/>
        <v>21087.555087676934</v>
      </c>
      <c r="P58" s="46">
        <f t="shared" si="11"/>
        <v>671.554118592034</v>
      </c>
    </row>
    <row r="59" spans="1:16">
      <c r="A59" s="42">
        <v>2047</v>
      </c>
      <c r="B59" s="49">
        <f t="shared" si="3"/>
        <v>5693.4930600000007</v>
      </c>
      <c r="C59" s="49">
        <f>B59*'Program Costs'!$B$24</f>
        <v>5072.0916569939154</v>
      </c>
      <c r="D59" s="49">
        <f t="shared" si="4"/>
        <v>95101.718568635901</v>
      </c>
      <c r="E59" s="43"/>
      <c r="F59" s="75"/>
      <c r="G59" s="75"/>
      <c r="H59" s="75"/>
      <c r="I59" s="42">
        <v>2046</v>
      </c>
      <c r="J59" s="44">
        <f t="shared" si="5"/>
        <v>555203.18384377006</v>
      </c>
      <c r="K59" s="44">
        <f t="shared" si="6"/>
        <v>664104.91938563518</v>
      </c>
      <c r="L59" s="44">
        <f t="shared" si="7"/>
        <v>6273.388192690526</v>
      </c>
      <c r="M59" s="44">
        <f t="shared" si="8"/>
        <v>5711.5586024938912</v>
      </c>
      <c r="N59" s="44">
        <f t="shared" si="9"/>
        <v>27896.527164345065</v>
      </c>
      <c r="O59" s="44">
        <f t="shared" si="10"/>
        <v>22405.555087676934</v>
      </c>
      <c r="P59" s="46">
        <f t="shared" si="11"/>
        <v>713.554118592034</v>
      </c>
    </row>
    <row r="60" spans="1:16">
      <c r="A60" s="42">
        <v>2048</v>
      </c>
      <c r="B60" s="49">
        <f t="shared" si="3"/>
        <v>5693.4930600000007</v>
      </c>
      <c r="C60" s="49">
        <f>B60*'Program Costs'!$B$24</f>
        <v>5072.0916569939154</v>
      </c>
      <c r="D60" s="49">
        <f t="shared" si="4"/>
        <v>100173.81022562982</v>
      </c>
      <c r="E60" s="43"/>
      <c r="F60" s="75"/>
      <c r="G60" s="75"/>
      <c r="H60" s="75"/>
      <c r="I60" s="42">
        <v>2047</v>
      </c>
      <c r="J60" s="44">
        <f t="shared" si="5"/>
        <v>587862.18384377006</v>
      </c>
      <c r="K60" s="44">
        <f t="shared" si="6"/>
        <v>703169.91938563518</v>
      </c>
      <c r="L60" s="44">
        <f t="shared" si="7"/>
        <v>6642.388192690526</v>
      </c>
      <c r="M60" s="44">
        <f t="shared" si="8"/>
        <v>6047.5586024938912</v>
      </c>
      <c r="N60" s="44">
        <f t="shared" si="9"/>
        <v>29537.527164345065</v>
      </c>
      <c r="O60" s="44">
        <f t="shared" si="10"/>
        <v>23723.555087676934</v>
      </c>
      <c r="P60" s="46">
        <f t="shared" si="11"/>
        <v>755.554118592034</v>
      </c>
    </row>
    <row r="61" spans="1:16">
      <c r="A61" s="42">
        <v>2049</v>
      </c>
      <c r="B61" s="49">
        <f t="shared" si="3"/>
        <v>5693.4930600000007</v>
      </c>
      <c r="C61" s="49">
        <f>B61*'Program Costs'!$B$24</f>
        <v>5072.0916569939154</v>
      </c>
      <c r="D61" s="49">
        <f t="shared" si="4"/>
        <v>105245.90188262373</v>
      </c>
      <c r="E61" s="43"/>
      <c r="F61" s="75"/>
      <c r="G61" s="75"/>
      <c r="H61" s="75"/>
      <c r="I61" s="42">
        <v>2048</v>
      </c>
      <c r="J61" s="44">
        <f t="shared" si="5"/>
        <v>620521.18384377006</v>
      </c>
      <c r="K61" s="44">
        <f t="shared" si="6"/>
        <v>742234.91938563518</v>
      </c>
      <c r="L61" s="44">
        <f t="shared" si="7"/>
        <v>7011.388192690526</v>
      </c>
      <c r="M61" s="44">
        <f t="shared" si="8"/>
        <v>6383.5586024938912</v>
      </c>
      <c r="N61" s="44">
        <f t="shared" si="9"/>
        <v>31178.527164345065</v>
      </c>
      <c r="O61" s="44">
        <f t="shared" si="10"/>
        <v>25041.555087676934</v>
      </c>
      <c r="P61" s="46">
        <f t="shared" si="11"/>
        <v>797.554118592034</v>
      </c>
    </row>
    <row r="62" spans="1:16" ht="15.75" thickBot="1">
      <c r="A62" s="47">
        <v>2050</v>
      </c>
      <c r="B62" s="50">
        <f t="shared" si="3"/>
        <v>5693.4930600000007</v>
      </c>
      <c r="C62" s="49">
        <f>B62*'Program Costs'!$B$24</f>
        <v>5072.0916569939154</v>
      </c>
      <c r="D62" s="74">
        <f t="shared" si="4"/>
        <v>110317.99353961764</v>
      </c>
      <c r="E62" s="51"/>
      <c r="F62" s="75"/>
      <c r="G62" s="75"/>
      <c r="H62" s="75"/>
      <c r="I62" s="42">
        <v>2049</v>
      </c>
      <c r="J62" s="44">
        <f t="shared" si="5"/>
        <v>653180.18384377006</v>
      </c>
      <c r="K62" s="44">
        <f t="shared" si="6"/>
        <v>781299.91938563518</v>
      </c>
      <c r="L62" s="44">
        <f t="shared" si="7"/>
        <v>7380.388192690526</v>
      </c>
      <c r="M62" s="44">
        <f t="shared" si="8"/>
        <v>6719.5586024938912</v>
      </c>
      <c r="N62" s="44">
        <f t="shared" si="9"/>
        <v>32819.527164345069</v>
      </c>
      <c r="O62" s="44">
        <f t="shared" si="10"/>
        <v>26359.555087676934</v>
      </c>
      <c r="P62" s="46">
        <f t="shared" si="11"/>
        <v>839.554118592034</v>
      </c>
    </row>
    <row r="63" spans="1:16" ht="15.75" thickBot="1">
      <c r="A63" s="75"/>
      <c r="B63" s="75"/>
      <c r="C63" s="75"/>
      <c r="D63" s="75"/>
      <c r="E63" s="75"/>
      <c r="F63" s="75"/>
      <c r="G63" s="75"/>
      <c r="H63" s="75"/>
      <c r="I63" s="47">
        <v>2050</v>
      </c>
      <c r="J63" s="44">
        <f t="shared" si="5"/>
        <v>685839.18384377006</v>
      </c>
      <c r="K63" s="44">
        <f t="shared" si="6"/>
        <v>820364.91938563518</v>
      </c>
      <c r="L63" s="44">
        <f t="shared" si="7"/>
        <v>7749.388192690526</v>
      </c>
      <c r="M63" s="44">
        <f t="shared" si="8"/>
        <v>7055.5586024938912</v>
      </c>
      <c r="N63" s="44">
        <f t="shared" si="9"/>
        <v>34460.527164345069</v>
      </c>
      <c r="O63" s="44">
        <f t="shared" si="10"/>
        <v>27677.555087676934</v>
      </c>
      <c r="P63" s="46">
        <f t="shared" si="11"/>
        <v>881.554118592034</v>
      </c>
    </row>
  </sheetData>
  <mergeCells count="13">
    <mergeCell ref="J36:P36"/>
    <mergeCell ref="U15:Y16"/>
    <mergeCell ref="Y18:Y30"/>
    <mergeCell ref="A1:Y4"/>
    <mergeCell ref="F15:J16"/>
    <mergeCell ref="J18:J30"/>
    <mergeCell ref="K15:O16"/>
    <mergeCell ref="O18:O30"/>
    <mergeCell ref="P15:T16"/>
    <mergeCell ref="T18:T30"/>
    <mergeCell ref="B5:C5"/>
    <mergeCell ref="G5:H5"/>
    <mergeCell ref="A15:E16"/>
  </mergeCells>
  <hyperlinks>
    <hyperlink ref="E18" r:id="rId1" xr:uid="{A6A0132C-30F3-4EB3-9C1A-FF15EA9CC342}"/>
    <hyperlink ref="J18" r:id="rId2" xr:uid="{FC4C6628-0133-45C4-9E81-387DA493A025}"/>
    <hyperlink ref="O18" r:id="rId3" xr:uid="{3D4ABEC4-530E-4FD3-BCB3-7744E5421BF1}"/>
    <hyperlink ref="T18" r:id="rId4" xr:uid="{710CAA63-9450-47BD-AB4B-5FF523B53F0F}"/>
    <hyperlink ref="Y18" r:id="rId5" xr:uid="{78318CC7-E893-463E-8C1A-2A307D78BF41}"/>
    <hyperlink ref="E19" r:id="rId6" display="https://greet.anl.gov/afleet" xr:uid="{356747EA-BC86-46FB-AE3B-24E2AE45A53E}"/>
  </hyperlinks>
  <pageMargins left="0.7" right="0.7" top="0.75" bottom="0.75" header="0.3" footer="0.3"/>
  <pageSetup orientation="portrait" r:id="rId7"/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D9946-3AF3-4610-BD09-4EE7A46A269D}">
  <dimension ref="A1:E42"/>
  <sheetViews>
    <sheetView tabSelected="1" workbookViewId="0">
      <selection activeCell="A23" sqref="A23"/>
    </sheetView>
  </sheetViews>
  <sheetFormatPr defaultRowHeight="15"/>
  <cols>
    <col min="1" max="1" width="110.7109375" bestFit="1" customWidth="1"/>
    <col min="2" max="2" width="24.42578125" bestFit="1" customWidth="1"/>
    <col min="3" max="3" width="24.7109375" bestFit="1" customWidth="1"/>
    <col min="4" max="4" width="37.5703125" bestFit="1" customWidth="1"/>
    <col min="5" max="5" width="133.85546875" bestFit="1" customWidth="1"/>
  </cols>
  <sheetData>
    <row r="1" spans="1:5" ht="24">
      <c r="A1" s="56" t="s">
        <v>67</v>
      </c>
      <c r="B1" s="75"/>
      <c r="C1" s="75"/>
      <c r="D1" s="75"/>
      <c r="E1" s="75"/>
    </row>
    <row r="2" spans="1:5">
      <c r="A2" s="57"/>
      <c r="B2" s="57" t="s">
        <v>68</v>
      </c>
      <c r="C2" s="57" t="s">
        <v>69</v>
      </c>
      <c r="D2" s="57"/>
      <c r="E2" s="75"/>
    </row>
    <row r="3" spans="1:5">
      <c r="A3" s="58" t="s">
        <v>70</v>
      </c>
      <c r="B3" s="59">
        <v>2342772.9078014186</v>
      </c>
      <c r="C3" s="59">
        <f>MIN(B3*0.3,4*100000)</f>
        <v>400000</v>
      </c>
      <c r="D3" s="59"/>
      <c r="E3" s="60"/>
    </row>
    <row r="4" spans="1:5">
      <c r="A4" s="58" t="s">
        <v>71</v>
      </c>
      <c r="B4" s="59">
        <v>3460000</v>
      </c>
      <c r="C4" s="59">
        <f>MIN(B4*0.3, 4*100000)</f>
        <v>400000</v>
      </c>
      <c r="D4" s="59"/>
      <c r="E4" s="60"/>
    </row>
    <row r="5" spans="1:5">
      <c r="A5" s="58" t="s">
        <v>72</v>
      </c>
      <c r="B5" s="59">
        <f>SUM(B3:B4)</f>
        <v>5802772.9078014186</v>
      </c>
      <c r="C5" s="59">
        <f>SUM(C3:C4)</f>
        <v>800000</v>
      </c>
      <c r="D5" s="59"/>
      <c r="E5" s="60"/>
    </row>
    <row r="6" spans="1:5">
      <c r="A6" s="57" t="s">
        <v>73</v>
      </c>
      <c r="B6" s="66">
        <f>B5*6</f>
        <v>34816637.44680851</v>
      </c>
      <c r="C6" s="66">
        <f>C5*6</f>
        <v>4800000</v>
      </c>
      <c r="D6" s="75"/>
      <c r="E6" s="75"/>
    </row>
    <row r="7" spans="1:5">
      <c r="A7" s="67" t="s">
        <v>74</v>
      </c>
      <c r="B7" s="59">
        <f>B6-C6</f>
        <v>30016637.44680851</v>
      </c>
      <c r="C7" s="59"/>
      <c r="D7" s="75"/>
      <c r="E7" s="75"/>
    </row>
    <row r="8" spans="1:5">
      <c r="A8" s="67"/>
      <c r="B8" s="59"/>
      <c r="C8" s="59"/>
      <c r="D8" s="75"/>
      <c r="E8" s="75"/>
    </row>
    <row r="9" spans="1:5">
      <c r="A9" s="72"/>
      <c r="B9" s="75"/>
      <c r="C9" s="75"/>
      <c r="D9" s="75"/>
      <c r="E9" s="75"/>
    </row>
    <row r="10" spans="1:5">
      <c r="A10" s="117"/>
      <c r="B10" s="118"/>
      <c r="C10" s="75"/>
      <c r="D10" s="75"/>
      <c r="E10" s="75"/>
    </row>
    <row r="11" spans="1:5">
      <c r="A11" s="62" t="s">
        <v>75</v>
      </c>
      <c r="B11" s="66">
        <v>862611</v>
      </c>
      <c r="C11" s="75"/>
      <c r="D11" s="75"/>
      <c r="E11" s="75"/>
    </row>
    <row r="12" spans="1:5">
      <c r="A12" s="67"/>
      <c r="B12" s="59"/>
      <c r="C12" s="75"/>
      <c r="D12" s="75"/>
      <c r="E12" s="75"/>
    </row>
    <row r="13" spans="1:5">
      <c r="A13" s="57"/>
      <c r="B13" s="57"/>
      <c r="C13" s="57"/>
      <c r="D13" s="57"/>
      <c r="E13" s="57"/>
    </row>
    <row r="14" spans="1:5">
      <c r="A14" s="72"/>
      <c r="B14" s="57"/>
      <c r="C14" s="57"/>
      <c r="D14" s="57"/>
      <c r="E14" s="57"/>
    </row>
    <row r="15" spans="1:5">
      <c r="A15" s="57"/>
      <c r="B15" s="57"/>
      <c r="C15" s="57"/>
      <c r="D15" s="57"/>
      <c r="E15" s="57"/>
    </row>
    <row r="16" spans="1:5">
      <c r="A16" s="57"/>
      <c r="B16" s="57"/>
      <c r="C16" s="57"/>
      <c r="D16" s="57"/>
      <c r="E16" s="57"/>
    </row>
    <row r="17" spans="1:5">
      <c r="A17" s="72" t="s">
        <v>76</v>
      </c>
      <c r="B17" s="57"/>
      <c r="C17" s="57"/>
      <c r="D17" s="57"/>
      <c r="E17" s="57"/>
    </row>
    <row r="18" spans="1:5">
      <c r="A18" s="76" t="s">
        <v>77</v>
      </c>
      <c r="B18" s="77">
        <v>3500000</v>
      </c>
      <c r="C18" s="57"/>
      <c r="D18" s="57"/>
      <c r="E18" s="57"/>
    </row>
    <row r="19" spans="1:5">
      <c r="A19" s="57"/>
      <c r="B19" s="57"/>
      <c r="C19" s="57"/>
      <c r="D19" s="57"/>
      <c r="E19" s="57"/>
    </row>
    <row r="20" spans="1:5" ht="24">
      <c r="A20" s="68"/>
      <c r="B20" s="75"/>
      <c r="C20" s="115"/>
      <c r="D20" s="116"/>
      <c r="E20" s="61"/>
    </row>
    <row r="21" spans="1:5">
      <c r="A21" s="69" t="s">
        <v>78</v>
      </c>
      <c r="B21" s="69" t="s">
        <v>79</v>
      </c>
      <c r="C21" s="69"/>
      <c r="D21" s="69"/>
      <c r="E21" s="59"/>
    </row>
    <row r="22" spans="1:5">
      <c r="A22" s="70">
        <f>B11+B18+B6</f>
        <v>39179248.44680851</v>
      </c>
      <c r="B22" s="70">
        <f>C6</f>
        <v>4800000</v>
      </c>
      <c r="C22" s="70"/>
      <c r="D22" s="70"/>
      <c r="E22" s="59"/>
    </row>
    <row r="23" spans="1:5">
      <c r="A23" s="75"/>
      <c r="B23" s="75"/>
      <c r="C23" s="75"/>
      <c r="D23" s="75"/>
      <c r="E23" s="57"/>
    </row>
    <row r="24" spans="1:5">
      <c r="A24" s="69" t="s">
        <v>80</v>
      </c>
      <c r="B24" s="71">
        <f>A22/(A22+B22)</f>
        <v>0.89085761650053097</v>
      </c>
      <c r="C24" s="75"/>
      <c r="D24" s="75"/>
      <c r="E24" s="75"/>
    </row>
    <row r="25" spans="1:5">
      <c r="A25" s="75"/>
      <c r="B25" s="75"/>
      <c r="C25" s="75"/>
      <c r="D25" s="75"/>
      <c r="E25" s="75"/>
    </row>
    <row r="26" spans="1:5">
      <c r="A26" s="69" t="s">
        <v>81</v>
      </c>
      <c r="B26" s="70">
        <f>A22/'GHG Emissions '!D42</f>
        <v>4413.9860798323352</v>
      </c>
      <c r="C26" s="75"/>
      <c r="D26" s="75"/>
      <c r="E26" s="75"/>
    </row>
    <row r="27" spans="1:5">
      <c r="A27" s="69" t="s">
        <v>82</v>
      </c>
      <c r="B27" s="70">
        <f>A22/'GHG Emissions '!D62</f>
        <v>355.14830527386607</v>
      </c>
      <c r="C27" s="75"/>
      <c r="D27" s="75"/>
      <c r="E27" s="75"/>
    </row>
    <row r="28" spans="1:5">
      <c r="A28" s="62"/>
      <c r="B28" s="75"/>
      <c r="C28" s="59"/>
      <c r="D28" s="59"/>
      <c r="E28" s="75"/>
    </row>
    <row r="29" spans="1:5">
      <c r="A29" s="58"/>
      <c r="B29" s="63"/>
      <c r="C29" s="75"/>
      <c r="D29" s="75"/>
      <c r="E29" s="75"/>
    </row>
    <row r="30" spans="1:5">
      <c r="A30" s="58"/>
      <c r="B30" s="64"/>
      <c r="C30" s="75"/>
      <c r="D30" s="75"/>
      <c r="E30" s="75"/>
    </row>
    <row r="31" spans="1:5">
      <c r="A31" s="58"/>
      <c r="B31" s="63"/>
      <c r="C31" s="75"/>
      <c r="D31" s="75"/>
      <c r="E31" s="75"/>
    </row>
    <row r="32" spans="1:5">
      <c r="A32" s="58"/>
      <c r="B32" s="65"/>
      <c r="C32" s="75"/>
      <c r="D32" s="75"/>
      <c r="E32" s="75"/>
    </row>
    <row r="33" spans="1:5">
      <c r="A33" s="58"/>
      <c r="B33" s="65"/>
      <c r="C33" s="75"/>
      <c r="D33" s="75"/>
      <c r="E33" s="75"/>
    </row>
    <row r="34" spans="1:5" ht="24">
      <c r="A34" s="56"/>
      <c r="B34" s="75"/>
      <c r="C34" s="75"/>
      <c r="D34" s="75"/>
      <c r="E34" s="75"/>
    </row>
    <row r="36" spans="1:5">
      <c r="A36" s="75"/>
      <c r="B36" s="75"/>
      <c r="C36" s="75"/>
      <c r="D36" s="75"/>
      <c r="E36" s="75"/>
    </row>
    <row r="37" spans="1:5">
      <c r="A37" s="75"/>
      <c r="B37" s="75"/>
      <c r="C37" s="75"/>
      <c r="D37" s="75"/>
      <c r="E37" s="75"/>
    </row>
    <row r="38" spans="1:5">
      <c r="A38" s="75"/>
      <c r="B38" s="75"/>
      <c r="C38" s="75"/>
      <c r="D38" s="75"/>
      <c r="E38" s="75"/>
    </row>
    <row r="39" spans="1:5">
      <c r="A39" s="75"/>
      <c r="B39" s="75"/>
      <c r="C39" s="75"/>
      <c r="D39" s="75"/>
      <c r="E39" s="75"/>
    </row>
    <row r="40" spans="1:5">
      <c r="A40" s="75"/>
      <c r="B40" s="75"/>
      <c r="C40" s="75"/>
      <c r="D40" s="75"/>
      <c r="E40" s="75"/>
    </row>
    <row r="41" spans="1:5">
      <c r="A41" s="75"/>
      <c r="B41" s="75"/>
      <c r="C41" s="75"/>
      <c r="D41" s="75"/>
      <c r="E41" s="75"/>
    </row>
    <row r="42" spans="1:5">
      <c r="A42" s="75"/>
      <c r="B42" s="75"/>
      <c r="C42" s="75"/>
      <c r="D42" s="75"/>
      <c r="E42" s="75"/>
    </row>
  </sheetData>
  <mergeCells count="1">
    <mergeCell ref="C20:D20"/>
  </mergeCell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5a3e9fc-deeb-46fd-b00c-ee53c5f53624" xsi:nil="true"/>
    <lcf76f155ced4ddcb4097134ff3c332f xmlns="4de5146b-f2a5-4fd9-82b2-81f7b886cfd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8B5D8E7297C043B255DB5FB27C9E32" ma:contentTypeVersion="12" ma:contentTypeDescription="Create a new document." ma:contentTypeScope="" ma:versionID="550df909f3576fbe414c9ae616618f78">
  <xsd:schema xmlns:xsd="http://www.w3.org/2001/XMLSchema" xmlns:xs="http://www.w3.org/2001/XMLSchema" xmlns:p="http://schemas.microsoft.com/office/2006/metadata/properties" xmlns:ns2="4de5146b-f2a5-4fd9-82b2-81f7b886cfd0" xmlns:ns3="15a3e9fc-deeb-46fd-b00c-ee53c5f53624" targetNamespace="http://schemas.microsoft.com/office/2006/metadata/properties" ma:root="true" ma:fieldsID="e9b8e8ca4fcfb9b93631f3fb64f0e285" ns2:_="" ns3:_="">
    <xsd:import namespace="4de5146b-f2a5-4fd9-82b2-81f7b886cfd0"/>
    <xsd:import namespace="15a3e9fc-deeb-46fd-b00c-ee53c5f536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e5146b-f2a5-4fd9-82b2-81f7b886cf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19cb8a3-2c43-49ff-bdd4-56a41dc47c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a3e9fc-deeb-46fd-b00c-ee53c5f5362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3787e1fe-3101-47ff-98a4-b3f1f2a6b233}" ma:internalName="TaxCatchAll" ma:showField="CatchAllData" ma:web="15a3e9fc-deeb-46fd-b00c-ee53c5f536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0641BE-7CD0-42B5-9D67-3E82C3D3A60B}"/>
</file>

<file path=customXml/itemProps2.xml><?xml version="1.0" encoding="utf-8"?>
<ds:datastoreItem xmlns:ds="http://schemas.openxmlformats.org/officeDocument/2006/customXml" ds:itemID="{AB6A8BA6-86EF-4756-B214-9E97FA4A1AE2}"/>
</file>

<file path=customXml/itemProps3.xml><?xml version="1.0" encoding="utf-8"?>
<ds:datastoreItem xmlns:ds="http://schemas.openxmlformats.org/officeDocument/2006/customXml" ds:itemID="{41F26A2E-3CE4-4E86-882A-14BEDD70B3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Moaz Uddin</dc:creator>
  <cp:keywords/>
  <dc:description/>
  <cp:lastModifiedBy>Moaz Uddin</cp:lastModifiedBy>
  <cp:revision/>
  <dcterms:created xsi:type="dcterms:W3CDTF">2024-03-08T21:32:35Z</dcterms:created>
  <dcterms:modified xsi:type="dcterms:W3CDTF">2024-03-27T21:13:40Z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0x0101001E8B5D8E7297C043B255DB5FB27C9E32</vt:lpwstr>
  </property>
  <property fmtid="{D5CDD505-2E9C-101B-9397-08002B2CF9AE}" pid="3" name="MediaServiceImageTags">
    <vt:lpwstr/>
  </property>
</Properties>
</file>