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 defaultThemeVersion="166925"/>
  <xr:revisionPtr revIDLastSave="0" documentId="8_{AC4491E7-80D0-42FA-B7F8-9534351396EA}" xr6:coauthVersionLast="47" xr6:coauthVersionMax="47" xr10:uidLastSave="{00000000-0000-0000-0000-000000000000}"/>
  <bookViews>
    <workbookView xWindow="-120" yWindow="-120" windowWidth="29040" windowHeight="15840" tabRatio="979" xr2:uid="{AAC398A2-E95D-4231-A920-55B8B1C73F3F}"/>
  </bookViews>
  <sheets>
    <sheet name="Consolidated Budget" sheetId="30" r:id="rId1"/>
    <sheet name="Measure 1 Peatlands" sheetId="31" r:id="rId2"/>
    <sheet name="Measure 2 Ag lands" sheetId="36" r:id="rId3"/>
    <sheet name="Measure 3 Industrial" sheetId="16" r:id="rId4"/>
    <sheet name="Measure 4 Refrigerants" sheetId="35" r:id="rId5"/>
    <sheet name="Measure 5 Vehicles" sheetId="27" r:id="rId6"/>
    <sheet name="Measure 6 PWF organics" sheetId="28" r:id="rId7"/>
    <sheet name="Measure 7 Food sov+local grants" sheetId="29" r:id="rId8"/>
    <sheet name="Grant admin" sheetId="37" r:id="rId9"/>
  </sheets>
  <definedNames>
    <definedName name="_xlnm._FilterDatabase" localSheetId="0" hidden="1">'Consolidated Budget'!#REF!</definedName>
    <definedName name="_xlnm._FilterDatabase" localSheetId="8" hidden="1">'Grant admin'!#REF!</definedName>
    <definedName name="_xlnm._FilterDatabase" localSheetId="1" hidden="1">'Measure 1 Peatlands'!#REF!</definedName>
    <definedName name="_xlnm._FilterDatabase" localSheetId="2" hidden="1">'Measure 2 Ag lands'!#REF!</definedName>
    <definedName name="_xlnm._FilterDatabase" localSheetId="3" hidden="1">'Measure 3 Industrial'!#REF!</definedName>
    <definedName name="_xlnm._FilterDatabase" localSheetId="4" hidden="1">'Measure 4 Refrigerants'!#REF!</definedName>
    <definedName name="_xlnm._FilterDatabase" localSheetId="5" hidden="1">'Measure 5 Vehicles'!#REF!</definedName>
    <definedName name="_xlnm._FilterDatabase" localSheetId="6" hidden="1">'Measure 6 PWF organics'!#REF!</definedName>
    <definedName name="_xlnm._FilterDatabase" localSheetId="7" hidden="1">'Measure 7 Food sov+local grants'!#REF!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30" l="1"/>
  <c r="F12" i="30"/>
  <c r="F13" i="30"/>
  <c r="H13" i="30"/>
  <c r="G13" i="30"/>
  <c r="H12" i="30"/>
  <c r="G9" i="30"/>
  <c r="J40" i="37"/>
  <c r="F40" i="37" l="1"/>
  <c r="E34" i="28" l="1"/>
  <c r="F34" i="28"/>
  <c r="G34" i="28"/>
  <c r="H34" i="28"/>
  <c r="D34" i="28"/>
  <c r="F39" i="16"/>
  <c r="D37" i="16"/>
  <c r="E37" i="16"/>
  <c r="G39" i="16"/>
  <c r="G41" i="16" s="1"/>
  <c r="H39" i="16"/>
  <c r="H41" i="16" s="1"/>
  <c r="F41" i="16"/>
  <c r="D41" i="16"/>
  <c r="E41" i="16"/>
  <c r="J11" i="16"/>
  <c r="J27" i="31"/>
  <c r="J36" i="31"/>
  <c r="J37" i="31"/>
  <c r="J38" i="31"/>
  <c r="J39" i="31"/>
  <c r="J40" i="31"/>
  <c r="J41" i="31"/>
  <c r="J42" i="31"/>
  <c r="J9" i="37"/>
  <c r="D32" i="16"/>
  <c r="I46" i="16"/>
  <c r="J38" i="16"/>
  <c r="J40" i="16"/>
  <c r="J18" i="29"/>
  <c r="D40" i="29"/>
  <c r="H37" i="29"/>
  <c r="E37" i="29"/>
  <c r="F37" i="29"/>
  <c r="G37" i="29"/>
  <c r="D37" i="29"/>
  <c r="E38" i="31"/>
  <c r="E42" i="31" s="1"/>
  <c r="F38" i="31"/>
  <c r="F42" i="31" s="1"/>
  <c r="G38" i="31"/>
  <c r="G42" i="31" s="1"/>
  <c r="H38" i="31"/>
  <c r="H42" i="31" s="1"/>
  <c r="D38" i="31"/>
  <c r="D42" i="31" s="1"/>
  <c r="E29" i="31"/>
  <c r="F29" i="31"/>
  <c r="G29" i="31"/>
  <c r="H29" i="31"/>
  <c r="H34" i="31" s="1"/>
  <c r="H27" i="31" s="1"/>
  <c r="D29" i="31"/>
  <c r="D34" i="31" s="1"/>
  <c r="D27" i="31" s="1"/>
  <c r="J28" i="31"/>
  <c r="G37" i="16" l="1"/>
  <c r="H37" i="16"/>
  <c r="F37" i="16"/>
  <c r="J41" i="16"/>
  <c r="J39" i="16"/>
  <c r="E46" i="16"/>
  <c r="F46" i="16"/>
  <c r="D46" i="16"/>
  <c r="G46" i="16"/>
  <c r="H46" i="16"/>
  <c r="F36" i="31"/>
  <c r="E36" i="31"/>
  <c r="D36" i="31"/>
  <c r="D44" i="31" s="1"/>
  <c r="H36" i="31"/>
  <c r="H44" i="31" s="1"/>
  <c r="G36" i="31"/>
  <c r="G34" i="31"/>
  <c r="G27" i="31" s="1"/>
  <c r="F34" i="31"/>
  <c r="F27" i="31" s="1"/>
  <c r="F44" i="31" s="1"/>
  <c r="E34" i="31"/>
  <c r="E27" i="31" s="1"/>
  <c r="G44" i="31" l="1"/>
  <c r="E44" i="31"/>
  <c r="H8" i="27" l="1"/>
  <c r="G8" i="27"/>
  <c r="F8" i="27"/>
  <c r="E8" i="27"/>
  <c r="H8" i="29"/>
  <c r="G8" i="29"/>
  <c r="F8" i="29"/>
  <c r="E8" i="29"/>
  <c r="H8" i="37"/>
  <c r="G8" i="37"/>
  <c r="F8" i="37"/>
  <c r="E8" i="37"/>
  <c r="H8" i="16"/>
  <c r="G8" i="16"/>
  <c r="F8" i="16"/>
  <c r="E8" i="16"/>
  <c r="F30" i="28"/>
  <c r="E30" i="28"/>
  <c r="E22" i="36"/>
  <c r="F22" i="36"/>
  <c r="G22" i="36"/>
  <c r="H22" i="36"/>
  <c r="D22" i="36"/>
  <c r="H10" i="16"/>
  <c r="G10" i="16"/>
  <c r="F10" i="16"/>
  <c r="E10" i="16"/>
  <c r="F39" i="29"/>
  <c r="E39" i="29"/>
  <c r="J39" i="29" l="1"/>
  <c r="J32" i="31" l="1"/>
  <c r="H9" i="37"/>
  <c r="J35" i="36"/>
  <c r="J37" i="36"/>
  <c r="E37" i="27"/>
  <c r="F37" i="27"/>
  <c r="G37" i="27"/>
  <c r="H37" i="27"/>
  <c r="D37" i="27"/>
  <c r="H35" i="27"/>
  <c r="G35" i="27"/>
  <c r="F35" i="27"/>
  <c r="E35" i="27"/>
  <c r="H9" i="28"/>
  <c r="G9" i="28"/>
  <c r="F9" i="28"/>
  <c r="E9" i="28"/>
  <c r="H10" i="28"/>
  <c r="G10" i="28"/>
  <c r="F10" i="28"/>
  <c r="E10" i="28"/>
  <c r="H9" i="29"/>
  <c r="H9" i="16"/>
  <c r="J29" i="35"/>
  <c r="J28" i="35"/>
  <c r="D8" i="35"/>
  <c r="H8" i="35"/>
  <c r="G8" i="35"/>
  <c r="F8" i="35"/>
  <c r="E8" i="35"/>
  <c r="J31" i="27" l="1"/>
  <c r="H18" i="28"/>
  <c r="G18" i="28"/>
  <c r="D34" i="36"/>
  <c r="E36" i="27"/>
  <c r="E38" i="27" s="1"/>
  <c r="F36" i="27"/>
  <c r="F38" i="27" s="1"/>
  <c r="G36" i="27"/>
  <c r="G38" i="27" s="1"/>
  <c r="H36" i="27"/>
  <c r="H38" i="27" s="1"/>
  <c r="D36" i="27"/>
  <c r="H33" i="36"/>
  <c r="G33" i="36"/>
  <c r="F33" i="36"/>
  <c r="E33" i="36"/>
  <c r="I47" i="37"/>
  <c r="I49" i="37" s="1"/>
  <c r="H39" i="37"/>
  <c r="G39" i="37"/>
  <c r="F39" i="37"/>
  <c r="E39" i="37"/>
  <c r="D39" i="37"/>
  <c r="J38" i="37"/>
  <c r="J37" i="37"/>
  <c r="H35" i="37"/>
  <c r="G35" i="37"/>
  <c r="F35" i="37"/>
  <c r="E35" i="37"/>
  <c r="D35" i="37"/>
  <c r="J34" i="37"/>
  <c r="J33" i="37"/>
  <c r="H31" i="37"/>
  <c r="G31" i="37"/>
  <c r="F31" i="37"/>
  <c r="E31" i="37"/>
  <c r="D31" i="37"/>
  <c r="J30" i="37"/>
  <c r="J29" i="37"/>
  <c r="H27" i="37"/>
  <c r="G27" i="37"/>
  <c r="F27" i="37"/>
  <c r="E27" i="37"/>
  <c r="D27" i="37"/>
  <c r="J26" i="37"/>
  <c r="J25" i="37"/>
  <c r="H23" i="37"/>
  <c r="G23" i="37"/>
  <c r="F23" i="37"/>
  <c r="E23" i="37"/>
  <c r="D23" i="37"/>
  <c r="I19" i="37"/>
  <c r="J18" i="37"/>
  <c r="D16" i="37"/>
  <c r="D14" i="37"/>
  <c r="D43" i="37" s="1"/>
  <c r="I12" i="37"/>
  <c r="J11" i="37"/>
  <c r="H10" i="37"/>
  <c r="H16" i="37" s="1"/>
  <c r="G10" i="37"/>
  <c r="G16" i="37" s="1"/>
  <c r="F10" i="37"/>
  <c r="F16" i="37" s="1"/>
  <c r="E10" i="37"/>
  <c r="G9" i="37"/>
  <c r="G15" i="37" s="1"/>
  <c r="F9" i="37"/>
  <c r="F15" i="37" s="1"/>
  <c r="E9" i="37"/>
  <c r="E15" i="37" s="1"/>
  <c r="D9" i="37"/>
  <c r="D12" i="37" s="1"/>
  <c r="G9" i="16"/>
  <c r="F9" i="16"/>
  <c r="E9" i="16"/>
  <c r="D9" i="16"/>
  <c r="E41" i="29"/>
  <c r="F41" i="29"/>
  <c r="D41" i="29"/>
  <c r="J38" i="29"/>
  <c r="J43" i="29"/>
  <c r="H13" i="29"/>
  <c r="G13" i="29"/>
  <c r="F13" i="29"/>
  <c r="J15" i="29"/>
  <c r="J10" i="29"/>
  <c r="D13" i="29"/>
  <c r="H14" i="29"/>
  <c r="G9" i="29"/>
  <c r="G14" i="29" s="1"/>
  <c r="F9" i="29"/>
  <c r="F14" i="29" s="1"/>
  <c r="E9" i="29"/>
  <c r="E14" i="29" s="1"/>
  <c r="D9" i="29"/>
  <c r="D36" i="36" l="1"/>
  <c r="D32" i="36" s="1"/>
  <c r="H34" i="27"/>
  <c r="H40" i="27" s="1"/>
  <c r="F34" i="27"/>
  <c r="F40" i="27" s="1"/>
  <c r="D38" i="27"/>
  <c r="D34" i="27" s="1"/>
  <c r="G34" i="27"/>
  <c r="G40" i="27" s="1"/>
  <c r="E34" i="27"/>
  <c r="E40" i="27" s="1"/>
  <c r="J27" i="37"/>
  <c r="J23" i="37"/>
  <c r="F42" i="29"/>
  <c r="F35" i="29" s="1"/>
  <c r="F44" i="29" s="1"/>
  <c r="J41" i="29"/>
  <c r="J40" i="29"/>
  <c r="G42" i="29"/>
  <c r="G35" i="29" s="1"/>
  <c r="G44" i="29" s="1"/>
  <c r="H42" i="29"/>
  <c r="H35" i="29" s="1"/>
  <c r="H44" i="29" s="1"/>
  <c r="E42" i="29"/>
  <c r="E35" i="29" s="1"/>
  <c r="E44" i="29" s="1"/>
  <c r="D42" i="29"/>
  <c r="D35" i="29" s="1"/>
  <c r="J31" i="37"/>
  <c r="E14" i="37"/>
  <c r="E12" i="37"/>
  <c r="F14" i="37"/>
  <c r="F43" i="37" s="1"/>
  <c r="G14" i="37"/>
  <c r="G43" i="37" s="1"/>
  <c r="G12" i="37"/>
  <c r="H12" i="37"/>
  <c r="H14" i="37"/>
  <c r="H43" i="37" s="1"/>
  <c r="H15" i="37"/>
  <c r="H44" i="37" s="1"/>
  <c r="E16" i="37"/>
  <c r="E45" i="37" s="1"/>
  <c r="J10" i="37"/>
  <c r="J39" i="37"/>
  <c r="J33" i="36"/>
  <c r="E34" i="36"/>
  <c r="E36" i="36" s="1"/>
  <c r="F34" i="36"/>
  <c r="G34" i="36"/>
  <c r="G36" i="36" s="1"/>
  <c r="H34" i="36"/>
  <c r="H36" i="36" s="1"/>
  <c r="F12" i="37"/>
  <c r="D45" i="37"/>
  <c r="J35" i="37"/>
  <c r="F45" i="37"/>
  <c r="D15" i="37"/>
  <c r="E44" i="37"/>
  <c r="G45" i="37"/>
  <c r="J8" i="37"/>
  <c r="F44" i="37"/>
  <c r="H45" i="37"/>
  <c r="G44" i="37"/>
  <c r="J37" i="29"/>
  <c r="J36" i="29"/>
  <c r="J32" i="29"/>
  <c r="J31" i="29"/>
  <c r="J9" i="29"/>
  <c r="J8" i="29"/>
  <c r="E13" i="29"/>
  <c r="J13" i="29" s="1"/>
  <c r="D14" i="29"/>
  <c r="J14" i="29" s="1"/>
  <c r="F36" i="36" l="1"/>
  <c r="F32" i="36" s="1"/>
  <c r="F38" i="36" s="1"/>
  <c r="D38" i="36"/>
  <c r="H32" i="36"/>
  <c r="H38" i="36" s="1"/>
  <c r="E32" i="36"/>
  <c r="E38" i="36" s="1"/>
  <c r="G32" i="36"/>
  <c r="G38" i="36" s="1"/>
  <c r="D40" i="27"/>
  <c r="J34" i="27"/>
  <c r="G19" i="37"/>
  <c r="G40" i="37" s="1"/>
  <c r="F47" i="37"/>
  <c r="J14" i="37"/>
  <c r="D44" i="29"/>
  <c r="J35" i="29"/>
  <c r="J34" i="36"/>
  <c r="J36" i="36"/>
  <c r="J16" i="37"/>
  <c r="F19" i="37"/>
  <c r="E43" i="37"/>
  <c r="J43" i="37" s="1"/>
  <c r="J12" i="37"/>
  <c r="H19" i="37"/>
  <c r="H40" i="37" s="1"/>
  <c r="J15" i="37"/>
  <c r="D44" i="37"/>
  <c r="D47" i="37" s="1"/>
  <c r="G47" i="37"/>
  <c r="J46" i="37"/>
  <c r="J17" i="37"/>
  <c r="D19" i="37"/>
  <c r="D40" i="37" s="1"/>
  <c r="E47" i="37"/>
  <c r="J45" i="37"/>
  <c r="H47" i="37"/>
  <c r="E19" i="37"/>
  <c r="E40" i="37" s="1"/>
  <c r="D33" i="29"/>
  <c r="J32" i="36" l="1"/>
  <c r="G49" i="37"/>
  <c r="F49" i="37"/>
  <c r="J44" i="37"/>
  <c r="J19" i="37"/>
  <c r="H49" i="37"/>
  <c r="E49" i="37"/>
  <c r="J49" i="37"/>
  <c r="D49" i="37"/>
  <c r="J47" i="37"/>
  <c r="D30" i="30" l="1"/>
  <c r="H15" i="28"/>
  <c r="G15" i="28"/>
  <c r="F15" i="28"/>
  <c r="E15" i="28"/>
  <c r="D15" i="28"/>
  <c r="H14" i="28"/>
  <c r="G14" i="28"/>
  <c r="F14" i="28"/>
  <c r="E14" i="28"/>
  <c r="D14" i="28"/>
  <c r="H13" i="28"/>
  <c r="G13" i="28"/>
  <c r="F13" i="28"/>
  <c r="E13" i="28"/>
  <c r="D13" i="28"/>
  <c r="H8" i="28"/>
  <c r="G8" i="28"/>
  <c r="F8" i="28"/>
  <c r="E8" i="28"/>
  <c r="H12" i="35"/>
  <c r="G12" i="35"/>
  <c r="F12" i="35"/>
  <c r="E12" i="35"/>
  <c r="D12" i="35"/>
  <c r="E23" i="16"/>
  <c r="F23" i="16"/>
  <c r="G23" i="16"/>
  <c r="H23" i="16"/>
  <c r="D23" i="16"/>
  <c r="D12" i="16"/>
  <c r="D15" i="16"/>
  <c r="E15" i="16"/>
  <c r="F15" i="16"/>
  <c r="G15" i="16"/>
  <c r="H15" i="16"/>
  <c r="D16" i="16"/>
  <c r="E16" i="16"/>
  <c r="F16" i="16"/>
  <c r="G16" i="16"/>
  <c r="H16" i="16"/>
  <c r="E14" i="16"/>
  <c r="F14" i="16"/>
  <c r="G14" i="16"/>
  <c r="H14" i="16"/>
  <c r="D14" i="16"/>
  <c r="E12" i="16"/>
  <c r="F12" i="16"/>
  <c r="G12" i="16"/>
  <c r="H12" i="16"/>
  <c r="J9" i="16"/>
  <c r="J8" i="16"/>
  <c r="I44" i="27"/>
  <c r="E13" i="27"/>
  <c r="F13" i="27"/>
  <c r="G13" i="27"/>
  <c r="H13" i="27"/>
  <c r="D13" i="27"/>
  <c r="J8" i="27"/>
  <c r="J8" i="36"/>
  <c r="J37" i="16"/>
  <c r="J44" i="16"/>
  <c r="J33" i="16"/>
  <c r="D25" i="31"/>
  <c r="J30" i="27"/>
  <c r="J29" i="27"/>
  <c r="J32" i="28"/>
  <c r="E33" i="29"/>
  <c r="F33" i="29"/>
  <c r="G33" i="29"/>
  <c r="H33" i="29"/>
  <c r="J32" i="16"/>
  <c r="F17" i="16" l="1"/>
  <c r="H17" i="16"/>
  <c r="J46" i="16"/>
  <c r="J14" i="16"/>
  <c r="D17" i="16"/>
  <c r="G17" i="16"/>
  <c r="J29" i="31"/>
  <c r="J12" i="36"/>
  <c r="J15" i="16"/>
  <c r="J33" i="29"/>
  <c r="E17" i="16"/>
  <c r="J22" i="16"/>
  <c r="J19" i="16"/>
  <c r="J30" i="31"/>
  <c r="J31" i="31"/>
  <c r="J21" i="16"/>
  <c r="J20" i="16"/>
  <c r="J10" i="16"/>
  <c r="D49" i="31"/>
  <c r="J8" i="35"/>
  <c r="D18" i="36"/>
  <c r="I46" i="36"/>
  <c r="J43" i="36"/>
  <c r="H30" i="36"/>
  <c r="G30" i="36"/>
  <c r="F30" i="36"/>
  <c r="E30" i="36"/>
  <c r="D30" i="36"/>
  <c r="J29" i="36"/>
  <c r="J28" i="36"/>
  <c r="H26" i="36"/>
  <c r="G26" i="36"/>
  <c r="F26" i="36"/>
  <c r="E26" i="36"/>
  <c r="D26" i="36"/>
  <c r="J25" i="36"/>
  <c r="J24" i="36"/>
  <c r="J22" i="36"/>
  <c r="J21" i="36"/>
  <c r="J20" i="36"/>
  <c r="H18" i="36"/>
  <c r="G18" i="36"/>
  <c r="F18" i="36"/>
  <c r="E18" i="36"/>
  <c r="J17" i="36"/>
  <c r="J16" i="36"/>
  <c r="I14" i="36"/>
  <c r="H14" i="36"/>
  <c r="G14" i="36"/>
  <c r="E14" i="36"/>
  <c r="D14" i="36"/>
  <c r="J13" i="36"/>
  <c r="I10" i="36"/>
  <c r="H10" i="36"/>
  <c r="G10" i="36"/>
  <c r="F10" i="36"/>
  <c r="E10" i="36"/>
  <c r="D10" i="36"/>
  <c r="J9" i="36"/>
  <c r="I44" i="35"/>
  <c r="J41" i="35"/>
  <c r="H36" i="35"/>
  <c r="G36" i="35"/>
  <c r="F36" i="35"/>
  <c r="E36" i="35"/>
  <c r="D36" i="35"/>
  <c r="J35" i="35"/>
  <c r="J34" i="35"/>
  <c r="H32" i="35"/>
  <c r="G32" i="35"/>
  <c r="F32" i="35"/>
  <c r="E32" i="35"/>
  <c r="D32" i="35"/>
  <c r="J31" i="35"/>
  <c r="J30" i="35"/>
  <c r="H26" i="35"/>
  <c r="G26" i="35"/>
  <c r="F26" i="35"/>
  <c r="E26" i="35"/>
  <c r="D26" i="35"/>
  <c r="J25" i="35"/>
  <c r="J24" i="35"/>
  <c r="H22" i="35"/>
  <c r="G22" i="35"/>
  <c r="F22" i="35"/>
  <c r="E22" i="35"/>
  <c r="D22" i="35"/>
  <c r="J21" i="35"/>
  <c r="J20" i="35"/>
  <c r="H18" i="35"/>
  <c r="G18" i="35"/>
  <c r="F18" i="35"/>
  <c r="E18" i="35"/>
  <c r="D18" i="35"/>
  <c r="J17" i="35"/>
  <c r="J16" i="35"/>
  <c r="I14" i="35"/>
  <c r="H14" i="35"/>
  <c r="G14" i="35"/>
  <c r="E14" i="35"/>
  <c r="J13" i="35"/>
  <c r="I10" i="35"/>
  <c r="H10" i="35"/>
  <c r="G10" i="35"/>
  <c r="F10" i="35"/>
  <c r="E10" i="35"/>
  <c r="D10" i="35"/>
  <c r="J9" i="35"/>
  <c r="E15" i="31"/>
  <c r="F15" i="31"/>
  <c r="G15" i="31"/>
  <c r="H15" i="31"/>
  <c r="D15" i="31"/>
  <c r="E11" i="29"/>
  <c r="F11" i="29"/>
  <c r="G11" i="29"/>
  <c r="H11" i="29"/>
  <c r="D11" i="29"/>
  <c r="E20" i="29"/>
  <c r="F20" i="29"/>
  <c r="G20" i="29"/>
  <c r="H20" i="29"/>
  <c r="D20" i="29"/>
  <c r="I51" i="31"/>
  <c r="H49" i="31"/>
  <c r="G49" i="31"/>
  <c r="F49" i="31"/>
  <c r="E49" i="31"/>
  <c r="H25" i="31"/>
  <c r="G25" i="31"/>
  <c r="F25" i="31"/>
  <c r="E25" i="31"/>
  <c r="H21" i="31"/>
  <c r="G21" i="31"/>
  <c r="F21" i="31"/>
  <c r="E21" i="31"/>
  <c r="D21" i="31"/>
  <c r="H18" i="31"/>
  <c r="G18" i="31"/>
  <c r="F18" i="31"/>
  <c r="E18" i="31"/>
  <c r="D18" i="31"/>
  <c r="I12" i="31"/>
  <c r="H12" i="31"/>
  <c r="G12" i="31"/>
  <c r="F12" i="31"/>
  <c r="E12" i="31"/>
  <c r="D12" i="31"/>
  <c r="I9" i="31"/>
  <c r="H9" i="31"/>
  <c r="G9" i="31"/>
  <c r="F9" i="31"/>
  <c r="E9" i="31"/>
  <c r="D9" i="31"/>
  <c r="I52" i="29"/>
  <c r="J49" i="29"/>
  <c r="J30" i="29"/>
  <c r="H28" i="29"/>
  <c r="G28" i="29"/>
  <c r="F28" i="29"/>
  <c r="E28" i="29"/>
  <c r="D28" i="29"/>
  <c r="J27" i="29"/>
  <c r="J26" i="29"/>
  <c r="H24" i="29"/>
  <c r="G24" i="29"/>
  <c r="F24" i="29"/>
  <c r="E24" i="29"/>
  <c r="D24" i="29"/>
  <c r="J23" i="29"/>
  <c r="J22" i="29"/>
  <c r="J19" i="29"/>
  <c r="I16" i="29"/>
  <c r="H16" i="29"/>
  <c r="G16" i="29"/>
  <c r="F16" i="29"/>
  <c r="E16" i="29"/>
  <c r="D16" i="29"/>
  <c r="I11" i="29"/>
  <c r="I46" i="28"/>
  <c r="J43" i="28"/>
  <c r="H38" i="28"/>
  <c r="G38" i="28"/>
  <c r="F38" i="28"/>
  <c r="E38" i="28"/>
  <c r="D38" i="28"/>
  <c r="J37" i="28"/>
  <c r="J36" i="28"/>
  <c r="J33" i="28"/>
  <c r="J30" i="28"/>
  <c r="J31" i="28"/>
  <c r="H28" i="28"/>
  <c r="G28" i="28"/>
  <c r="F28" i="28"/>
  <c r="E28" i="28"/>
  <c r="D28" i="28"/>
  <c r="J27" i="28"/>
  <c r="J26" i="28"/>
  <c r="H24" i="28"/>
  <c r="G24" i="28"/>
  <c r="F24" i="28"/>
  <c r="E24" i="28"/>
  <c r="D24" i="28"/>
  <c r="J23" i="28"/>
  <c r="J22" i="28"/>
  <c r="H20" i="28"/>
  <c r="G20" i="28"/>
  <c r="F20" i="28"/>
  <c r="E20" i="28"/>
  <c r="D20" i="28"/>
  <c r="J19" i="28"/>
  <c r="J18" i="28"/>
  <c r="I16" i="28"/>
  <c r="J15" i="28"/>
  <c r="J14" i="28"/>
  <c r="I11" i="28"/>
  <c r="H11" i="28"/>
  <c r="G11" i="28"/>
  <c r="F11" i="28"/>
  <c r="E11" i="28"/>
  <c r="D11" i="28"/>
  <c r="J10" i="28"/>
  <c r="J9" i="28"/>
  <c r="J8" i="28"/>
  <c r="I48" i="27"/>
  <c r="J45" i="27"/>
  <c r="J39" i="27"/>
  <c r="J38" i="27"/>
  <c r="J37" i="27"/>
  <c r="J36" i="27"/>
  <c r="J35" i="27"/>
  <c r="H32" i="27"/>
  <c r="G32" i="27"/>
  <c r="F32" i="27"/>
  <c r="E32" i="27"/>
  <c r="D32" i="27"/>
  <c r="H27" i="27"/>
  <c r="G27" i="27"/>
  <c r="F27" i="27"/>
  <c r="E27" i="27"/>
  <c r="D27" i="27"/>
  <c r="J26" i="27"/>
  <c r="J25" i="27"/>
  <c r="H23" i="27"/>
  <c r="G23" i="27"/>
  <c r="F23" i="27"/>
  <c r="E23" i="27"/>
  <c r="D23" i="27"/>
  <c r="J22" i="27"/>
  <c r="J21" i="27"/>
  <c r="H19" i="27"/>
  <c r="G19" i="27"/>
  <c r="F19" i="27"/>
  <c r="E19" i="27"/>
  <c r="D19" i="27"/>
  <c r="J18" i="27"/>
  <c r="I16" i="27"/>
  <c r="J15" i="27"/>
  <c r="J14" i="27"/>
  <c r="I11" i="27"/>
  <c r="H11" i="27"/>
  <c r="G11" i="27"/>
  <c r="F11" i="27"/>
  <c r="E11" i="27"/>
  <c r="D11" i="27"/>
  <c r="J10" i="27"/>
  <c r="J11" i="27" s="1"/>
  <c r="J51" i="16"/>
  <c r="E35" i="16"/>
  <c r="F35" i="16"/>
  <c r="G35" i="16"/>
  <c r="H35" i="16"/>
  <c r="D35" i="16"/>
  <c r="J34" i="16"/>
  <c r="E30" i="16"/>
  <c r="F30" i="16"/>
  <c r="G30" i="16"/>
  <c r="H30" i="16"/>
  <c r="D30" i="16"/>
  <c r="J29" i="16"/>
  <c r="E27" i="16"/>
  <c r="F27" i="16"/>
  <c r="G27" i="16"/>
  <c r="H27" i="16"/>
  <c r="D27" i="16"/>
  <c r="J26" i="16"/>
  <c r="J25" i="16"/>
  <c r="J23" i="27" l="1"/>
  <c r="G40" i="35"/>
  <c r="G42" i="35" s="1"/>
  <c r="H40" i="35"/>
  <c r="H42" i="35" s="1"/>
  <c r="J22" i="35"/>
  <c r="J40" i="27"/>
  <c r="J27" i="27"/>
  <c r="D10" i="30"/>
  <c r="J18" i="35"/>
  <c r="E40" i="35"/>
  <c r="E42" i="35" s="1"/>
  <c r="J12" i="16"/>
  <c r="D16" i="27"/>
  <c r="D41" i="27" s="1"/>
  <c r="E16" i="27"/>
  <c r="E44" i="27" s="1"/>
  <c r="E46" i="27" s="1"/>
  <c r="F16" i="27"/>
  <c r="F44" i="27" s="1"/>
  <c r="F46" i="27" s="1"/>
  <c r="G16" i="27"/>
  <c r="G44" i="27" s="1"/>
  <c r="G46" i="27" s="1"/>
  <c r="H16" i="27"/>
  <c r="H41" i="27" s="1"/>
  <c r="D48" i="29"/>
  <c r="D50" i="29" s="1"/>
  <c r="G48" i="29"/>
  <c r="G50" i="29" s="1"/>
  <c r="F48" i="29"/>
  <c r="F50" i="29" s="1"/>
  <c r="E48" i="29"/>
  <c r="E50" i="29" s="1"/>
  <c r="H48" i="29"/>
  <c r="E13" i="30"/>
  <c r="D12" i="30"/>
  <c r="J10" i="35"/>
  <c r="J34" i="31"/>
  <c r="D7" i="30"/>
  <c r="E7" i="30"/>
  <c r="F7" i="30"/>
  <c r="G7" i="30"/>
  <c r="H7" i="30"/>
  <c r="D11" i="30"/>
  <c r="G12" i="30"/>
  <c r="D9" i="30"/>
  <c r="J33" i="31"/>
  <c r="E12" i="30"/>
  <c r="J10" i="36"/>
  <c r="F14" i="36"/>
  <c r="F44" i="36" s="1"/>
  <c r="J30" i="36"/>
  <c r="E44" i="36"/>
  <c r="G44" i="36"/>
  <c r="H44" i="36"/>
  <c r="J32" i="35"/>
  <c r="F14" i="35"/>
  <c r="F40" i="35" s="1"/>
  <c r="F42" i="35" s="1"/>
  <c r="D14" i="35"/>
  <c r="J19" i="27"/>
  <c r="J32" i="27"/>
  <c r="D50" i="16"/>
  <c r="D52" i="16" s="1"/>
  <c r="J12" i="35"/>
  <c r="J14" i="35" s="1"/>
  <c r="F50" i="16"/>
  <c r="F52" i="16" s="1"/>
  <c r="E16" i="28"/>
  <c r="E8" i="30" s="1"/>
  <c r="F16" i="28"/>
  <c r="G16" i="28"/>
  <c r="H16" i="28"/>
  <c r="J11" i="28"/>
  <c r="D39" i="36"/>
  <c r="J18" i="36"/>
  <c r="H50" i="16"/>
  <c r="H52" i="16" s="1"/>
  <c r="G50" i="16"/>
  <c r="G52" i="16" s="1"/>
  <c r="J35" i="16"/>
  <c r="E10" i="30"/>
  <c r="F10" i="30"/>
  <c r="G10" i="30"/>
  <c r="H10" i="30"/>
  <c r="E11" i="30"/>
  <c r="F11" i="30"/>
  <c r="G11" i="30"/>
  <c r="H11" i="30"/>
  <c r="H9" i="30"/>
  <c r="F9" i="30"/>
  <c r="E9" i="30"/>
  <c r="J49" i="31"/>
  <c r="H37" i="35"/>
  <c r="H44" i="35" s="1"/>
  <c r="J26" i="35"/>
  <c r="G37" i="35"/>
  <c r="G44" i="35" s="1"/>
  <c r="E37" i="35"/>
  <c r="E44" i="35" s="1"/>
  <c r="H39" i="36"/>
  <c r="J26" i="36"/>
  <c r="G39" i="36"/>
  <c r="J14" i="36"/>
  <c r="E39" i="36"/>
  <c r="J38" i="36"/>
  <c r="J36" i="35"/>
  <c r="J15" i="31"/>
  <c r="J21" i="31"/>
  <c r="J9" i="31"/>
  <c r="J18" i="31"/>
  <c r="J11" i="29"/>
  <c r="J28" i="29"/>
  <c r="J24" i="29"/>
  <c r="J16" i="29"/>
  <c r="J30" i="16"/>
  <c r="J27" i="16"/>
  <c r="J23" i="16"/>
  <c r="J13" i="27"/>
  <c r="J16" i="27" s="1"/>
  <c r="G41" i="27"/>
  <c r="J34" i="28"/>
  <c r="J24" i="28"/>
  <c r="J28" i="28"/>
  <c r="J20" i="28"/>
  <c r="J25" i="31"/>
  <c r="J12" i="31"/>
  <c r="J20" i="29"/>
  <c r="E45" i="29"/>
  <c r="G45" i="29"/>
  <c r="H45" i="29"/>
  <c r="D45" i="29"/>
  <c r="D52" i="29" s="1"/>
  <c r="E41" i="27"/>
  <c r="H47" i="16"/>
  <c r="J38" i="28"/>
  <c r="G47" i="16"/>
  <c r="D44" i="27" l="1"/>
  <c r="H44" i="27"/>
  <c r="H46" i="27" s="1"/>
  <c r="H48" i="27"/>
  <c r="F41" i="27"/>
  <c r="F48" i="27" s="1"/>
  <c r="G52" i="29"/>
  <c r="E52" i="29"/>
  <c r="F37" i="35"/>
  <c r="F44" i="35" s="1"/>
  <c r="F39" i="36"/>
  <c r="F46" i="36" s="1"/>
  <c r="G48" i="27"/>
  <c r="G8" i="30"/>
  <c r="D46" i="27"/>
  <c r="J46" i="27" s="1"/>
  <c r="J44" i="27"/>
  <c r="E48" i="27"/>
  <c r="J48" i="29"/>
  <c r="D13" i="30"/>
  <c r="H50" i="29"/>
  <c r="J50" i="29" s="1"/>
  <c r="E45" i="31"/>
  <c r="E51" i="31" s="1"/>
  <c r="H52" i="29"/>
  <c r="H42" i="28"/>
  <c r="H44" i="28" s="1"/>
  <c r="H8" i="30"/>
  <c r="D37" i="35"/>
  <c r="J37" i="35" s="1"/>
  <c r="D40" i="35"/>
  <c r="F8" i="30"/>
  <c r="G46" i="36"/>
  <c r="H46" i="36"/>
  <c r="E46" i="36"/>
  <c r="D47" i="16"/>
  <c r="D54" i="16" s="1"/>
  <c r="J42" i="36"/>
  <c r="D44" i="36"/>
  <c r="F47" i="16"/>
  <c r="F54" i="16" s="1"/>
  <c r="H39" i="28"/>
  <c r="F42" i="28"/>
  <c r="F44" i="28" s="1"/>
  <c r="F16" i="30" s="1"/>
  <c r="F39" i="28"/>
  <c r="G42" i="28"/>
  <c r="G44" i="28" s="1"/>
  <c r="G16" i="30" s="1"/>
  <c r="G39" i="28"/>
  <c r="E42" i="28"/>
  <c r="E44" i="28" s="1"/>
  <c r="E39" i="28"/>
  <c r="G54" i="16"/>
  <c r="J16" i="16"/>
  <c r="J17" i="16" s="1"/>
  <c r="H54" i="16"/>
  <c r="D16" i="28"/>
  <c r="D8" i="30" s="1"/>
  <c r="J13" i="28"/>
  <c r="J16" i="28" s="1"/>
  <c r="J10" i="30"/>
  <c r="J11" i="30"/>
  <c r="J12" i="30"/>
  <c r="J9" i="30"/>
  <c r="J7" i="30"/>
  <c r="J41" i="27"/>
  <c r="J48" i="27" s="1"/>
  <c r="J39" i="36" l="1"/>
  <c r="G14" i="30"/>
  <c r="G18" i="30" s="1"/>
  <c r="D48" i="27"/>
  <c r="G45" i="31"/>
  <c r="G51" i="31" s="1"/>
  <c r="H46" i="28"/>
  <c r="D42" i="35"/>
  <c r="J40" i="35"/>
  <c r="F45" i="31"/>
  <c r="F51" i="31" s="1"/>
  <c r="J44" i="36"/>
  <c r="J46" i="36" s="1"/>
  <c r="D24" i="30" s="1"/>
  <c r="D27" i="30"/>
  <c r="D46" i="36"/>
  <c r="D39" i="28"/>
  <c r="D42" i="28"/>
  <c r="D44" i="28" s="1"/>
  <c r="D45" i="31"/>
  <c r="E46" i="28"/>
  <c r="G46" i="28"/>
  <c r="F46" i="28"/>
  <c r="E47" i="16"/>
  <c r="E50" i="16"/>
  <c r="E14" i="30"/>
  <c r="D16" i="30" l="1"/>
  <c r="J42" i="35"/>
  <c r="J44" i="35" s="1"/>
  <c r="D44" i="35"/>
  <c r="J44" i="31"/>
  <c r="H14" i="30"/>
  <c r="H18" i="30" s="1"/>
  <c r="H45" i="31"/>
  <c r="H51" i="31" s="1"/>
  <c r="D51" i="31"/>
  <c r="E52" i="16"/>
  <c r="J50" i="16"/>
  <c r="J52" i="16" s="1"/>
  <c r="J47" i="16"/>
  <c r="J54" i="16" s="1"/>
  <c r="J39" i="28"/>
  <c r="J8" i="30"/>
  <c r="D14" i="30"/>
  <c r="J42" i="28"/>
  <c r="J45" i="31" l="1"/>
  <c r="J51" i="31" s="1"/>
  <c r="E16" i="30"/>
  <c r="E18" i="30" s="1"/>
  <c r="D26" i="30"/>
  <c r="E54" i="16"/>
  <c r="J44" i="28"/>
  <c r="J46" i="28" s="1"/>
  <c r="D46" i="28"/>
  <c r="D23" i="30" l="1"/>
  <c r="J16" i="30"/>
  <c r="D28" i="30"/>
  <c r="D25" i="30"/>
  <c r="D18" i="30"/>
  <c r="J42" i="29" l="1"/>
  <c r="J44" i="29"/>
  <c r="J13" i="30" l="1"/>
  <c r="F45" i="29"/>
  <c r="F14" i="30" l="1"/>
  <c r="F18" i="30" s="1"/>
  <c r="J45" i="29"/>
  <c r="J52" i="29" s="1"/>
  <c r="F52" i="29"/>
  <c r="J14" i="30" l="1"/>
  <c r="J18" i="30" s="1"/>
  <c r="D29" i="30"/>
  <c r="D31" i="30" l="1"/>
  <c r="E29" i="30" s="1"/>
  <c r="E30" i="30" l="1"/>
  <c r="E26" i="30"/>
  <c r="E23" i="30"/>
  <c r="E28" i="30"/>
  <c r="E25" i="30"/>
  <c r="E24" i="30"/>
  <c r="E27" i="30"/>
  <c r="E31" i="30" l="1"/>
</calcChain>
</file>

<file path=xl/sharedStrings.xml><?xml version="1.0" encoding="utf-8"?>
<sst xmlns="http://schemas.openxmlformats.org/spreadsheetml/2006/main" count="530" uniqueCount="142">
  <si>
    <t>Consolidated Budget Table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</si>
  <si>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</si>
  <si>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</si>
  <si>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</si>
  <si>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</si>
  <si>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</si>
  <si>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</si>
  <si>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</si>
  <si>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</si>
  <si>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</si>
  <si>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</si>
  <si>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</si>
  <si>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</si>
  <si>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</si>
  <si>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</si>
  <si>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</si>
  <si>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</si>
  <si>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</si>
  <si>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</si>
  <si>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</si>
  <si>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</si>
  <si>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</si>
  <si>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</si>
  <si>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</si>
  <si>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</si>
  <si>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</si>
  <si>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</si>
  <si>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Grant administration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</si>
  <si>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</si>
  <si>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</si>
  <si>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</si>
  <si>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</si>
  <si>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</si>
  <si>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</si>
  <si>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</si>
  <si>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</si>
  <si>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Supplies </t>
  </si>
  <si>
    <t xml:space="preserve"> Contractual </t>
  </si>
  <si>
    <t>OTHER</t>
  </si>
  <si>
    <t>Indirect Costs</t>
  </si>
  <si>
    <t xml:space="preserve"> </t>
  </si>
  <si>
    <t>TOTAL EQUIPMENT</t>
  </si>
  <si>
    <t>MPCA indirect 30.5%</t>
  </si>
  <si>
    <t xml:space="preserve"> Fringe Benefits</t>
  </si>
  <si>
    <t>Program manager fringe @ 34%</t>
  </si>
  <si>
    <t>Grants manager fringe @ 34%</t>
  </si>
  <si>
    <t>Permit engineer fringe @ 34%</t>
  </si>
  <si>
    <t>Grants manager, 1.5 FTE, 10L</t>
  </si>
  <si>
    <t>Program coordinator fringe @ 34%</t>
  </si>
  <si>
    <t>TOTAL CONTRACTUAL</t>
  </si>
  <si>
    <t>Other</t>
  </si>
  <si>
    <t>MPCA indirect rate (salary + fringe) @ 30.5%</t>
  </si>
  <si>
    <t>Supervisor, 1 FTE @ 22L</t>
  </si>
  <si>
    <t>Indirect: 22.86% of salary and fringe</t>
  </si>
  <si>
    <t xml:space="preserve">Subaward* to MN Dept of Health for Tribal coordination, GHG assessments, and Regional Food Networks coordination </t>
  </si>
  <si>
    <t>*Subaward detail is provided for informational purposes and is not double-counted</t>
  </si>
  <si>
    <t>Subaward* to MN Dept of Agriculture</t>
  </si>
  <si>
    <t>Subaward* to DNR for peatland restoration on state-managed lands and restoration with Tribal Nations</t>
  </si>
  <si>
    <t xml:space="preserve">Subaward* to BWSR for restoration contracts on private and local government land </t>
  </si>
  <si>
    <t>Subaward* to MN Dept of Agriculture for ag equipment replacement</t>
  </si>
  <si>
    <t>Fringe: Salary at 31.44%</t>
  </si>
  <si>
    <t>Subaward* to Ramsey/Washington R&amp;E for organic waste management</t>
  </si>
  <si>
    <t>Indirect at 10%</t>
  </si>
  <si>
    <t>*Subaward detail is provided for informational purposes and are not double-counted</t>
  </si>
  <si>
    <t>Communications specialist, 0.5 FTE @ 10L</t>
  </si>
  <si>
    <t>Indirect at 30.5% (salary + fringe) - Communications specialist</t>
  </si>
  <si>
    <t>Indirect at 30.5% (salary + fringe) - Program manager</t>
  </si>
  <si>
    <t>Indirect at 30.5% (salary + fringe) - Supervisor</t>
  </si>
  <si>
    <t>Supervisor fringe at 34%</t>
  </si>
  <si>
    <t>Communications specialist fringe @ 34%</t>
  </si>
  <si>
    <t>Travel: Annually, 25 days lodging @ $150/day for 2 staff, per diem meals @$50/day for 70 days for 2 staff, in-state mileage @8,000 mi/yr, out-of-state travel @ $2,500/trips for 2 staff for 2 trips (airfare @$600, lodging @ $150/day for 4 days, ground transportation @$700, $50 per diem meals for 5 days, $350 registration)</t>
  </si>
  <si>
    <t>Equipment: GHG analyzer @$50,000, site-specific monitoring equipment, incl. wells and loggers @$37,500 in year 1</t>
  </si>
  <si>
    <t>Supplies: In year 1, computer @$3,000, office equipment @$5,000, office supplies and safety equipment @$2,500; years 2-5 office supplies and safety equipment @ $2,000 annually</t>
  </si>
  <si>
    <t>Contractual: restoration on state lands @$6,463,168 each year for years 2-4 and $463,168 for year 5; restoration contracts with Tribes @$4 million in year 2</t>
  </si>
  <si>
    <t>Indirect: DNR rate @21.2% of salary and fringe</t>
  </si>
  <si>
    <t>Fringe: BWSR rate @25% of salary</t>
  </si>
  <si>
    <t>Fringe: DNR rate @25% of salary</t>
  </si>
  <si>
    <t>Travel: Annually, lodging for 5 site visits/yr @$150/day, meals for 20 days/yr @$50/day, in-state mileage @1,000 mi/yr @ $0.67/mi</t>
  </si>
  <si>
    <t>Supplies: Meeting supplies, refreshments, and display materials @ $300/meeting for 5 meetings annually</t>
  </si>
  <si>
    <t>Contractual: Easements on private  local government, and tax-forfeit land @$1 million in years 2 and 3, $2 million in year 4, $1,329,848 in year 5)</t>
  </si>
  <si>
    <t>Indirect: BWSR indirect rate @10% of salary plus fringe</t>
  </si>
  <si>
    <t>Fringe: MDA fringe @42.79% of salary</t>
  </si>
  <si>
    <t>Contractual: MAWQCP incentive payments years 1-5 @$1,974,286/yr; soil health equipment grants for years 1-4 @$2,187,500/yr; CLC market dev grant for years 1-2 @$250,000/year</t>
  </si>
  <si>
    <t>Program Manager fringe @ 34%</t>
  </si>
  <si>
    <t>Grants Manager fringe @ 34%</t>
  </si>
  <si>
    <t>Industrial Engineer fringe @ 34%</t>
  </si>
  <si>
    <t>Grants Manager, 1.5 FTE @ 10L, years 1-5</t>
  </si>
  <si>
    <t>Engineering Specialist Senior, 1 FTE @ 8K, years 1-5</t>
  </si>
  <si>
    <t>Lodging - $150 per day @ 10 days per year, years 1-5</t>
  </si>
  <si>
    <t>Parking - $20 per day at 10 days per year, years 1-5</t>
  </si>
  <si>
    <t>Mileage for in-state travel (1300 miles for years 1-2 and 1,000 miles/year @ $0.67/mile for years 3-5)</t>
  </si>
  <si>
    <t>Meals per diem @$43/day for 25 days in years 1 and 2, 30 days in year 3, and 20 days in years 4 and 5</t>
  </si>
  <si>
    <t>Supplies for 5 program outreach and engagement meetings per year @$250/meeting annually for years 1-2</t>
  </si>
  <si>
    <t>Industrial innovations grants: ~73 planning/technical assistance grants in year 1, ~50 implementation projects @ $800,000 ea on average in year 2</t>
  </si>
  <si>
    <t>Other: Participant support costs for organics recycling tipping fee @$353,571/month for 28 months beginning Jan 2027 (9 months in year 3, 12 months in year 4, 7 months in year 5)</t>
  </si>
  <si>
    <t>Contractual: Venue rental for 6 in-person outreach/engagement meetings @ $300 per meeting</t>
  </si>
  <si>
    <t>MPCA indirect @ 30.5% of salary + fringe</t>
  </si>
  <si>
    <t>Grants manager @ 10L classification, 0.5 FTE in year 1, 1 FTE years 2-5; mid-salary range with step inc and 3% COLA</t>
  </si>
  <si>
    <t>Personnel: Program manager, 1 FTE @ 18L classification, years 1-5; midrange step with salary increase and 3% COLA</t>
  </si>
  <si>
    <t>Program Manager, 1 FTE @ 17L classification, years 1-5; ; midrange step with salary increase and 3% COLA (all positions)</t>
  </si>
  <si>
    <t>Program manager @ 17L, 1 FTE; midrange step with salary increase and 3% COLA</t>
  </si>
  <si>
    <t>MPCA fringe @34% of salary</t>
  </si>
  <si>
    <t>Program manager 1 FTE @ 17L; midrange step with salary increase and 3% COLA (all positions)</t>
  </si>
  <si>
    <t>Program coordinator 1 FTE @ 17L; midrange step with salary increase and 3% COLA (all positions)</t>
  </si>
  <si>
    <t>Program manager 1 FTE @ 17L classification; midrange step with salary increase and 3% COLA (all positions)</t>
  </si>
  <si>
    <t>Grants manager, 2.0 FTE @ 10L, years 2-5</t>
  </si>
  <si>
    <t>Permit engineer, 1.0 FTE @ 10K, years 2-5</t>
  </si>
  <si>
    <t>Personnel: Contracts support @$75,850/yr @ 0.3FTE years 3-5</t>
  </si>
  <si>
    <t>Personnel: Project manager 1FTE @18L classification, contracts admin 0.25FTE @15L, peatland subject matter expert 0.5FTE @14L, communications 0.5FTE @10L; all years 1-5 except years 2-5 for communications; all positions at midrange step with salary increase and 3% COLA</t>
  </si>
  <si>
    <t>Personnel: Project manager 1FTE @18L, engineer 0.5FTE @12K, engineer tech 1 FTE @5K; all years 1-5; all positions at midrange step with salary increase and 3% COLA</t>
  </si>
  <si>
    <t>MPCA fringe at 34% of salary</t>
  </si>
  <si>
    <t>Ultra-low GWP refrigerant systems grants: 17 grants @ $500,000 each (2 in year 1, 3 in year 2, and 4 each in years 3-5)</t>
  </si>
  <si>
    <t>MPCA Indirect at 30.5% of salary+fringe</t>
  </si>
  <si>
    <t>Low GWP refrigerants grants: ~45 grants @$20,054 each (12 annually in years 2-4, 9 in year 5)</t>
  </si>
  <si>
    <t>Personnel: 1 FTE 10L; midrange step with salary increase and 3% COLA</t>
  </si>
  <si>
    <t>Fringe: MDA fringe @ 54% of salary</t>
  </si>
  <si>
    <t>Contractual: Equipment replacement grants, ~91 projects @ $74,602 per project over years 1-5</t>
  </si>
  <si>
    <t>Indirect: MDA indirect @ 22.86% of salary+fringe</t>
  </si>
  <si>
    <t>Vehicle and equipment replacement grants, 66 projects @ $174,325/project across years 1 and 2</t>
  </si>
  <si>
    <t>Contracting partners to reach potential applicants in years 1 and 2</t>
  </si>
  <si>
    <t>Mileage for site visits split across years 4 and 5 (81 sites, 300 miles each = 24,300 miles x  $0.67 per mile)</t>
  </si>
  <si>
    <t>Prevention of Wasted Food and Food Rescue grants - 45 projects @ average of $278,311/project split across years 2 and 3</t>
  </si>
  <si>
    <t>Organics management grants - 4 compost facility grants @ $2.5M each across years 2 and 3; 20 food scrap collection and other compost support projects @ average of $300,000 each across years 2 and 3</t>
  </si>
  <si>
    <t>Food-to-livestock grants - 4 FTL operations in year 2 @ $107,000 per project</t>
  </si>
  <si>
    <t>MPCA indirect @ 30.5% for salary+fringe</t>
  </si>
  <si>
    <t>Revolving loan fund for organics management projects</t>
  </si>
  <si>
    <t>Tribal food sovereignty grants - average of $1,250,000 per Tribal Nation plus urban tribal award, spread across years 2 and 3</t>
  </si>
  <si>
    <t>Local food systems grants - estimated 100 grants total @ average $150,000 per project (~33 pojects in year 2, ~67 projects in year 3)</t>
  </si>
  <si>
    <t>Fringe: MDH fringe @ 35% of salary</t>
  </si>
  <si>
    <t>Travel: Ten meetings per year in years 2 and 3 with 2 staff (lodging @$175/day, meals @ $43/day, in-state mileage @ 500 mi/trip @$0.67/mile)</t>
  </si>
  <si>
    <t>Supplies: meeting supplies, refreshments for 10 meetings/year in years 2 and 3, $10pp for 25 people per meeting</t>
  </si>
  <si>
    <t>Contractual: Grants to fund LPH SHIP Regional Food Coordinators (6 RFCs @ $43,785/yr for years 1-3); Tribal food systems planning contract ($300,000 across years 1 and 2); GHG assessments for Regional Food Networks (6 @ $70,000 each across years 1 and 2); digital design contract @$7,500 in year 1</t>
  </si>
  <si>
    <t>Other: Participant support costs for RFN LIDAC members (6 RFNs with 3 members/RFN @ $50/hr*48 hours/yr in years 1-3)</t>
  </si>
  <si>
    <t>Indirect: MDH indirect @28% of salary and fringe</t>
  </si>
  <si>
    <t>Personnel: Food systems coord (0.5 FTE years 1-3, 0.2 FTE years 4 and 5), food systems planner (1 FTE years 1-3), American Indian Community Specialist (0.1 FTE years 1-3, 0.05 FTE years 4-5), food systems evaluator (0.2 FTE years 1-3), evaluation student worker (0.7 FTE years 2-3), finance/contract manager (0.2 FTE years 1-3); midrange step with salary increase and 3% COLA</t>
  </si>
  <si>
    <t>Food sovereignty and vibrant local food economies</t>
  </si>
  <si>
    <t>Prevention of wasted food and organics management</t>
  </si>
  <si>
    <t>Vehicle and equipment replacement</t>
  </si>
  <si>
    <t>Low and ultra-low GWP refrigerants</t>
  </si>
  <si>
    <t>Industrial innovations</t>
  </si>
  <si>
    <t>Climate-friendly agricultural practices</t>
  </si>
  <si>
    <t>Peatland restoration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</si>
</sst>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  <numFmt numFmtId="166" formatCode="#,##0.00000"/>
    <numFmt numFmtId="167" formatCode="&quot;$&quot;#,##0.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rgb="FFA6A6A6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trike/>
      <sz val="11"/>
      <color theme="0" tint="-0.499984740745262"/>
      <name val="Calibri"/>
      <family val="2"/>
      <scheme val="minor"/>
    </font>
    <font>
      <i/>
      <sz val="11"/>
      <color rgb="FF808080"/>
      <name val="Calibri"/>
      <family val="2"/>
      <scheme val="minor"/>
    </font>
    <font>
      <i/>
      <sz val="11"/>
      <color rgb="FFA6A6A6"/>
      <name val="Calibri"/>
      <family val="2"/>
    </font>
    <font>
      <b/>
      <i/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i/>
      <sz val="11"/>
      <color theme="1" tint="0.499984740745262"/>
      <name val="Calibri"/>
      <family val="2"/>
      <scheme val="minor"/>
    </font>
    <font>
      <i/>
      <sz val="11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i/>
      <sz val="11"/>
      <color theme="2" tint="-0.499984740745262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b/>
      <i/>
      <sz val="11"/>
      <color theme="2" tint="-0.499984740745262"/>
      <name val="Calibri"/>
      <family val="2"/>
      <scheme val="minor"/>
    </font>
    <font>
      <b/>
      <sz val="11"/>
      <color theme="2" tint="-0.49998474074526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46">
    <xf numFmtId="0" fontId="0" fillId="0" borderId="0" xfId="0"/>
    <xf numFmtId="0" fontId="2" fillId="0" borderId="0" xfId="0" applyFont="1"/>
    <xf numFmtId="0" fontId="0" fillId="0" borderId="0" xfId="0" applyFont="1"/>
    <xf numFmtId="164" fontId="0" fillId="0" borderId="0" xfId="1" applyNumberFormat="1" applyFont="1" applyBorder="1"/>
    <xf numFmtId="0" fontId="2" fillId="0" borderId="0" xfId="0" applyFont="1" applyBorder="1"/>
    <xf numFmtId="0" fontId="3" fillId="0" borderId="0" xfId="0" applyFont="1"/>
    <xf numFmtId="0" fontId="0" fillId="0" borderId="0" xfId="0" applyFont="1" applyBorder="1"/>
    <xf numFmtId="0" fontId="0" fillId="0" borderId="0" xfId="0" applyFont="1" applyFill="1" applyBorder="1"/>
    <xf numFmtId="0" fontId="3" fillId="0" borderId="0" xfId="0" applyFont="1" applyFill="1" applyBorder="1"/>
    <xf numFmtId="0" fontId="0" fillId="0" borderId="0" xfId="0" applyFont="1" applyBorder="1" applyAlignment="1">
      <alignment vertical="top"/>
    </xf>
    <xf numFmtId="0" fontId="6" fillId="0" borderId="0" xfId="0" applyFont="1" applyFill="1" applyBorder="1" applyAlignment="1"/>
    <xf numFmtId="0" fontId="6" fillId="0" borderId="1" xfId="0" applyFont="1" applyFill="1" applyBorder="1" applyAlignment="1"/>
    <xf numFmtId="0" fontId="6" fillId="4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6" fontId="6" fillId="0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6" fontId="7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0" fillId="0" borderId="1" xfId="0" applyFont="1" applyFill="1" applyBorder="1"/>
    <xf numFmtId="0" fontId="8" fillId="0" borderId="9" xfId="0" applyFont="1" applyFill="1" applyBorder="1" applyAlignment="1">
      <alignment wrapText="1"/>
    </xf>
    <xf numFmtId="0" fontId="2" fillId="0" borderId="2" xfId="0" applyFont="1" applyFill="1" applyBorder="1" applyAlignment="1">
      <alignment vertical="top"/>
    </xf>
    <xf numFmtId="0" fontId="0" fillId="0" borderId="5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3" xfId="0" applyFont="1" applyFill="1" applyBorder="1" applyAlignment="1">
      <alignment vertical="top"/>
    </xf>
    <xf numFmtId="0" fontId="7" fillId="0" borderId="1" xfId="0" applyFont="1" applyFill="1" applyBorder="1" applyAlignment="1">
      <alignment horizontal="left" wrapText="1" indent="2"/>
    </xf>
    <xf numFmtId="0" fontId="2" fillId="0" borderId="1" xfId="0" applyFont="1" applyFill="1" applyBorder="1" applyAlignment="1">
      <alignment vertical="top"/>
    </xf>
    <xf numFmtId="0" fontId="5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left" wrapText="1" indent="4"/>
    </xf>
    <xf numFmtId="0" fontId="10" fillId="0" borderId="0" xfId="0" applyFont="1"/>
    <xf numFmtId="6" fontId="0" fillId="0" borderId="0" xfId="0" applyNumberFormat="1"/>
    <xf numFmtId="6" fontId="6" fillId="0" borderId="0" xfId="0" applyNumberFormat="1" applyFont="1" applyFill="1" applyBorder="1" applyAlignment="1"/>
    <xf numFmtId="0" fontId="9" fillId="5" borderId="8" xfId="0" applyFont="1" applyFill="1" applyBorder="1" applyAlignment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8" fillId="6" borderId="11" xfId="0" applyFont="1" applyFill="1" applyBorder="1" applyAlignment="1">
      <alignment wrapText="1"/>
    </xf>
    <xf numFmtId="0" fontId="8" fillId="6" borderId="12" xfId="0" applyFont="1" applyFill="1" applyBorder="1" applyAlignment="1">
      <alignment wrapText="1"/>
    </xf>
    <xf numFmtId="0" fontId="8" fillId="6" borderId="13" xfId="0" applyFont="1" applyFill="1" applyBorder="1" applyAlignment="1">
      <alignment wrapText="1"/>
    </xf>
    <xf numFmtId="0" fontId="8" fillId="6" borderId="7" xfId="0" applyFont="1" applyFill="1" applyBorder="1" applyAlignment="1">
      <alignment wrapText="1"/>
    </xf>
    <xf numFmtId="0" fontId="8" fillId="6" borderId="3" xfId="0" applyFont="1" applyFill="1" applyBorder="1" applyAlignment="1"/>
    <xf numFmtId="0" fontId="0" fillId="0" borderId="0" xfId="0" applyAlignment="1">
      <alignment vertical="top"/>
    </xf>
    <xf numFmtId="0" fontId="6" fillId="0" borderId="0" xfId="0" applyFont="1"/>
    <xf numFmtId="0" fontId="1" fillId="2" borderId="7" xfId="0" applyFont="1" applyFill="1" applyBorder="1" applyAlignment="1">
      <alignment wrapText="1"/>
    </xf>
    <xf numFmtId="0" fontId="8" fillId="3" borderId="11" xfId="0" applyFont="1" applyFill="1" applyBorder="1" applyAlignment="1">
      <alignment wrapText="1"/>
    </xf>
    <xf numFmtId="0" fontId="8" fillId="3" borderId="12" xfId="0" applyFont="1" applyFill="1" applyBorder="1" applyAlignment="1">
      <alignment wrapText="1"/>
    </xf>
    <xf numFmtId="0" fontId="8" fillId="3" borderId="13" xfId="0" applyFont="1" applyFill="1" applyBorder="1" applyAlignment="1">
      <alignment wrapText="1"/>
    </xf>
    <xf numFmtId="0" fontId="8" fillId="3" borderId="7" xfId="0" applyFont="1" applyFill="1" applyBorder="1" applyAlignment="1">
      <alignment wrapText="1"/>
    </xf>
    <xf numFmtId="0" fontId="2" fillId="0" borderId="2" xfId="0" applyFont="1" applyBorder="1" applyAlignment="1">
      <alignment vertical="top"/>
    </xf>
    <xf numFmtId="0" fontId="6" fillId="7" borderId="1" xfId="0" applyFont="1" applyFill="1" applyBorder="1" applyAlignment="1">
      <alignment wrapText="1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8" fillId="0" borderId="9" xfId="0" applyFont="1" applyBorder="1" applyAlignment="1">
      <alignment wrapText="1"/>
    </xf>
    <xf numFmtId="6" fontId="8" fillId="0" borderId="14" xfId="0" applyNumberFormat="1" applyFont="1" applyBorder="1" applyAlignment="1">
      <alignment wrapText="1"/>
    </xf>
    <xf numFmtId="0" fontId="8" fillId="3" borderId="15" xfId="0" applyFont="1" applyFill="1" applyBorder="1" applyAlignment="1">
      <alignment wrapText="1"/>
    </xf>
    <xf numFmtId="6" fontId="6" fillId="4" borderId="1" xfId="0" applyNumberFormat="1" applyFont="1" applyFill="1" applyBorder="1" applyAlignment="1">
      <alignment wrapText="1"/>
    </xf>
    <xf numFmtId="6" fontId="11" fillId="0" borderId="1" xfId="0" applyNumberFormat="1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13" fillId="0" borderId="0" xfId="0" applyFont="1"/>
    <xf numFmtId="0" fontId="8" fillId="0" borderId="16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6" fontId="8" fillId="0" borderId="1" xfId="0" applyNumberFormat="1" applyFont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6" fontId="14" fillId="0" borderId="1" xfId="0" applyNumberFormat="1" applyFont="1" applyBorder="1" applyAlignment="1">
      <alignment wrapText="1"/>
    </xf>
    <xf numFmtId="0" fontId="14" fillId="0" borderId="1" xfId="0" applyFont="1" applyBorder="1" applyAlignment="1">
      <alignment horizontal="left" wrapText="1" indent="2"/>
    </xf>
    <xf numFmtId="0" fontId="15" fillId="0" borderId="1" xfId="0" applyFont="1" applyFill="1" applyBorder="1" applyAlignment="1">
      <alignment wrapText="1"/>
    </xf>
    <xf numFmtId="0" fontId="15" fillId="0" borderId="0" xfId="0" applyFont="1" applyFill="1" applyBorder="1" applyAlignment="1"/>
    <xf numFmtId="0" fontId="15" fillId="0" borderId="1" xfId="0" applyFont="1" applyFill="1" applyBorder="1" applyAlignment="1"/>
    <xf numFmtId="6" fontId="13" fillId="0" borderId="1" xfId="0" applyNumberFormat="1" applyFont="1" applyFill="1" applyBorder="1" applyAlignment="1">
      <alignment wrapText="1"/>
    </xf>
    <xf numFmtId="6" fontId="13" fillId="4" borderId="1" xfId="0" applyNumberFormat="1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6" fontId="13" fillId="4" borderId="4" xfId="0" applyNumberFormat="1" applyFont="1" applyFill="1" applyBorder="1" applyAlignment="1">
      <alignment wrapText="1"/>
    </xf>
    <xf numFmtId="0" fontId="15" fillId="0" borderId="0" xfId="0" applyFont="1" applyFill="1" applyBorder="1"/>
    <xf numFmtId="0" fontId="15" fillId="0" borderId="1" xfId="0" applyFont="1" applyFill="1" applyBorder="1"/>
    <xf numFmtId="6" fontId="16" fillId="0" borderId="10" xfId="0" applyNumberFormat="1" applyFont="1" applyFill="1" applyBorder="1" applyAlignment="1">
      <alignment wrapText="1"/>
    </xf>
    <xf numFmtId="0" fontId="14" fillId="0" borderId="1" xfId="0" applyFont="1" applyBorder="1" applyAlignment="1">
      <alignment wrapText="1"/>
    </xf>
    <xf numFmtId="0" fontId="15" fillId="4" borderId="1" xfId="0" applyFont="1" applyFill="1" applyBorder="1" applyAlignment="1">
      <alignment wrapText="1"/>
    </xf>
    <xf numFmtId="0" fontId="17" fillId="0" borderId="1" xfId="0" applyFont="1" applyFill="1" applyBorder="1" applyAlignment="1">
      <alignment wrapText="1"/>
    </xf>
    <xf numFmtId="0" fontId="2" fillId="0" borderId="5" xfId="0" applyFont="1" applyFill="1" applyBorder="1" applyAlignment="1">
      <alignment vertical="top"/>
    </xf>
    <xf numFmtId="0" fontId="17" fillId="0" borderId="1" xfId="0" applyFont="1" applyFill="1" applyBorder="1"/>
    <xf numFmtId="0" fontId="17" fillId="0" borderId="9" xfId="0" applyFont="1" applyFill="1" applyBorder="1" applyAlignment="1">
      <alignment wrapText="1"/>
    </xf>
    <xf numFmtId="8" fontId="14" fillId="0" borderId="1" xfId="0" applyNumberFormat="1" applyFont="1" applyBorder="1" applyAlignment="1">
      <alignment wrapText="1"/>
    </xf>
    <xf numFmtId="0" fontId="14" fillId="0" borderId="1" xfId="0" applyFont="1" applyBorder="1" applyAlignment="1">
      <alignment horizontal="left" wrapText="1" indent="4"/>
    </xf>
    <xf numFmtId="0" fontId="6" fillId="0" borderId="1" xfId="0" applyFont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12" fillId="0" borderId="1" xfId="0" applyFont="1" applyBorder="1" applyAlignment="1">
      <alignment horizontal="left" wrapText="1" indent="2"/>
    </xf>
    <xf numFmtId="6" fontId="12" fillId="0" borderId="1" xfId="0" applyNumberFormat="1" applyFont="1" applyBorder="1" applyAlignment="1">
      <alignment wrapText="1"/>
    </xf>
    <xf numFmtId="6" fontId="11" fillId="0" borderId="0" xfId="0" applyNumberFormat="1" applyFont="1" applyFill="1" applyBorder="1" applyAlignment="1"/>
    <xf numFmtId="6" fontId="12" fillId="0" borderId="1" xfId="0" applyNumberFormat="1" applyFont="1" applyFill="1" applyBorder="1" applyAlignment="1">
      <alignment wrapText="1"/>
    </xf>
    <xf numFmtId="0" fontId="11" fillId="0" borderId="0" xfId="0" applyFont="1" applyFill="1" applyBorder="1" applyAlignment="1"/>
    <xf numFmtId="0" fontId="11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wrapText="1" indent="2"/>
    </xf>
    <xf numFmtId="0" fontId="11" fillId="0" borderId="0" xfId="0" applyFont="1"/>
    <xf numFmtId="0" fontId="11" fillId="0" borderId="1" xfId="0" applyFont="1" applyFill="1" applyBorder="1" applyAlignment="1">
      <alignment horizontal="left" wrapText="1" indent="2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left" vertical="top" wrapText="1"/>
    </xf>
    <xf numFmtId="6" fontId="12" fillId="0" borderId="8" xfId="0" applyNumberFormat="1" applyFont="1" applyBorder="1" applyAlignment="1">
      <alignment wrapText="1"/>
    </xf>
    <xf numFmtId="0" fontId="12" fillId="0" borderId="8" xfId="0" applyFont="1" applyBorder="1" applyAlignment="1">
      <alignment vertical="top" wrapText="1"/>
    </xf>
    <xf numFmtId="6" fontId="12" fillId="0" borderId="8" xfId="0" applyNumberFormat="1" applyFont="1" applyFill="1" applyBorder="1" applyAlignment="1">
      <alignment wrapText="1"/>
    </xf>
    <xf numFmtId="0" fontId="19" fillId="0" borderId="1" xfId="0" applyFont="1" applyBorder="1" applyAlignment="1">
      <alignment vertical="top" wrapText="1"/>
    </xf>
    <xf numFmtId="0" fontId="20" fillId="0" borderId="1" xfId="0" applyFont="1" applyFill="1" applyBorder="1" applyAlignment="1">
      <alignment wrapText="1"/>
    </xf>
    <xf numFmtId="0" fontId="18" fillId="8" borderId="1" xfId="0" applyFont="1" applyFill="1" applyBorder="1" applyAlignment="1">
      <alignment horizontal="left" vertical="top" wrapText="1"/>
    </xf>
    <xf numFmtId="6" fontId="12" fillId="8" borderId="1" xfId="0" applyNumberFormat="1" applyFont="1" applyFill="1" applyBorder="1" applyAlignment="1">
      <alignment wrapText="1"/>
    </xf>
    <xf numFmtId="6" fontId="11" fillId="8" borderId="0" xfId="0" applyNumberFormat="1" applyFont="1" applyFill="1" applyBorder="1" applyAlignment="1"/>
    <xf numFmtId="0" fontId="5" fillId="0" borderId="1" xfId="0" applyFont="1" applyFill="1" applyBorder="1" applyAlignment="1">
      <alignment horizontal="left" wrapText="1" indent="2"/>
    </xf>
    <xf numFmtId="3" fontId="12" fillId="0" borderId="1" xfId="0" applyNumberFormat="1" applyFont="1" applyBorder="1" applyAlignment="1">
      <alignment wrapText="1"/>
    </xf>
    <xf numFmtId="6" fontId="5" fillId="0" borderId="1" xfId="0" applyNumberFormat="1" applyFont="1" applyFill="1" applyBorder="1" applyAlignment="1">
      <alignment wrapText="1"/>
    </xf>
    <xf numFmtId="6" fontId="14" fillId="0" borderId="1" xfId="0" applyNumberFormat="1" applyFont="1" applyFill="1" applyBorder="1" applyAlignment="1">
      <alignment wrapText="1"/>
    </xf>
    <xf numFmtId="0" fontId="20" fillId="0" borderId="1" xfId="0" applyFont="1" applyFill="1" applyBorder="1" applyAlignment="1">
      <alignment horizontal="left" wrapText="1" indent="2"/>
    </xf>
    <xf numFmtId="6" fontId="6" fillId="0" borderId="0" xfId="0" applyNumberFormat="1" applyFont="1" applyFill="1"/>
    <xf numFmtId="0" fontId="2" fillId="0" borderId="5" xfId="0" applyFont="1" applyFill="1" applyBorder="1" applyAlignment="1">
      <alignment vertical="top" wrapText="1"/>
    </xf>
    <xf numFmtId="0" fontId="7" fillId="0" borderId="1" xfId="0" applyFont="1" applyBorder="1" applyAlignment="1">
      <alignment horizontal="left" wrapText="1" indent="2"/>
    </xf>
    <xf numFmtId="6" fontId="7" fillId="0" borderId="1" xfId="0" applyNumberFormat="1" applyFont="1" applyBorder="1" applyAlignment="1">
      <alignment wrapText="1"/>
    </xf>
    <xf numFmtId="6" fontId="0" fillId="0" borderId="0" xfId="0" applyNumberFormat="1" applyFont="1" applyFill="1" applyBorder="1"/>
    <xf numFmtId="0" fontId="12" fillId="8" borderId="8" xfId="0" applyFont="1" applyFill="1" applyBorder="1" applyAlignment="1">
      <alignment horizontal="left" wrapText="1" indent="2"/>
    </xf>
    <xf numFmtId="6" fontId="12" fillId="0" borderId="0" xfId="0" applyNumberFormat="1" applyFont="1" applyFill="1" applyBorder="1" applyAlignment="1">
      <alignment wrapText="1"/>
    </xf>
    <xf numFmtId="0" fontId="14" fillId="0" borderId="1" xfId="0" applyFont="1" applyFill="1" applyBorder="1" applyAlignment="1">
      <alignment horizontal="left" wrapText="1" indent="2"/>
    </xf>
    <xf numFmtId="0" fontId="2" fillId="0" borderId="1" xfId="0" applyFont="1" applyBorder="1"/>
    <xf numFmtId="0" fontId="9" fillId="5" borderId="8" xfId="0" applyFont="1" applyFill="1" applyBorder="1"/>
    <xf numFmtId="0" fontId="2" fillId="0" borderId="1" xfId="0" applyFont="1" applyBorder="1" applyAlignment="1">
      <alignment vertical="top"/>
    </xf>
    <xf numFmtId="0" fontId="8" fillId="0" borderId="1" xfId="0" applyFont="1" applyBorder="1" applyAlignment="1">
      <alignment wrapText="1"/>
    </xf>
    <xf numFmtId="8" fontId="0" fillId="0" borderId="0" xfId="0" applyNumberFormat="1"/>
    <xf numFmtId="0" fontId="7" fillId="0" borderId="1" xfId="0" applyFont="1" applyBorder="1" applyAlignment="1">
      <alignment horizontal="left" wrapText="1" indent="4"/>
    </xf>
    <xf numFmtId="6" fontId="6" fillId="0" borderId="0" xfId="0" applyNumberFormat="1" applyFont="1"/>
    <xf numFmtId="6" fontId="6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Fill="1" applyBorder="1"/>
    <xf numFmtId="6" fontId="2" fillId="0" borderId="0" xfId="0" applyNumberFormat="1" applyFont="1" applyBorder="1"/>
    <xf numFmtId="0" fontId="6" fillId="0" borderId="0" xfId="0" applyFont="1" applyFill="1"/>
    <xf numFmtId="8" fontId="0" fillId="0" borderId="0" xfId="0" applyNumberFormat="1" applyFont="1" applyFill="1" applyBorder="1"/>
    <xf numFmtId="3" fontId="6" fillId="0" borderId="0" xfId="0" applyNumberFormat="1" applyFont="1" applyFill="1" applyBorder="1" applyAlignment="1"/>
    <xf numFmtId="3" fontId="7" fillId="0" borderId="1" xfId="0" applyNumberFormat="1" applyFont="1" applyFill="1" applyBorder="1" applyAlignment="1">
      <alignment wrapText="1"/>
    </xf>
    <xf numFmtId="3" fontId="0" fillId="0" borderId="0" xfId="0" applyNumberFormat="1" applyFont="1" applyFill="1" applyBorder="1"/>
    <xf numFmtId="3" fontId="0" fillId="0" borderId="1" xfId="0" applyNumberFormat="1" applyFont="1" applyFill="1" applyBorder="1"/>
    <xf numFmtId="3" fontId="20" fillId="0" borderId="6" xfId="0" applyNumberFormat="1" applyFont="1" applyFill="1" applyBorder="1" applyAlignment="1">
      <alignment wrapText="1"/>
    </xf>
    <xf numFmtId="0" fontId="15" fillId="0" borderId="0" xfId="0" applyFont="1"/>
    <xf numFmtId="6" fontId="16" fillId="0" borderId="10" xfId="0" applyNumberFormat="1" applyFont="1" applyBorder="1" applyAlignment="1">
      <alignment wrapText="1"/>
    </xf>
    <xf numFmtId="165" fontId="16" fillId="0" borderId="10" xfId="0" applyNumberFormat="1" applyFont="1" applyFill="1" applyBorder="1" applyAlignment="1">
      <alignment wrapText="1"/>
    </xf>
    <xf numFmtId="165" fontId="15" fillId="0" borderId="0" xfId="0" applyNumberFormat="1" applyFont="1" applyFill="1" applyBorder="1" applyAlignment="1"/>
    <xf numFmtId="3" fontId="15" fillId="0" borderId="0" xfId="0" applyNumberFormat="1" applyFont="1" applyFill="1" applyBorder="1" applyAlignment="1"/>
    <xf numFmtId="0" fontId="17" fillId="7" borderId="1" xfId="0" applyFont="1" applyFill="1" applyBorder="1" applyAlignment="1">
      <alignment wrapText="1"/>
    </xf>
    <xf numFmtId="6" fontId="16" fillId="7" borderId="1" xfId="0" applyNumberFormat="1" applyFont="1" applyFill="1" applyBorder="1" applyAlignment="1">
      <alignment wrapText="1"/>
    </xf>
    <xf numFmtId="6" fontId="16" fillId="7" borderId="8" xfId="0" applyNumberFormat="1" applyFont="1" applyFill="1" applyBorder="1" applyAlignment="1">
      <alignment wrapText="1"/>
    </xf>
    <xf numFmtId="9" fontId="16" fillId="7" borderId="1" xfId="2" applyFont="1" applyFill="1" applyBorder="1" applyAlignment="1">
      <alignment wrapText="1"/>
    </xf>
    <xf numFmtId="0" fontId="10" fillId="0" borderId="0" xfId="0" applyFont="1" applyFill="1"/>
    <xf numFmtId="0" fontId="12" fillId="0" borderId="1" xfId="0" applyFont="1" applyBorder="1" applyAlignment="1">
      <alignment horizontal="left" wrapText="1" indent="1"/>
    </xf>
    <xf numFmtId="0" fontId="12" fillId="0" borderId="1" xfId="0" applyFont="1" applyFill="1" applyBorder="1" applyAlignment="1">
      <alignment horizontal="left" wrapText="1" indent="1"/>
    </xf>
    <xf numFmtId="6" fontId="21" fillId="0" borderId="1" xfId="0" applyNumberFormat="1" applyFont="1" applyBorder="1" applyAlignment="1">
      <alignment wrapText="1"/>
    </xf>
    <xf numFmtId="6" fontId="22" fillId="0" borderId="0" xfId="0" applyNumberFormat="1" applyFont="1" applyFill="1" applyBorder="1" applyAlignment="1"/>
    <xf numFmtId="6" fontId="21" fillId="0" borderId="1" xfId="0" applyNumberFormat="1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0" fillId="0" borderId="0" xfId="0" applyFont="1" applyFill="1"/>
    <xf numFmtId="0" fontId="21" fillId="0" borderId="1" xfId="0" applyFont="1" applyFill="1" applyBorder="1" applyAlignment="1">
      <alignment horizontal="left" wrapText="1" indent="1"/>
    </xf>
    <xf numFmtId="0" fontId="23" fillId="0" borderId="1" xfId="0" applyFont="1" applyFill="1" applyBorder="1" applyAlignment="1">
      <alignment horizontal="left" wrapText="1" indent="1"/>
    </xf>
    <xf numFmtId="0" fontId="23" fillId="0" borderId="1" xfId="0" applyFont="1" applyBorder="1" applyAlignment="1">
      <alignment horizontal="left" wrapText="1" indent="1"/>
    </xf>
    <xf numFmtId="0" fontId="23" fillId="8" borderId="1" xfId="0" applyFont="1" applyFill="1" applyBorder="1" applyAlignment="1">
      <alignment horizontal="left" vertical="top" wrapText="1"/>
    </xf>
    <xf numFmtId="6" fontId="11" fillId="0" borderId="0" xfId="0" applyNumberFormat="1" applyFont="1" applyFill="1"/>
    <xf numFmtId="165" fontId="12" fillId="0" borderId="1" xfId="0" applyNumberFormat="1" applyFont="1" applyBorder="1" applyAlignment="1">
      <alignment wrapText="1"/>
    </xf>
    <xf numFmtId="3" fontId="11" fillId="0" borderId="0" xfId="0" applyNumberFormat="1" applyFont="1" applyFill="1" applyBorder="1" applyAlignment="1"/>
    <xf numFmtId="165" fontId="21" fillId="0" borderId="1" xfId="0" applyNumberFormat="1" applyFont="1" applyBorder="1" applyAlignment="1">
      <alignment wrapText="1"/>
    </xf>
    <xf numFmtId="165" fontId="21" fillId="0" borderId="1" xfId="0" applyNumberFormat="1" applyFont="1" applyFill="1" applyBorder="1" applyAlignment="1">
      <alignment wrapText="1"/>
    </xf>
    <xf numFmtId="0" fontId="22" fillId="0" borderId="0" xfId="0" applyFont="1" applyFill="1" applyBorder="1" applyAlignment="1"/>
    <xf numFmtId="0" fontId="24" fillId="0" borderId="1" xfId="0" applyFont="1" applyFill="1" applyBorder="1" applyAlignment="1">
      <alignment horizontal="left" wrapText="1" indent="2"/>
    </xf>
    <xf numFmtId="165" fontId="24" fillId="0" borderId="1" xfId="0" applyNumberFormat="1" applyFont="1" applyBorder="1" applyAlignment="1">
      <alignment wrapText="1"/>
    </xf>
    <xf numFmtId="0" fontId="25" fillId="0" borderId="0" xfId="0" applyFont="1" applyFill="1" applyBorder="1" applyAlignment="1"/>
    <xf numFmtId="0" fontId="24" fillId="0" borderId="1" xfId="0" applyFont="1" applyBorder="1" applyAlignment="1">
      <alignment horizontal="left" wrapText="1" indent="2"/>
    </xf>
    <xf numFmtId="3" fontId="25" fillId="0" borderId="0" xfId="0" applyNumberFormat="1" applyFont="1" applyFill="1" applyBorder="1" applyAlignment="1"/>
    <xf numFmtId="0" fontId="24" fillId="0" borderId="1" xfId="0" applyFont="1" applyBorder="1" applyAlignment="1">
      <alignment horizontal="left" indent="2"/>
    </xf>
    <xf numFmtId="0" fontId="25" fillId="0" borderId="0" xfId="0" applyFont="1"/>
    <xf numFmtId="0" fontId="25" fillId="0" borderId="0" xfId="0" applyFont="1" applyFill="1" applyBorder="1"/>
    <xf numFmtId="6" fontId="24" fillId="0" borderId="1" xfId="0" applyNumberFormat="1" applyFont="1" applyBorder="1" applyAlignment="1">
      <alignment wrapText="1"/>
    </xf>
    <xf numFmtId="6" fontId="24" fillId="0" borderId="1" xfId="0" applyNumberFormat="1" applyFont="1" applyFill="1" applyBorder="1" applyAlignment="1">
      <alignment wrapText="1"/>
    </xf>
    <xf numFmtId="6" fontId="25" fillId="0" borderId="0" xfId="0" applyNumberFormat="1" applyFont="1" applyFill="1" applyBorder="1" applyAlignment="1"/>
    <xf numFmtId="0" fontId="24" fillId="0" borderId="8" xfId="0" applyFont="1" applyFill="1" applyBorder="1" applyAlignment="1">
      <alignment horizontal="left" vertical="top" wrapText="1" indent="2"/>
    </xf>
    <xf numFmtId="0" fontId="24" fillId="0" borderId="8" xfId="0" applyFont="1" applyFill="1" applyBorder="1" applyAlignment="1">
      <alignment horizontal="left" wrapText="1" indent="2"/>
    </xf>
    <xf numFmtId="0" fontId="21" fillId="9" borderId="1" xfId="0" applyFont="1" applyFill="1" applyBorder="1" applyAlignment="1">
      <alignment horizontal="left" wrapText="1" indent="2"/>
    </xf>
    <xf numFmtId="0" fontId="26" fillId="0" borderId="0" xfId="0" applyFont="1"/>
    <xf numFmtId="165" fontId="24" fillId="0" borderId="1" xfId="0" applyNumberFormat="1" applyFont="1" applyFill="1" applyBorder="1" applyAlignment="1">
      <alignment wrapText="1"/>
    </xf>
    <xf numFmtId="0" fontId="26" fillId="0" borderId="0" xfId="0" applyFont="1" applyAlignment="1">
      <alignment horizontal="left" wrapText="1" indent="2"/>
    </xf>
    <xf numFmtId="6" fontId="24" fillId="0" borderId="0" xfId="0" applyNumberFormat="1" applyFont="1" applyFill="1" applyBorder="1" applyAlignment="1">
      <alignment wrapText="1"/>
    </xf>
    <xf numFmtId="0" fontId="26" fillId="0" borderId="1" xfId="0" applyFont="1" applyBorder="1" applyAlignment="1">
      <alignment horizontal="left" wrapText="1" indent="2"/>
    </xf>
    <xf numFmtId="0" fontId="27" fillId="0" borderId="1" xfId="0" applyFont="1" applyFill="1" applyBorder="1" applyAlignment="1">
      <alignment horizontal="left" wrapText="1" indent="2"/>
    </xf>
    <xf numFmtId="6" fontId="27" fillId="0" borderId="1" xfId="0" applyNumberFormat="1" applyFont="1" applyFill="1" applyBorder="1" applyAlignment="1">
      <alignment wrapText="1"/>
    </xf>
    <xf numFmtId="6" fontId="27" fillId="0" borderId="1" xfId="0" applyNumberFormat="1" applyFont="1" applyBorder="1" applyAlignment="1">
      <alignment wrapText="1"/>
    </xf>
    <xf numFmtId="0" fontId="28" fillId="0" borderId="0" xfId="0" applyFont="1" applyFill="1" applyBorder="1" applyAlignment="1"/>
    <xf numFmtId="0" fontId="24" fillId="9" borderId="1" xfId="0" applyFont="1" applyFill="1" applyBorder="1" applyAlignment="1">
      <alignment horizontal="left" wrapText="1" indent="3"/>
    </xf>
    <xf numFmtId="0" fontId="26" fillId="0" borderId="0" xfId="0" applyFont="1" applyAlignment="1">
      <alignment horizontal="left" wrapText="1" indent="3"/>
    </xf>
    <xf numFmtId="6" fontId="13" fillId="0" borderId="5" xfId="0" applyNumberFormat="1" applyFont="1" applyFill="1" applyBorder="1" applyAlignment="1">
      <alignment wrapText="1"/>
    </xf>
    <xf numFmtId="8" fontId="21" fillId="0" borderId="1" xfId="0" applyNumberFormat="1" applyFont="1" applyBorder="1" applyAlignment="1">
      <alignment wrapText="1"/>
    </xf>
    <xf numFmtId="8" fontId="24" fillId="0" borderId="1" xfId="0" applyNumberFormat="1" applyFont="1" applyBorder="1" applyAlignment="1">
      <alignment wrapText="1"/>
    </xf>
    <xf numFmtId="165" fontId="0" fillId="0" borderId="0" xfId="0" applyNumberFormat="1" applyFont="1" applyBorder="1"/>
    <xf numFmtId="165" fontId="1" fillId="5" borderId="6" xfId="0" applyNumberFormat="1" applyFont="1" applyFill="1" applyBorder="1" applyAlignment="1">
      <alignment wrapText="1"/>
    </xf>
    <xf numFmtId="165" fontId="8" fillId="6" borderId="3" xfId="0" applyNumberFormat="1" applyFont="1" applyFill="1" applyBorder="1" applyAlignment="1"/>
    <xf numFmtId="165" fontId="15" fillId="0" borderId="1" xfId="0" applyNumberFormat="1" applyFont="1" applyFill="1" applyBorder="1" applyAlignment="1"/>
    <xf numFmtId="165" fontId="12" fillId="0" borderId="1" xfId="0" applyNumberFormat="1" applyFont="1" applyFill="1" applyBorder="1" applyAlignment="1">
      <alignment wrapText="1"/>
    </xf>
    <xf numFmtId="165" fontId="13" fillId="4" borderId="1" xfId="0" applyNumberFormat="1" applyFont="1" applyFill="1" applyBorder="1" applyAlignment="1">
      <alignment wrapText="1"/>
    </xf>
    <xf numFmtId="165" fontId="13" fillId="0" borderId="1" xfId="0" applyNumberFormat="1" applyFont="1" applyFill="1" applyBorder="1" applyAlignment="1">
      <alignment wrapText="1"/>
    </xf>
    <xf numFmtId="165" fontId="27" fillId="0" borderId="1" xfId="0" applyNumberFormat="1" applyFont="1" applyFill="1" applyBorder="1" applyAlignment="1">
      <alignment wrapText="1"/>
    </xf>
    <xf numFmtId="165" fontId="15" fillId="0" borderId="0" xfId="0" applyNumberFormat="1" applyFont="1" applyFill="1" applyBorder="1"/>
    <xf numFmtId="165" fontId="15" fillId="0" borderId="1" xfId="0" applyNumberFormat="1" applyFont="1" applyFill="1" applyBorder="1"/>
    <xf numFmtId="165" fontId="0" fillId="0" borderId="0" xfId="0" applyNumberFormat="1" applyFont="1" applyFill="1" applyBorder="1"/>
    <xf numFmtId="166" fontId="0" fillId="0" borderId="0" xfId="0" applyNumberFormat="1" applyFont="1" applyFill="1" applyBorder="1"/>
    <xf numFmtId="6" fontId="27" fillId="7" borderId="1" xfId="0" applyNumberFormat="1" applyFont="1" applyFill="1" applyBorder="1" applyAlignment="1">
      <alignment wrapText="1"/>
    </xf>
    <xf numFmtId="6" fontId="27" fillId="7" borderId="8" xfId="0" applyNumberFormat="1" applyFont="1" applyFill="1" applyBorder="1" applyAlignment="1">
      <alignment wrapText="1"/>
    </xf>
    <xf numFmtId="9" fontId="27" fillId="7" borderId="1" xfId="2" applyFont="1" applyFill="1" applyBorder="1" applyAlignment="1">
      <alignment wrapText="1"/>
    </xf>
    <xf numFmtId="6" fontId="27" fillId="7" borderId="1" xfId="0" applyNumberFormat="1" applyFont="1" applyFill="1" applyBorder="1" applyAlignment="1">
      <alignment horizontal="left" vertical="top" wrapText="1"/>
    </xf>
    <xf numFmtId="6" fontId="29" fillId="0" borderId="1" xfId="0" applyNumberFormat="1" applyFont="1" applyFill="1" applyBorder="1" applyAlignment="1">
      <alignment wrapText="1"/>
    </xf>
    <xf numFmtId="0" fontId="30" fillId="0" borderId="0" xfId="0" applyFont="1" applyFill="1" applyBorder="1" applyAlignment="1"/>
    <xf numFmtId="0" fontId="27" fillId="9" borderId="1" xfId="0" applyFont="1" applyFill="1" applyBorder="1" applyAlignment="1">
      <alignment horizontal="left" wrapText="1" indent="2"/>
    </xf>
    <xf numFmtId="6" fontId="28" fillId="0" borderId="0" xfId="0" applyNumberFormat="1" applyFont="1" applyFill="1" applyBorder="1" applyAlignment="1"/>
    <xf numFmtId="0" fontId="27" fillId="0" borderId="1" xfId="0" applyFont="1" applyBorder="1" applyAlignment="1">
      <alignment horizontal="left" wrapText="1" indent="2"/>
    </xf>
    <xf numFmtId="0" fontId="27" fillId="0" borderId="1" xfId="0" applyFont="1" applyBorder="1" applyAlignment="1">
      <alignment wrapText="1"/>
    </xf>
    <xf numFmtId="0" fontId="27" fillId="0" borderId="1" xfId="0" applyFont="1" applyFill="1" applyBorder="1" applyAlignment="1">
      <alignment wrapText="1"/>
    </xf>
    <xf numFmtId="0" fontId="28" fillId="0" borderId="1" xfId="0" applyFont="1" applyFill="1" applyBorder="1" applyAlignment="1">
      <alignment wrapText="1"/>
    </xf>
    <xf numFmtId="0" fontId="28" fillId="0" borderId="5" xfId="0" applyFont="1" applyFill="1" applyBorder="1" applyAlignment="1">
      <alignment vertical="top"/>
    </xf>
    <xf numFmtId="6" fontId="28" fillId="0" borderId="0" xfId="0" applyNumberFormat="1" applyFont="1"/>
    <xf numFmtId="0" fontId="28" fillId="0" borderId="0" xfId="0" applyFont="1" applyFill="1" applyBorder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164" fontId="0" fillId="0" borderId="0" xfId="1" applyNumberFormat="1" applyFont="1" applyBorder="1" applyAlignment="1">
      <alignment wrapText="1"/>
    </xf>
    <xf numFmtId="0" fontId="6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9" fillId="2" borderId="8" xfId="0" applyFont="1" applyFill="1" applyBorder="1" applyAlignment="1">
      <alignment wrapText="1"/>
    </xf>
    <xf numFmtId="0" fontId="28" fillId="8" borderId="0" xfId="0" applyFont="1" applyFill="1" applyAlignment="1">
      <alignment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8" fillId="0" borderId="0" xfId="0" applyFont="1" applyAlignment="1">
      <alignment wrapText="1"/>
    </xf>
    <xf numFmtId="6" fontId="0" fillId="0" borderId="0" xfId="0" applyNumberFormat="1" applyAlignment="1">
      <alignment wrapText="1"/>
    </xf>
    <xf numFmtId="0" fontId="2" fillId="0" borderId="0" xfId="0" applyFont="1" applyAlignment="1">
      <alignment wrapText="1"/>
    </xf>
    <xf numFmtId="0" fontId="8" fillId="0" borderId="0" xfId="0" applyFont="1" applyFill="1" applyAlignment="1">
      <alignment wrapText="1"/>
    </xf>
    <xf numFmtId="6" fontId="0" fillId="0" borderId="0" xfId="0" applyNumberFormat="1" applyFill="1" applyAlignment="1">
      <alignment wrapText="1"/>
    </xf>
    <xf numFmtId="0" fontId="0" fillId="0" borderId="0" xfId="0" applyFill="1" applyAlignment="1">
      <alignment wrapText="1"/>
    </xf>
    <xf numFmtId="167" fontId="0" fillId="0" borderId="0" xfId="0" applyNumberFormat="1"/>
    <xf numFmtId="165" fontId="0" fillId="0" borderId="0" xfId="0" applyNumberFormat="1"/>
    <xf numFmtId="165" fontId="8" fillId="6" borderId="3" xfId="0" applyNumberFormat="1" applyFont="1" applyFill="1" applyBorder="1"/>
    <xf numFmtId="165" fontId="6" fillId="0" borderId="1" xfId="0" applyNumberFormat="1" applyFont="1" applyBorder="1"/>
    <xf numFmtId="165" fontId="7" fillId="0" borderId="1" xfId="0" applyNumberFormat="1" applyFont="1" applyFill="1" applyBorder="1" applyAlignment="1">
      <alignment wrapText="1"/>
    </xf>
    <xf numFmtId="165" fontId="7" fillId="0" borderId="1" xfId="0" applyNumberFormat="1" applyFont="1" applyBorder="1" applyAlignment="1">
      <alignment wrapText="1"/>
    </xf>
    <xf numFmtId="165" fontId="0" fillId="0" borderId="1" xfId="0" applyNumberFormat="1" applyBorder="1"/>
    <xf numFmtId="165" fontId="16" fillId="0" borderId="10" xfId="0" applyNumberFormat="1" applyFont="1" applyBorder="1" applyAlignment="1">
      <alignment wrapText="1"/>
    </xf>
    <xf numFmtId="0" fontId="10" fillId="0" borderId="0" xfId="0" applyFont="1" applyAlignment="1"/>
    <xf numFmtId="0" fontId="3" fillId="0" borderId="0" xfId="0" applyFont="1" applyAlignment="1">
      <alignment horizontal="left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2"/>
  <sheetViews>
    <sheetView showGridLines="0" tabSelected="1" zoomScale="85" zoomScaleNormal="85" workbookViewId="0"/>
  </sheetViews>
  <sheetFormatPr defaultColWidth="9.28515625" defaultRowHeight="15" customHeight="1" x14ac:dyDescent="0.25"/>
  <cols>
    <col min="1" max="1" width="3.28515625" style="219" customWidth="1"/>
    <col min="2" max="2" width="12.28515625" style="219" customWidth="1"/>
    <col min="3" max="3" width="29.28515625" style="219" customWidth="1"/>
    <col min="4" max="4" width="14.28515625" style="220" customWidth="1"/>
    <col min="5" max="5" width="12.85546875" style="221" customWidth="1"/>
    <col min="6" max="6" width="12.28515625" style="219" customWidth="1"/>
    <col min="7" max="7" width="14.140625" style="219" customWidth="1"/>
    <col min="8" max="8" width="13.140625" style="221" customWidth="1"/>
    <col min="9" max="9" width="3.5703125" style="222" customWidth="1"/>
    <col min="10" max="10" width="15" style="219" customWidth="1"/>
    <col min="11" max="11" width="10.28515625" style="219" customWidth="1"/>
    <col min="12" max="16384" width="9.28515625" style="219"/>
  </cols>
  <sheetData>
    <row r="2" spans="2:39" ht="23.25" x14ac:dyDescent="0.35">
      <c r="B2" s="244" t="s">
        <v>0</v>
      </c>
    </row>
    <row r="3" spans="2:39" ht="26.65" customHeight="1" x14ac:dyDescent="0.25">
      <c r="B3" s="245"/>
      <c r="C3" s="245"/>
      <c r="D3" s="245"/>
      <c r="E3" s="245"/>
      <c r="F3" s="245"/>
      <c r="G3" s="245"/>
      <c r="H3" s="245"/>
      <c r="I3" s="245"/>
      <c r="J3" s="245"/>
    </row>
    <row r="4" spans="2:39" ht="15" customHeight="1" x14ac:dyDescent="0.25">
      <c r="B4" s="223"/>
    </row>
    <row r="5" spans="2:39" ht="37.5" x14ac:dyDescent="0.3">
      <c r="B5" s="224" t="s">
        <v>1</v>
      </c>
      <c r="C5" s="42"/>
      <c r="D5" s="42"/>
      <c r="E5" s="42"/>
      <c r="F5" s="42"/>
      <c r="G5" s="42"/>
      <c r="H5" s="42"/>
      <c r="I5" s="42"/>
      <c r="J5" s="59"/>
    </row>
    <row r="6" spans="2:39" ht="17.100000000000001" customHeight="1" x14ac:dyDescent="0.25">
      <c r="B6" s="43" t="s">
        <v>2</v>
      </c>
      <c r="C6" s="43" t="s">
        <v>3</v>
      </c>
      <c r="D6" s="43" t="s">
        <v>4</v>
      </c>
      <c r="E6" s="44" t="s">
        <v>5</v>
      </c>
      <c r="F6" s="44" t="s">
        <v>6</v>
      </c>
      <c r="G6" s="44" t="s">
        <v>7</v>
      </c>
      <c r="H6" s="45" t="s">
        <v>8</v>
      </c>
      <c r="I6" s="46"/>
      <c r="J6" s="84" t="s">
        <v>9</v>
      </c>
    </row>
    <row r="7" spans="2:39" s="223" customFormat="1" x14ac:dyDescent="0.25">
      <c r="B7" s="126" t="s">
        <v>10</v>
      </c>
      <c r="C7" s="48" t="s">
        <v>11</v>
      </c>
      <c r="D7" s="204">
        <f>'Measure 3 Industrial'!D12+'Measure 6 PWF organics'!D11+'Measure 7 Food sov+local grants'!D11+'Measure 1 Peatlands'!D9+'Measure 2 Ag lands'!D10+'Measure 4 Refrigerants'!D10+'Measure 5 Vehicles'!D11+'Grant admin'!D12</f>
        <v>873722</v>
      </c>
      <c r="E7" s="204">
        <f>'Measure 3 Industrial'!E12+'Measure 6 PWF organics'!E11+'Measure 7 Food sov+local grants'!E11+'Measure 1 Peatlands'!E9+'Measure 2 Ag lands'!E10+'Measure 4 Refrigerants'!E10+'Measure 5 Vehicles'!E11+'Grant admin'!E12</f>
        <v>1206781.6150000002</v>
      </c>
      <c r="F7" s="204">
        <f>'Measure 3 Industrial'!F12+'Measure 6 PWF organics'!F11+'Measure 7 Food sov+local grants'!F11+'Measure 1 Peatlands'!F9+'Measure 2 Ag lands'!F10+'Measure 4 Refrigerants'!F10+'Measure 5 Vehicles'!F11+'Grant admin'!F12</f>
        <v>1254976.845</v>
      </c>
      <c r="G7" s="204">
        <f>'Measure 3 Industrial'!G12+'Measure 6 PWF organics'!G11+'Measure 7 Food sov+local grants'!G11+'Measure 1 Peatlands'!G9+'Measure 2 Ag lands'!G10+'Measure 4 Refrigerants'!G10+'Measure 5 Vehicles'!G11+'Grant admin'!G12</f>
        <v>1304428.05</v>
      </c>
      <c r="H7" s="204">
        <f>'Measure 3 Industrial'!H12+'Measure 6 PWF organics'!H11+'Measure 7 Food sov+local grants'!H11+'Measure 1 Peatlands'!H9+'Measure 2 Ag lands'!H10+'Measure 4 Refrigerants'!H10+'Measure 5 Vehicles'!H11+'Grant admin'!H12</f>
        <v>1349299.4850000001</v>
      </c>
      <c r="I7" s="225"/>
      <c r="J7" s="204">
        <f>SUM(D7:I7)</f>
        <v>5989207.9950000001</v>
      </c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  <c r="Y7" s="219"/>
      <c r="Z7" s="219"/>
      <c r="AA7" s="219"/>
      <c r="AB7" s="219"/>
      <c r="AC7" s="219"/>
      <c r="AD7" s="219"/>
      <c r="AE7" s="219"/>
      <c r="AF7" s="219"/>
      <c r="AG7" s="219"/>
      <c r="AH7" s="219"/>
      <c r="AI7" s="219"/>
      <c r="AJ7" s="219"/>
      <c r="AK7" s="219"/>
      <c r="AL7" s="219"/>
      <c r="AM7" s="219"/>
    </row>
    <row r="8" spans="2:39" x14ac:dyDescent="0.25">
      <c r="B8" s="226"/>
      <c r="C8" s="48" t="s">
        <v>12</v>
      </c>
      <c r="D8" s="204">
        <f>'Measure 3 Industrial'!D17+'Measure 5 Vehicles'!D16+'Measure 6 PWF organics'!D16+'Measure 7 Food sov+local grants'!D16+'Measure 1 Peatlands'!D12+'Measure 2 Ag lands'!D14+'Measure 4 Refrigerants'!D14+'Grant admin'!D19</f>
        <v>297065.48000000004</v>
      </c>
      <c r="E8" s="204">
        <f>'Measure 3 Industrial'!E17+'Measure 5 Vehicles'!E16+'Measure 6 PWF organics'!E16+'Measure 7 Food sov+local grants'!E16+'Measure 1 Peatlands'!E12+'Measure 2 Ag lands'!E14+'Measure 4 Refrigerants'!E14+'Grant admin'!E19</f>
        <v>410305.74910000007</v>
      </c>
      <c r="F8" s="204">
        <f>'Measure 3 Industrial'!F17+'Measure 5 Vehicles'!F16+'Measure 6 PWF organics'!F16+'Measure 7 Food sov+local grants'!F16+'Measure 1 Peatlands'!F12+'Measure 2 Ag lands'!F14+'Measure 4 Refrigerants'!F14+'Grant admin'!F19</f>
        <v>426692.12730000005</v>
      </c>
      <c r="G8" s="204">
        <f>'Measure 3 Industrial'!G17+'Measure 5 Vehicles'!G16+'Measure 6 PWF organics'!G16+'Measure 7 Food sov+local grants'!G16+'Measure 1 Peatlands'!G12+'Measure 2 Ag lands'!G14+'Measure 4 Refrigerants'!G14+'Grant admin'!G19</f>
        <v>443505.53700000001</v>
      </c>
      <c r="H8" s="204">
        <f>'Measure 3 Industrial'!H17+'Measure 5 Vehicles'!H16+'Measure 6 PWF organics'!H16+'Measure 7 Food sov+local grants'!H16+'Measure 1 Peatlands'!H12+'Measure 2 Ag lands'!H14+'Measure 4 Refrigerants'!H14+'Grant admin'!H19</f>
        <v>458761.82490000001</v>
      </c>
      <c r="I8" s="225"/>
      <c r="J8" s="204">
        <f t="shared" ref="J8:J14" si="0">SUM(D8:I8)</f>
        <v>2036330.7183000003</v>
      </c>
    </row>
    <row r="9" spans="2:39" x14ac:dyDescent="0.25">
      <c r="B9" s="226"/>
      <c r="C9" s="48" t="s">
        <v>13</v>
      </c>
      <c r="D9" s="204">
        <f>'Measure 3 Industrial'!D23+'Measure 5 Vehicles'!D19+'Measure 6 PWF organics'!D20+'Measure 7 Food sov+local grants'!D20+'Measure 1 Peatlands'!D15+'Measure 2 Ag lands'!D18+'Measure 4 Refrigerants'!D18+'Grant admin'!D23</f>
        <v>3646</v>
      </c>
      <c r="E9" s="204">
        <f>'Measure 3 Industrial'!E23+'Measure 5 Vehicles'!E19+'Measure 6 PWF organics'!E20+'Measure 7 Food sov+local grants'!E20+'Measure 1 Peatlands'!E15+'Measure 2 Ag lands'!E18+'Measure 4 Refrigerants'!E18</f>
        <v>3646</v>
      </c>
      <c r="F9" s="204">
        <f>'Measure 3 Industrial'!F23+'Measure 5 Vehicles'!F19+'Measure 6 PWF organics'!F20+'Measure 7 Food sov+local grants'!F20+'Measure 1 Peatlands'!F15+'Measure 2 Ag lands'!F18+'Measure 4 Refrigerants'!F18</f>
        <v>3660</v>
      </c>
      <c r="G9" s="204">
        <f>'Measure 3 Industrial'!G23+'Measure 5 Vehicles'!G19+'Measure 6 PWF organics'!G20+'Measure 7 Food sov+local grants'!G20+'Measure 1 Peatlands'!G15+'Measure 2 Ag lands'!G18+'Measure 4 Refrigerants'!G18-0.5</f>
        <v>11370</v>
      </c>
      <c r="H9" s="204">
        <f>'Measure 3 Industrial'!H23+'Measure 5 Vehicles'!H19+'Measure 6 PWF organics'!H20+'Measure 7 Food sov+local grants'!H20+'Measure 1 Peatlands'!H15+'Measure 2 Ag lands'!H18+'Measure 4 Refrigerants'!H18</f>
        <v>11370.5</v>
      </c>
      <c r="I9" s="225"/>
      <c r="J9" s="204">
        <f t="shared" si="0"/>
        <v>33692.5</v>
      </c>
    </row>
    <row r="10" spans="2:39" x14ac:dyDescent="0.25">
      <c r="B10" s="226"/>
      <c r="C10" s="48" t="s">
        <v>14</v>
      </c>
      <c r="D10" s="204">
        <f>'Measure 3 Industrial'!D27+'Measure 5 Vehicles'!D23+'Measure 6 PWF organics'!D24+'Measure 7 Food sov+local grants'!D24+'Measure 1 Peatlands'!D18+'Measure 2 Ag lands'!D22+'Measure 4 Refrigerants'!D22+'Grant admin'!D27</f>
        <v>0</v>
      </c>
      <c r="E10" s="204">
        <f>'Measure 3 Industrial'!E27+'Measure 5 Vehicles'!E23+'Measure 6 PWF organics'!E24+'Measure 7 Food sov+local grants'!E24+'Measure 1 Peatlands'!E18+'Measure 2 Ag lands'!E22+'Measure 4 Refrigerants'!E22</f>
        <v>0</v>
      </c>
      <c r="F10" s="204">
        <f>'Measure 3 Industrial'!F27+'Measure 5 Vehicles'!F23+'Measure 6 PWF organics'!F24+'Measure 7 Food sov+local grants'!F24+'Measure 1 Peatlands'!F18+'Measure 2 Ag lands'!F22+'Measure 4 Refrigerants'!F22</f>
        <v>0</v>
      </c>
      <c r="G10" s="204">
        <f>'Measure 3 Industrial'!G27+'Measure 5 Vehicles'!G23+'Measure 6 PWF organics'!G24+'Measure 7 Food sov+local grants'!G24+'Measure 1 Peatlands'!G18+'Measure 2 Ag lands'!G22+'Measure 4 Refrigerants'!G22</f>
        <v>0</v>
      </c>
      <c r="H10" s="204">
        <f>'Measure 3 Industrial'!H27+'Measure 5 Vehicles'!H23+'Measure 6 PWF organics'!H24+'Measure 7 Food sov+local grants'!H24+'Measure 1 Peatlands'!H18+'Measure 2 Ag lands'!H22+'Measure 4 Refrigerants'!H22</f>
        <v>0</v>
      </c>
      <c r="I10" s="225"/>
      <c r="J10" s="204">
        <f t="shared" si="0"/>
        <v>0</v>
      </c>
    </row>
    <row r="11" spans="2:39" x14ac:dyDescent="0.25">
      <c r="B11" s="226"/>
      <c r="C11" s="48" t="s">
        <v>15</v>
      </c>
      <c r="D11" s="204">
        <f>'Measure 3 Industrial'!D30+'Measure 5 Vehicles'!D27+'Measure 6 PWF organics'!D28+'Measure 7 Food sov+local grants'!D28+'Measure 1 Peatlands'!D21+'Measure 2 Ag lands'!D26+'Measure 4 Refrigerants'!D26+'Grant admin'!D31</f>
        <v>1250</v>
      </c>
      <c r="E11" s="204">
        <f>'Measure 3 Industrial'!E30+'Measure 5 Vehicles'!E27+'Measure 6 PWF organics'!E28+'Measure 7 Food sov+local grants'!E28+'Measure 1 Peatlands'!E21+'Measure 2 Ag lands'!E26+'Measure 4 Refrigerants'!E26</f>
        <v>1250</v>
      </c>
      <c r="F11" s="204">
        <f>'Measure 3 Industrial'!F30+'Measure 5 Vehicles'!F27+'Measure 6 PWF organics'!F28+'Measure 7 Food sov+local grants'!F28+'Measure 1 Peatlands'!F21+'Measure 2 Ag lands'!F26+'Measure 4 Refrigerants'!F26</f>
        <v>0</v>
      </c>
      <c r="G11" s="204">
        <f>'Measure 3 Industrial'!G30+'Measure 5 Vehicles'!G27+'Measure 6 PWF organics'!G28+'Measure 7 Food sov+local grants'!G28+'Measure 1 Peatlands'!G21+'Measure 2 Ag lands'!G26+'Measure 4 Refrigerants'!G26</f>
        <v>0</v>
      </c>
      <c r="H11" s="204">
        <f>'Measure 3 Industrial'!H30+'Measure 5 Vehicles'!H27+'Measure 6 PWF organics'!H28+'Measure 7 Food sov+local grants'!H28+'Measure 1 Peatlands'!H21+'Measure 2 Ag lands'!H26+'Measure 4 Refrigerants'!H26</f>
        <v>0</v>
      </c>
      <c r="I11" s="225"/>
      <c r="J11" s="204">
        <f t="shared" si="0"/>
        <v>2500</v>
      </c>
    </row>
    <row r="12" spans="2:39" x14ac:dyDescent="0.25">
      <c r="B12" s="226"/>
      <c r="C12" s="48" t="s">
        <v>16</v>
      </c>
      <c r="D12" s="204">
        <f>'Measure 3 Industrial'!D35+'Measure 5 Vehicles'!D32+'Measure 6 PWF organics'!D34+'Measure 7 Food sov+local grants'!D33+'Measure 1 Peatlands'!D25+'Measure 2 Ag lands'!D30+'Measure 4 Refrigerants'!D32+'Grant admin'!D35</f>
        <v>16072001.800000001</v>
      </c>
      <c r="E12" s="204">
        <f>'Measure 3 Industrial'!E35+'Measure 5 Vehicles'!E32+'Measure 6 PWF organics'!E34+'Measure 7 Food sov+local grants'!E33+'Measure 1 Peatlands'!E25+'Measure 2 Ag lands'!E30+'Measure 4 Refrigerants'!E32+'Grant admin'!E35</f>
        <v>74757705.299999997</v>
      </c>
      <c r="F12" s="204">
        <f>'Measure 3 Industrial'!F35+'Measure 5 Vehicles'!F32+'Measure 6 PWF organics'!F34+'Measure 7 Food sov+local grants'!F33+'Measure 1 Peatlands'!F25+'Measure 2 Ag lands'!F30+'Measure 4 Refrigerants'!F32+'Grant admin'!F35+0.2</f>
        <v>34001987.700000003</v>
      </c>
      <c r="G12" s="204">
        <f>'Measure 3 Industrial'!G35+'Measure 5 Vehicles'!G32+'Measure 6 PWF organics'!G34+'Measure 7 Food sov+local grants'!G33+'Measure 1 Peatlands'!G25+'Measure 2 Ag lands'!G30+'Measure 4 Refrigerants'!G32+'Grant admin'!G35</f>
        <v>2240000</v>
      </c>
      <c r="H12" s="204">
        <f>'Measure 3 Industrial'!H35+'Measure 5 Vehicles'!H32+'Measure 6 PWF organics'!H34+'Measure 7 Food sov+local grants'!H33+'Measure 1 Peatlands'!H25+'Measure 2 Ag lands'!H30+'Measure 4 Refrigerants'!H32+'Grant admin'!H35+0.2</f>
        <v>2182412.2000000002</v>
      </c>
      <c r="I12" s="225"/>
      <c r="J12" s="204">
        <f t="shared" si="0"/>
        <v>129254107</v>
      </c>
    </row>
    <row r="13" spans="2:39" x14ac:dyDescent="0.25">
      <c r="B13" s="226"/>
      <c r="C13" s="48" t="s">
        <v>17</v>
      </c>
      <c r="D13" s="204">
        <f>'Measure 3 Industrial'!D46+'Measure 5 Vehicles'!D40+'Measure 6 PWF organics'!D38+'Measure 7 Food sov+local grants'!D44+'Measure 1 Peatlands'!D44+'Measure 2 Ag lands'!D38+'Measure 4 Refrigerants'!D36+'Grant admin'!D39</f>
        <v>7226012.9884930607</v>
      </c>
      <c r="E13" s="204">
        <f>'Measure 3 Industrial'!E46+'Measure 5 Vehicles'!E40+'Measure 6 PWF organics'!E38+'Measure 7 Food sov+local grants'!E44+'Measure 1 Peatlands'!E44+'Measure 2 Ag lands'!E38+'Measure 4 Refrigerants'!E36+'Grant admin'!E39</f>
        <v>14272636.315240566</v>
      </c>
      <c r="F13" s="204">
        <f>'Measure 3 Industrial'!F46+'Measure 5 Vehicles'!F40+'Measure 6 PWF organics'!F38+'Measure 7 Food sov+local grants'!F44+'Measure 1 Peatlands'!F44+'Measure 2 Ag lands'!F38+'Measure 4 Refrigerants'!F36+0.3</f>
        <v>13924184.137299903</v>
      </c>
      <c r="G13" s="204">
        <f>'Measure 3 Industrial'!G46+'Measure 5 Vehicles'!G40+'Measure 6 PWF organics'!G38+'Measure 7 Food sov+local grants'!G44+'Measure 1 Peatlands'!G44+'Measure 2 Ag lands'!G38+'Measure 4 Refrigerants'!G36-0.5</f>
        <v>14376065.26560186</v>
      </c>
      <c r="H13" s="204">
        <f>'Measure 3 Industrial'!H46+'Measure 5 Vehicles'!H40+'Measure 6 PWF organics'!H38+'Measure 7 Food sov+local grants'!H44+'Measure 1 Peatlands'!H44+'Measure 2 Ag lands'!H38+'Measure 4 Refrigerants'!H36+'Grant admin'!H39+0.5</f>
        <v>10437472.737750694</v>
      </c>
      <c r="I13" s="225"/>
      <c r="J13" s="204">
        <f t="shared" si="0"/>
        <v>60236371.44438608</v>
      </c>
    </row>
    <row r="14" spans="2:39" x14ac:dyDescent="0.25">
      <c r="B14" s="227"/>
      <c r="C14" s="12" t="s">
        <v>18</v>
      </c>
      <c r="D14" s="69">
        <f>D13+D12+D11+D10+D9+D8+D7</f>
        <v>24473698.26849306</v>
      </c>
      <c r="E14" s="69">
        <f>E13+E12+E11+E10+E9+E8+E7</f>
        <v>90652324.979340553</v>
      </c>
      <c r="F14" s="69">
        <f>F13+F12+F11+F10+F9+F8+F7</f>
        <v>49611500.809599906</v>
      </c>
      <c r="G14" s="69">
        <f>G13+G12+G11+G10+G9+G8+G7</f>
        <v>18375368.85260186</v>
      </c>
      <c r="H14" s="69">
        <f>H13+H12+H11+H10+H9+H8+H7</f>
        <v>14439316.747650692</v>
      </c>
      <c r="J14" s="69">
        <f t="shared" si="0"/>
        <v>197552209.65768605</v>
      </c>
    </row>
    <row r="15" spans="2:39" x14ac:dyDescent="0.25">
      <c r="B15" s="228"/>
      <c r="D15" s="219"/>
      <c r="E15" s="219"/>
      <c r="H15" s="219"/>
      <c r="I15" s="219"/>
      <c r="J15" s="229" t="s">
        <v>19</v>
      </c>
    </row>
    <row r="16" spans="2:39" ht="20.100000000000001" customHeight="1" x14ac:dyDescent="0.25">
      <c r="B16" s="228"/>
      <c r="C16" s="12" t="s">
        <v>20</v>
      </c>
      <c r="D16" s="54">
        <f>'Measure 3 Industrial'!D52+'Measure 5 Vehicles'!D46+'Measure 6 PWF organics'!D44+'Measure 7 Food sov+local grants'!D50+'Measure 1 Peatlands'!D49+'Measure 2 Ag lands'!D44+'Measure 4 Refrigerants'!D42+'Grant admin'!D47</f>
        <v>357090.1814</v>
      </c>
      <c r="E16" s="54">
        <f>'Measure 3 Industrial'!E52+'Measure 5 Vehicles'!E46+'Measure 6 PWF organics'!E44+'Measure 7 Food sov+local grants'!E50+'Measure 1 Peatlands'!E49+'Measure 2 Ag lands'!E44+'Measure 4 Refrigerants'!E42+'Grant admin'!E47</f>
        <v>493211.64605049998</v>
      </c>
      <c r="F16" s="54">
        <f>'Measure 3 Industrial'!F52+'Measure 5 Vehicles'!F46+'Measure 6 PWF organics'!F44+'Measure 7 Food sov+local grants'!F50+'Measure 1 Peatlands'!F49+'Measure 2 Ag lands'!F44+'Measure 4 Refrigerants'!F42+'Grant admin'!F47</f>
        <v>512909.03655150003</v>
      </c>
      <c r="G16" s="54">
        <f>'Measure 3 Industrial'!G52+'Measure 5 Vehicles'!G46+'Measure 6 PWF organics'!G44+'Measure 7 Food sov+local grants'!G50+'Measure 1 Peatlands'!G49+'Measure 2 Ag lands'!G44+'Measure 4 Refrigerants'!G42+'Grant admin'!G47</f>
        <v>533119.74403499998</v>
      </c>
      <c r="H16" s="54">
        <f>'Measure 3 Industrial'!H52+'Measure 5 Vehicles'!H46+'Measure 6 PWF organics'!H44+'Measure 7 Food sov+local grants'!H50+'Measure 1 Peatlands'!H49+'Measure 2 Ag lands'!H44+'Measure 4 Refrigerants'!H42+'Grant admin'!H47-0.4</f>
        <v>551458.2995195</v>
      </c>
      <c r="J16" s="54">
        <f>SUM(D16:H16)</f>
        <v>2447788.9075565003</v>
      </c>
    </row>
    <row r="17" spans="2:12" ht="15.75" thickBot="1" x14ac:dyDescent="0.3">
      <c r="B17" s="228"/>
      <c r="D17" s="219"/>
      <c r="E17" s="219"/>
      <c r="H17" s="219"/>
      <c r="I17" s="219"/>
      <c r="J17" s="229" t="s">
        <v>19</v>
      </c>
    </row>
    <row r="18" spans="2:12" ht="31.15" customHeight="1" thickBot="1" x14ac:dyDescent="0.3">
      <c r="B18" s="58" t="s">
        <v>21</v>
      </c>
      <c r="C18" s="51"/>
      <c r="D18" s="52">
        <f>D14+D16</f>
        <v>24830788.449893061</v>
      </c>
      <c r="E18" s="52">
        <f>E14+E16</f>
        <v>91145536.625391051</v>
      </c>
      <c r="F18" s="52">
        <f>F14+F16</f>
        <v>50124409.846151404</v>
      </c>
      <c r="G18" s="52">
        <f>G14+G16</f>
        <v>18908488.596636862</v>
      </c>
      <c r="H18" s="52">
        <f>H14+H16</f>
        <v>14990775.047170192</v>
      </c>
      <c r="I18" s="230"/>
      <c r="J18" s="61">
        <f>J14+J16</f>
        <v>199999998.56524256</v>
      </c>
    </row>
    <row r="19" spans="2:12" s="232" customFormat="1" x14ac:dyDescent="0.25">
      <c r="B19" s="220"/>
      <c r="C19" s="219"/>
      <c r="D19" s="220"/>
      <c r="E19" s="221"/>
      <c r="F19" s="219"/>
      <c r="G19" s="219"/>
      <c r="H19" s="221"/>
      <c r="I19" s="222"/>
      <c r="J19" s="231"/>
    </row>
    <row r="20" spans="2:12" ht="15" customHeight="1" x14ac:dyDescent="0.25">
      <c r="B20" s="220"/>
      <c r="J20" s="231"/>
      <c r="L20" s="231"/>
    </row>
    <row r="21" spans="2:12" ht="15" customHeight="1" x14ac:dyDescent="0.3">
      <c r="B21" s="224" t="s">
        <v>22</v>
      </c>
      <c r="C21" s="42"/>
      <c r="D21" s="42"/>
      <c r="E21" s="59"/>
      <c r="H21" s="219"/>
      <c r="I21" s="219"/>
    </row>
    <row r="22" spans="2:12" ht="29.1" customHeight="1" x14ac:dyDescent="0.25">
      <c r="B22" s="43" t="s">
        <v>23</v>
      </c>
      <c r="C22" s="43" t="s">
        <v>24</v>
      </c>
      <c r="D22" s="53" t="s">
        <v>25</v>
      </c>
      <c r="E22" s="84" t="s">
        <v>26</v>
      </c>
      <c r="F22" s="152"/>
      <c r="G22" s="152"/>
      <c r="H22" s="233"/>
      <c r="I22" s="219"/>
    </row>
    <row r="23" spans="2:12" ht="15" customHeight="1" x14ac:dyDescent="0.25">
      <c r="B23" s="48">
        <v>1</v>
      </c>
      <c r="C23" s="204" t="s">
        <v>141</v>
      </c>
      <c r="D23" s="205">
        <f>'Measure 1 Peatlands'!J51</f>
        <v>20000000.004626252</v>
      </c>
      <c r="E23" s="206">
        <f t="shared" ref="E23:E29" si="1">D23/D$31</f>
        <v>0.10000000064050997</v>
      </c>
      <c r="F23" s="234"/>
      <c r="G23" s="234"/>
      <c r="H23" s="235"/>
      <c r="I23" s="219"/>
    </row>
    <row r="24" spans="2:12" ht="30" x14ac:dyDescent="0.25">
      <c r="B24" s="48">
        <v>2</v>
      </c>
      <c r="C24" s="204" t="s">
        <v>140</v>
      </c>
      <c r="D24" s="205">
        <f>'Measure 2 Ag lands'!J46</f>
        <v>20000000.231066834</v>
      </c>
      <c r="E24" s="206">
        <f t="shared" si="1"/>
        <v>0.1000000017727129</v>
      </c>
      <c r="F24" s="234"/>
      <c r="G24" s="234"/>
      <c r="H24" s="235"/>
      <c r="I24" s="219"/>
    </row>
    <row r="25" spans="2:12" ht="15" customHeight="1" x14ac:dyDescent="0.25">
      <c r="B25" s="48">
        <v>3</v>
      </c>
      <c r="C25" s="207" t="s">
        <v>139</v>
      </c>
      <c r="D25" s="205">
        <f>'Measure 3 Industrial'!J54</f>
        <v>59913403.264765494</v>
      </c>
      <c r="E25" s="206">
        <f t="shared" si="1"/>
        <v>0.29956701817329046</v>
      </c>
      <c r="F25" s="234"/>
      <c r="G25" s="234"/>
      <c r="H25" s="235"/>
      <c r="I25" s="219"/>
    </row>
    <row r="26" spans="2:12" ht="30" x14ac:dyDescent="0.25">
      <c r="B26" s="48">
        <v>4</v>
      </c>
      <c r="C26" s="204" t="s">
        <v>138</v>
      </c>
      <c r="D26" s="205">
        <f>'Measure 4 Refrigerants'!J44</f>
        <v>10000000.059924999</v>
      </c>
      <c r="E26" s="206">
        <f t="shared" si="1"/>
        <v>5.0000000608314353E-2</v>
      </c>
      <c r="F26" s="234"/>
      <c r="G26" s="234"/>
      <c r="H26" s="235"/>
      <c r="I26" s="219"/>
    </row>
    <row r="27" spans="2:12" ht="30" x14ac:dyDescent="0.25">
      <c r="B27" s="48">
        <v>5</v>
      </c>
      <c r="C27" s="204" t="s">
        <v>137</v>
      </c>
      <c r="D27" s="205">
        <f>'Measure 5 Vehicles'!J48</f>
        <v>20000000.002696998</v>
      </c>
      <c r="E27" s="206">
        <f t="shared" si="1"/>
        <v>0.10000000063086371</v>
      </c>
      <c r="F27" s="234"/>
      <c r="G27" s="234"/>
      <c r="H27" s="235"/>
      <c r="I27" s="219"/>
    </row>
    <row r="28" spans="2:12" ht="30" x14ac:dyDescent="0.25">
      <c r="B28" s="48">
        <v>6</v>
      </c>
      <c r="C28" s="204" t="s">
        <v>136</v>
      </c>
      <c r="D28" s="205">
        <f>'Measure 6 PWF organics'!J46</f>
        <v>33411600.914448</v>
      </c>
      <c r="E28" s="206">
        <f t="shared" si="1"/>
        <v>0.16705800560362055</v>
      </c>
      <c r="F28" s="234"/>
      <c r="G28" s="234"/>
      <c r="H28" s="235"/>
      <c r="I28" s="219"/>
    </row>
    <row r="29" spans="2:12" ht="30" x14ac:dyDescent="0.25">
      <c r="B29" s="48">
        <v>7</v>
      </c>
      <c r="C29" s="204" t="s">
        <v>135</v>
      </c>
      <c r="D29" s="205">
        <f>'Measure 7 Food sov+local grants'!J52</f>
        <v>34565092.127541505</v>
      </c>
      <c r="E29" s="206">
        <f t="shared" si="1"/>
        <v>0.17282546170469512</v>
      </c>
      <c r="F29" s="234"/>
      <c r="G29" s="234"/>
      <c r="H29" s="235"/>
      <c r="I29" s="219"/>
    </row>
    <row r="30" spans="2:12" ht="15" customHeight="1" x14ac:dyDescent="0.25">
      <c r="B30" s="48"/>
      <c r="C30" s="204" t="s">
        <v>27</v>
      </c>
      <c r="D30" s="205">
        <f>'Grant admin'!J49</f>
        <v>2109902.1601725002</v>
      </c>
      <c r="E30" s="206">
        <f t="shared" ref="E30" si="2">D30/D$31</f>
        <v>1.0549510865992935E-2</v>
      </c>
      <c r="F30" s="234"/>
      <c r="G30" s="234"/>
      <c r="H30" s="235"/>
      <c r="I30" s="219"/>
    </row>
    <row r="31" spans="2:12" ht="15" customHeight="1" x14ac:dyDescent="0.25">
      <c r="B31" s="142" t="s">
        <v>28</v>
      </c>
      <c r="C31" s="143"/>
      <c r="D31" s="144">
        <f>SUM(D23:D30)</f>
        <v>199999998.76524258</v>
      </c>
      <c r="E31" s="145">
        <f>SUM(E23:E30)</f>
        <v>1</v>
      </c>
      <c r="F31" s="234"/>
      <c r="G31" s="234"/>
      <c r="H31" s="235"/>
      <c r="I31" s="219"/>
    </row>
    <row r="32" spans="2:12" ht="15" customHeight="1" x14ac:dyDescent="0.25">
      <c r="H32" s="219"/>
      <c r="I32" s="219"/>
    </row>
  </sheetData>
  <mergeCells count="1">
    <mergeCell ref="B3:J3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63"/>
  <sheetViews>
    <sheetView showGridLines="0" zoomScale="85" zoomScaleNormal="85" workbookViewId="0">
      <pane xSplit="3" ySplit="6" topLeftCell="D27" activePane="bottomRight" state="frozen"/>
      <selection pane="topRight" activeCell="R20" sqref="R20:W20"/>
      <selection pane="bottomLeft" activeCell="R20" sqref="R20:W20"/>
      <selection pane="bottomRight" activeCell="B37" sqref="B37"/>
    </sheetView>
  </sheetViews>
  <sheetFormatPr defaultColWidth="9.28515625" defaultRowHeight="15" x14ac:dyDescent="0.25"/>
  <cols>
    <col min="1" max="1" width="3.28515625" style="6" customWidth="1"/>
    <col min="2" max="2" width="11.28515625" style="6" customWidth="1"/>
    <col min="3" max="3" width="62.28515625" style="6" customWidth="1"/>
    <col min="4" max="4" width="13.28515625" style="9" customWidth="1"/>
    <col min="5" max="5" width="13.28515625" style="3" customWidth="1"/>
    <col min="6" max="7" width="13.28515625" style="6" customWidth="1"/>
    <col min="8" max="8" width="12.7109375" style="3" customWidth="1"/>
    <col min="9" max="9" width="0.7109375" style="10" customWidth="1"/>
    <col min="10" max="10" width="14.5703125" style="6" customWidth="1"/>
    <col min="11" max="11" width="3.28515625" style="6" customWidth="1"/>
    <col min="12" max="16384" width="9.28515625" style="6"/>
  </cols>
  <sheetData>
    <row r="2" spans="2:39" ht="23.25" x14ac:dyDescent="0.35">
      <c r="B2" s="29" t="s">
        <v>29</v>
      </c>
    </row>
    <row r="3" spans="2:39" x14ac:dyDescent="0.25">
      <c r="B3" s="57"/>
    </row>
    <row r="4" spans="2:39" x14ac:dyDescent="0.25">
      <c r="B4" s="5"/>
    </row>
    <row r="5" spans="2:39" ht="18.75" x14ac:dyDescent="0.3">
      <c r="B5" s="32" t="s">
        <v>1</v>
      </c>
      <c r="C5" s="33"/>
      <c r="D5" s="33"/>
      <c r="E5" s="33"/>
      <c r="F5" s="33"/>
      <c r="G5" s="33"/>
      <c r="H5" s="33"/>
      <c r="I5" s="33"/>
      <c r="J5" s="3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</row>
    <row r="6" spans="2:39" x14ac:dyDescent="0.25">
      <c r="B6" s="35" t="s">
        <v>2</v>
      </c>
      <c r="C6" s="35" t="s">
        <v>3</v>
      </c>
      <c r="D6" s="35" t="s">
        <v>4</v>
      </c>
      <c r="E6" s="36" t="s">
        <v>5</v>
      </c>
      <c r="F6" s="36" t="s">
        <v>6</v>
      </c>
      <c r="G6" s="36" t="s">
        <v>7</v>
      </c>
      <c r="H6" s="37" t="s">
        <v>8</v>
      </c>
      <c r="I6" s="38"/>
      <c r="J6" s="39" t="s">
        <v>9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</row>
    <row r="7" spans="2:39" s="8" customFormat="1" x14ac:dyDescent="0.25">
      <c r="B7" s="21" t="s">
        <v>10</v>
      </c>
      <c r="C7" s="26" t="s">
        <v>31</v>
      </c>
      <c r="D7" s="13" t="s">
        <v>32</v>
      </c>
      <c r="E7" s="13" t="s">
        <v>32</v>
      </c>
      <c r="F7" s="13" t="s">
        <v>32</v>
      </c>
      <c r="G7" s="13"/>
      <c r="H7" s="13" t="s">
        <v>32</v>
      </c>
      <c r="I7" s="10"/>
      <c r="J7" s="11" t="s">
        <v>32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2:39" s="7" customFormat="1" x14ac:dyDescent="0.25">
      <c r="B8" s="22"/>
      <c r="C8" s="105"/>
      <c r="D8" s="107"/>
      <c r="E8" s="107"/>
      <c r="F8" s="107"/>
      <c r="G8" s="107"/>
      <c r="H8" s="107"/>
      <c r="I8" s="31"/>
      <c r="J8" s="107"/>
    </row>
    <row r="9" spans="2:39" s="7" customFormat="1" x14ac:dyDescent="0.25">
      <c r="B9" s="22"/>
      <c r="C9" s="12" t="s">
        <v>11</v>
      </c>
      <c r="D9" s="69">
        <f t="shared" ref="D9:J9" si="0">SUM(D8:D8)</f>
        <v>0</v>
      </c>
      <c r="E9" s="69">
        <f t="shared" si="0"/>
        <v>0</v>
      </c>
      <c r="F9" s="69">
        <f t="shared" si="0"/>
        <v>0</v>
      </c>
      <c r="G9" s="69">
        <f t="shared" si="0"/>
        <v>0</v>
      </c>
      <c r="H9" s="69">
        <f t="shared" si="0"/>
        <v>0</v>
      </c>
      <c r="I9" s="66">
        <f t="shared" si="0"/>
        <v>0</v>
      </c>
      <c r="J9" s="69">
        <f t="shared" si="0"/>
        <v>0</v>
      </c>
    </row>
    <row r="10" spans="2:39" s="7" customFormat="1" x14ac:dyDescent="0.25">
      <c r="B10" s="22"/>
      <c r="C10" s="16" t="s">
        <v>33</v>
      </c>
      <c r="D10" s="15" t="s">
        <v>32</v>
      </c>
      <c r="E10" s="13"/>
      <c r="F10" s="13"/>
      <c r="G10" s="13"/>
      <c r="H10" s="13"/>
      <c r="I10" s="10"/>
      <c r="J10" s="11" t="s">
        <v>32</v>
      </c>
    </row>
    <row r="11" spans="2:39" s="7" customFormat="1" x14ac:dyDescent="0.25">
      <c r="B11" s="22"/>
      <c r="C11" s="64"/>
      <c r="D11" s="81"/>
      <c r="E11" s="81"/>
      <c r="F11" s="81"/>
      <c r="G11" s="81"/>
      <c r="H11" s="81"/>
      <c r="I11" s="10"/>
      <c r="J11" s="17"/>
    </row>
    <row r="12" spans="2:39" s="7" customFormat="1" x14ac:dyDescent="0.25">
      <c r="B12" s="22"/>
      <c r="C12" s="12" t="s">
        <v>12</v>
      </c>
      <c r="D12" s="69">
        <f t="shared" ref="D12:J12" si="1">SUM(D11:D11)</f>
        <v>0</v>
      </c>
      <c r="E12" s="69">
        <f t="shared" si="1"/>
        <v>0</v>
      </c>
      <c r="F12" s="69">
        <f t="shared" si="1"/>
        <v>0</v>
      </c>
      <c r="G12" s="69">
        <f t="shared" si="1"/>
        <v>0</v>
      </c>
      <c r="H12" s="69">
        <f t="shared" si="1"/>
        <v>0</v>
      </c>
      <c r="I12" s="66">
        <f t="shared" si="1"/>
        <v>0</v>
      </c>
      <c r="J12" s="69">
        <f t="shared" si="1"/>
        <v>0</v>
      </c>
    </row>
    <row r="13" spans="2:39" s="7" customFormat="1" x14ac:dyDescent="0.25">
      <c r="B13" s="22"/>
      <c r="C13" s="16" t="s">
        <v>34</v>
      </c>
      <c r="D13" s="15" t="s">
        <v>32</v>
      </c>
      <c r="E13" s="13"/>
      <c r="F13" s="13"/>
      <c r="G13" s="13"/>
      <c r="H13" s="13"/>
      <c r="I13" s="10"/>
      <c r="J13" s="11" t="s">
        <v>32</v>
      </c>
    </row>
    <row r="14" spans="2:39" s="7" customFormat="1" x14ac:dyDescent="0.25">
      <c r="B14" s="22"/>
      <c r="C14" s="64"/>
      <c r="D14" s="63"/>
      <c r="E14" s="63"/>
      <c r="F14" s="63"/>
      <c r="G14" s="63"/>
      <c r="H14" s="63"/>
      <c r="I14" s="10"/>
      <c r="J14" s="17"/>
    </row>
    <row r="15" spans="2:39" s="7" customFormat="1" x14ac:dyDescent="0.25">
      <c r="B15" s="22"/>
      <c r="C15" s="12" t="s">
        <v>13</v>
      </c>
      <c r="D15" s="69">
        <f>SUM(D14:D14)</f>
        <v>0</v>
      </c>
      <c r="E15" s="69">
        <f>SUM(E14:E14)</f>
        <v>0</v>
      </c>
      <c r="F15" s="69">
        <f>SUM(F14:F14)</f>
        <v>0</v>
      </c>
      <c r="G15" s="69">
        <f>SUM(G14:G14)</f>
        <v>0</v>
      </c>
      <c r="H15" s="69">
        <f>SUM(H14:H14)</f>
        <v>0</v>
      </c>
      <c r="I15" s="66"/>
      <c r="J15" s="69">
        <f>SUM(D15:H15)</f>
        <v>0</v>
      </c>
    </row>
    <row r="16" spans="2:39" s="7" customFormat="1" x14ac:dyDescent="0.25">
      <c r="B16" s="22"/>
      <c r="C16" s="16" t="s">
        <v>35</v>
      </c>
      <c r="D16" s="17"/>
      <c r="E16" s="13"/>
      <c r="F16" s="13"/>
      <c r="G16" s="13"/>
      <c r="H16" s="13"/>
      <c r="I16" s="10"/>
      <c r="J16" s="17" t="s">
        <v>19</v>
      </c>
    </row>
    <row r="17" spans="2:12" s="7" customFormat="1" x14ac:dyDescent="0.25">
      <c r="B17" s="22"/>
      <c r="C17" s="64"/>
      <c r="D17" s="63"/>
      <c r="E17" s="63"/>
      <c r="F17" s="63"/>
      <c r="G17" s="63"/>
      <c r="H17" s="63"/>
      <c r="I17" s="10"/>
      <c r="J17" s="17"/>
    </row>
    <row r="18" spans="2:12" s="7" customFormat="1" x14ac:dyDescent="0.25">
      <c r="B18" s="22"/>
      <c r="C18" s="12" t="s">
        <v>14</v>
      </c>
      <c r="D18" s="71">
        <f>SUM(D17:D17)</f>
        <v>0</v>
      </c>
      <c r="E18" s="71">
        <f>SUM(E17:E17)</f>
        <v>0</v>
      </c>
      <c r="F18" s="71">
        <f>SUM(F17:F17)</f>
        <v>0</v>
      </c>
      <c r="G18" s="71">
        <f>SUM(G17:G17)</f>
        <v>0</v>
      </c>
      <c r="H18" s="71">
        <f>SUM(H17:H17)</f>
        <v>0</v>
      </c>
      <c r="I18" s="66"/>
      <c r="J18" s="69">
        <f t="shared" ref="J18:J45" si="2">SUM(D18:H18)</f>
        <v>0</v>
      </c>
    </row>
    <row r="19" spans="2:12" s="7" customFormat="1" x14ac:dyDescent="0.25">
      <c r="B19" s="22"/>
      <c r="C19" s="16" t="s">
        <v>36</v>
      </c>
      <c r="D19" s="15" t="s">
        <v>32</v>
      </c>
      <c r="E19" s="13"/>
      <c r="F19" s="13"/>
      <c r="G19" s="13"/>
      <c r="H19" s="13"/>
      <c r="I19" s="10"/>
      <c r="J19" s="17"/>
    </row>
    <row r="20" spans="2:12" s="7" customFormat="1" x14ac:dyDescent="0.25">
      <c r="B20" s="22"/>
      <c r="C20" s="64"/>
      <c r="D20" s="63"/>
      <c r="E20" s="63"/>
      <c r="F20" s="63"/>
      <c r="G20" s="63"/>
      <c r="H20" s="63"/>
      <c r="I20" s="10"/>
      <c r="J20" s="17"/>
    </row>
    <row r="21" spans="2:12" s="7" customFormat="1" x14ac:dyDescent="0.25">
      <c r="B21" s="22"/>
      <c r="C21" s="12" t="s">
        <v>15</v>
      </c>
      <c r="D21" s="69">
        <f>SUM(D20:D20)</f>
        <v>0</v>
      </c>
      <c r="E21" s="69">
        <f>SUM(E20:E20)</f>
        <v>0</v>
      </c>
      <c r="F21" s="69">
        <f>SUM(F20:F20)</f>
        <v>0</v>
      </c>
      <c r="G21" s="69">
        <f>SUM(G20:G20)</f>
        <v>0</v>
      </c>
      <c r="H21" s="69">
        <f>SUM(H20:H20)</f>
        <v>0</v>
      </c>
      <c r="I21" s="66"/>
      <c r="J21" s="69">
        <f t="shared" si="2"/>
        <v>0</v>
      </c>
    </row>
    <row r="22" spans="2:12" s="7" customFormat="1" x14ac:dyDescent="0.25">
      <c r="B22" s="22"/>
      <c r="C22" s="16" t="s">
        <v>37</v>
      </c>
      <c r="D22" s="15" t="s">
        <v>32</v>
      </c>
      <c r="E22" s="13"/>
      <c r="F22" s="13"/>
      <c r="G22" s="13"/>
      <c r="H22" s="13"/>
      <c r="I22" s="10"/>
      <c r="J22" s="17"/>
    </row>
    <row r="23" spans="2:12" s="7" customFormat="1" x14ac:dyDescent="0.25">
      <c r="B23" s="22"/>
      <c r="C23" s="64"/>
      <c r="D23" s="63"/>
      <c r="E23" s="63"/>
      <c r="F23" s="63"/>
      <c r="G23" s="63"/>
      <c r="H23" s="63"/>
      <c r="I23" s="31"/>
      <c r="J23" s="17"/>
    </row>
    <row r="24" spans="2:12" s="7" customFormat="1" x14ac:dyDescent="0.25">
      <c r="B24" s="22"/>
      <c r="C24" s="109"/>
      <c r="D24" s="108"/>
      <c r="E24" s="108"/>
      <c r="F24" s="108"/>
      <c r="G24" s="108"/>
      <c r="H24" s="108"/>
      <c r="I24" s="110"/>
      <c r="J24" s="17"/>
    </row>
    <row r="25" spans="2:12" s="7" customFormat="1" x14ac:dyDescent="0.25">
      <c r="B25" s="22"/>
      <c r="C25" s="12" t="s">
        <v>16</v>
      </c>
      <c r="D25" s="69">
        <f>SUM(D23:D24)</f>
        <v>0</v>
      </c>
      <c r="E25" s="69">
        <f>SUM(E23:E24)</f>
        <v>0</v>
      </c>
      <c r="F25" s="69">
        <f>SUM(F23:F24)</f>
        <v>0</v>
      </c>
      <c r="G25" s="69">
        <f>SUM(G23:G24)</f>
        <v>0</v>
      </c>
      <c r="H25" s="69">
        <f>SUM(H23:H24)</f>
        <v>0</v>
      </c>
      <c r="I25" s="66"/>
      <c r="J25" s="69">
        <f t="shared" si="2"/>
        <v>0</v>
      </c>
    </row>
    <row r="26" spans="2:12" s="7" customFormat="1" x14ac:dyDescent="0.25">
      <c r="B26" s="22"/>
      <c r="C26" s="16" t="s">
        <v>38</v>
      </c>
      <c r="D26" s="15" t="s">
        <v>32</v>
      </c>
      <c r="E26" s="13"/>
      <c r="F26" s="13"/>
      <c r="G26" s="13"/>
      <c r="H26" s="13"/>
      <c r="I26" s="10"/>
      <c r="J26" s="17"/>
    </row>
    <row r="27" spans="2:12" s="7" customFormat="1" ht="30" x14ac:dyDescent="0.25">
      <c r="B27" s="22"/>
      <c r="C27" s="155" t="s">
        <v>57</v>
      </c>
      <c r="D27" s="162">
        <f>SUM(D28:D34)</f>
        <v>357935.29625000001</v>
      </c>
      <c r="E27" s="162">
        <f t="shared" ref="E27:H27" si="3">SUM(E28:E34)</f>
        <v>6280333.0858124997</v>
      </c>
      <c r="F27" s="162">
        <f t="shared" si="3"/>
        <v>2290049.1701675002</v>
      </c>
      <c r="G27" s="162">
        <f t="shared" si="3"/>
        <v>2299389.4777100002</v>
      </c>
      <c r="H27" s="162">
        <f t="shared" si="3"/>
        <v>772293.28130499995</v>
      </c>
      <c r="I27" s="163"/>
      <c r="J27" s="161">
        <f>SUM(D27:H27)</f>
        <v>12000000.311245002</v>
      </c>
    </row>
    <row r="28" spans="2:12" s="7" customFormat="1" ht="75" x14ac:dyDescent="0.25">
      <c r="B28" s="22"/>
      <c r="C28" s="164" t="s">
        <v>108</v>
      </c>
      <c r="D28" s="165">
        <v>150544.75</v>
      </c>
      <c r="E28" s="165">
        <v>164008.63750000001</v>
      </c>
      <c r="F28" s="165">
        <v>170421.89449999999</v>
      </c>
      <c r="G28" s="165">
        <v>176587.114</v>
      </c>
      <c r="H28" s="165">
        <v>183013.38699999999</v>
      </c>
      <c r="I28" s="166"/>
      <c r="J28" s="165">
        <f>SUM(D28:H28)</f>
        <v>844575.78299999994</v>
      </c>
    </row>
    <row r="29" spans="2:12" s="7" customFormat="1" x14ac:dyDescent="0.25">
      <c r="B29" s="22"/>
      <c r="C29" s="167" t="s">
        <v>76</v>
      </c>
      <c r="D29" s="165">
        <f>D28*0.25</f>
        <v>37636.1875</v>
      </c>
      <c r="E29" s="165">
        <f t="shared" ref="E29:H29" si="4">E28*0.25</f>
        <v>41002.159375000003</v>
      </c>
      <c r="F29" s="165">
        <f t="shared" si="4"/>
        <v>42605.473624999999</v>
      </c>
      <c r="G29" s="165">
        <f t="shared" si="4"/>
        <v>44146.7785</v>
      </c>
      <c r="H29" s="165">
        <f t="shared" si="4"/>
        <v>45753.346749999997</v>
      </c>
      <c r="I29" s="168"/>
      <c r="J29" s="165">
        <f>SUM(D29:H29)</f>
        <v>211143.94574999998</v>
      </c>
      <c r="L29" s="171"/>
    </row>
    <row r="30" spans="2:12" s="7" customFormat="1" ht="90" x14ac:dyDescent="0.25">
      <c r="B30" s="22"/>
      <c r="C30" s="167" t="s">
        <v>70</v>
      </c>
      <c r="D30" s="165">
        <v>29860</v>
      </c>
      <c r="E30" s="165">
        <v>29860</v>
      </c>
      <c r="F30" s="165">
        <v>29860</v>
      </c>
      <c r="G30" s="165">
        <v>29860</v>
      </c>
      <c r="H30" s="165">
        <v>29860</v>
      </c>
      <c r="I30" s="168"/>
      <c r="J30" s="165">
        <f t="shared" ref="J30:J34" si="5">SUM(D30:H30)</f>
        <v>149300</v>
      </c>
      <c r="L30" s="171"/>
    </row>
    <row r="31" spans="2:12" s="7" customFormat="1" ht="30" x14ac:dyDescent="0.25">
      <c r="B31" s="22"/>
      <c r="C31" s="164" t="s">
        <v>71</v>
      </c>
      <c r="D31" s="165">
        <v>87500</v>
      </c>
      <c r="E31" s="165">
        <v>0</v>
      </c>
      <c r="F31" s="165">
        <v>0</v>
      </c>
      <c r="G31" s="165">
        <v>0</v>
      </c>
      <c r="H31" s="165">
        <v>0</v>
      </c>
      <c r="I31" s="168"/>
      <c r="J31" s="165">
        <f t="shared" si="5"/>
        <v>87500</v>
      </c>
      <c r="L31" s="171"/>
    </row>
    <row r="32" spans="2:12" s="7" customFormat="1" ht="45" x14ac:dyDescent="0.25">
      <c r="B32" s="22"/>
      <c r="C32" s="164" t="s">
        <v>72</v>
      </c>
      <c r="D32" s="165">
        <v>12500</v>
      </c>
      <c r="E32" s="165">
        <v>2000</v>
      </c>
      <c r="F32" s="165">
        <v>2000</v>
      </c>
      <c r="G32" s="165">
        <v>2000</v>
      </c>
      <c r="H32" s="165">
        <v>2000</v>
      </c>
      <c r="I32" s="168"/>
      <c r="J32" s="165">
        <f t="shared" si="5"/>
        <v>20500</v>
      </c>
      <c r="L32" s="171"/>
    </row>
    <row r="33" spans="2:12" s="7" customFormat="1" ht="45" x14ac:dyDescent="0.25">
      <c r="B33" s="22"/>
      <c r="C33" s="167" t="s">
        <v>73</v>
      </c>
      <c r="D33" s="165">
        <v>0</v>
      </c>
      <c r="E33" s="165">
        <v>6000000</v>
      </c>
      <c r="F33" s="165">
        <v>2000000</v>
      </c>
      <c r="G33" s="165">
        <v>2000000</v>
      </c>
      <c r="H33" s="165">
        <v>463168</v>
      </c>
      <c r="I33" s="168"/>
      <c r="J33" s="165">
        <f>SUM(D33:H33)</f>
        <v>10463168</v>
      </c>
      <c r="L33" s="171"/>
    </row>
    <row r="34" spans="2:12" s="7" customFormat="1" x14ac:dyDescent="0.25">
      <c r="B34" s="22"/>
      <c r="C34" s="167" t="s">
        <v>74</v>
      </c>
      <c r="D34" s="165">
        <f>SUM(D28:D29)*0.212</f>
        <v>39894.358749999999</v>
      </c>
      <c r="E34" s="165">
        <f t="shared" ref="E34:H34" si="6">SUM(E28:E29)*0.212</f>
        <v>43462.288937500001</v>
      </c>
      <c r="F34" s="165">
        <f t="shared" si="6"/>
        <v>45161.802042499992</v>
      </c>
      <c r="G34" s="165">
        <f t="shared" si="6"/>
        <v>46795.585210000005</v>
      </c>
      <c r="H34" s="165">
        <f t="shared" si="6"/>
        <v>48498.547554999997</v>
      </c>
      <c r="I34" s="168"/>
      <c r="J34" s="165">
        <f t="shared" si="5"/>
        <v>223812.58249499998</v>
      </c>
      <c r="L34" s="171"/>
    </row>
    <row r="35" spans="2:12" s="7" customFormat="1" ht="30" x14ac:dyDescent="0.25">
      <c r="B35" s="22"/>
      <c r="C35" s="180" t="s">
        <v>63</v>
      </c>
      <c r="D35" s="159"/>
      <c r="E35" s="159"/>
      <c r="F35" s="159"/>
      <c r="G35" s="159"/>
      <c r="H35" s="159"/>
      <c r="I35" s="160"/>
      <c r="J35" s="159"/>
      <c r="L35" s="171"/>
    </row>
    <row r="36" spans="2:12" s="7" customFormat="1" ht="30" x14ac:dyDescent="0.25">
      <c r="B36" s="22"/>
      <c r="C36" s="154" t="s">
        <v>58</v>
      </c>
      <c r="D36" s="161">
        <f>SUM(D37:D42)</f>
        <v>300767.375</v>
      </c>
      <c r="E36" s="161">
        <f t="shared" ref="E36:H36" si="7">SUM(E37:E42)</f>
        <v>1323258.8187687502</v>
      </c>
      <c r="F36" s="161">
        <f t="shared" si="7"/>
        <v>2335881.5009562499</v>
      </c>
      <c r="G36" s="161">
        <f t="shared" si="7"/>
        <v>2348585.3838375001</v>
      </c>
      <c r="H36" s="161">
        <f t="shared" si="7"/>
        <v>1691506.6148187499</v>
      </c>
      <c r="I36" s="160"/>
      <c r="J36" s="161">
        <f t="shared" ref="J36:J42" si="8">SUM(D36:H36)</f>
        <v>7999999.6933812499</v>
      </c>
      <c r="L36" s="171"/>
    </row>
    <row r="37" spans="2:12" s="7" customFormat="1" ht="45" x14ac:dyDescent="0.25">
      <c r="B37" s="22"/>
      <c r="C37" s="167" t="s">
        <v>109</v>
      </c>
      <c r="D37" s="165">
        <v>215889</v>
      </c>
      <c r="E37" s="165">
        <v>232246.41365</v>
      </c>
      <c r="F37" s="165">
        <v>241426.54615000001</v>
      </c>
      <c r="G37" s="165">
        <v>250665.73369999998</v>
      </c>
      <c r="H37" s="165">
        <v>260173.29804999998</v>
      </c>
      <c r="I37" s="168"/>
      <c r="J37" s="165">
        <f t="shared" si="8"/>
        <v>1200400.9915499999</v>
      </c>
      <c r="L37" s="170"/>
    </row>
    <row r="38" spans="2:12" s="7" customFormat="1" x14ac:dyDescent="0.25">
      <c r="B38" s="22"/>
      <c r="C38" s="169" t="s">
        <v>75</v>
      </c>
      <c r="D38" s="165">
        <f>D37*0.25</f>
        <v>53972.25</v>
      </c>
      <c r="E38" s="165">
        <f t="shared" ref="E38:H38" si="9">E37*0.25</f>
        <v>58061.603412500001</v>
      </c>
      <c r="F38" s="165">
        <f t="shared" si="9"/>
        <v>60356.636537500002</v>
      </c>
      <c r="G38" s="165">
        <f t="shared" si="9"/>
        <v>62666.433424999996</v>
      </c>
      <c r="H38" s="165">
        <f t="shared" si="9"/>
        <v>65043.324512499996</v>
      </c>
      <c r="I38" s="168"/>
      <c r="J38" s="165">
        <f t="shared" si="8"/>
        <v>300100.24788749998</v>
      </c>
    </row>
    <row r="39" spans="2:12" s="7" customFormat="1" ht="30" x14ac:dyDescent="0.25">
      <c r="B39" s="22"/>
      <c r="C39" s="167" t="s">
        <v>77</v>
      </c>
      <c r="D39" s="165">
        <v>2420</v>
      </c>
      <c r="E39" s="165">
        <v>2420</v>
      </c>
      <c r="F39" s="165">
        <v>2420</v>
      </c>
      <c r="G39" s="165">
        <v>2420</v>
      </c>
      <c r="H39" s="165">
        <v>2420</v>
      </c>
      <c r="I39" s="168"/>
      <c r="J39" s="165">
        <f t="shared" si="8"/>
        <v>12100</v>
      </c>
    </row>
    <row r="40" spans="2:12" s="7" customFormat="1" ht="30" x14ac:dyDescent="0.25">
      <c r="B40" s="22"/>
      <c r="C40" s="167" t="s">
        <v>78</v>
      </c>
      <c r="D40" s="165">
        <v>1500</v>
      </c>
      <c r="E40" s="165">
        <v>1500</v>
      </c>
      <c r="F40" s="165">
        <v>1500</v>
      </c>
      <c r="G40" s="165">
        <v>1500</v>
      </c>
      <c r="H40" s="165">
        <v>1500</v>
      </c>
      <c r="I40" s="168"/>
      <c r="J40" s="165">
        <f t="shared" si="8"/>
        <v>7500</v>
      </c>
    </row>
    <row r="41" spans="2:12" s="7" customFormat="1" ht="45" x14ac:dyDescent="0.25">
      <c r="B41" s="22"/>
      <c r="C41" s="167" t="s">
        <v>79</v>
      </c>
      <c r="D41" s="165">
        <v>0</v>
      </c>
      <c r="E41" s="165">
        <v>1000000</v>
      </c>
      <c r="F41" s="165">
        <v>2000000</v>
      </c>
      <c r="G41" s="165">
        <v>2000000</v>
      </c>
      <c r="H41" s="165">
        <v>1329848.33</v>
      </c>
      <c r="I41" s="168"/>
      <c r="J41" s="165">
        <f t="shared" si="8"/>
        <v>6329848.3300000001</v>
      </c>
    </row>
    <row r="42" spans="2:12" s="7" customFormat="1" x14ac:dyDescent="0.25">
      <c r="B42" s="22"/>
      <c r="C42" s="167" t="s">
        <v>80</v>
      </c>
      <c r="D42" s="165">
        <f>SUM(D37:D38)*0.1</f>
        <v>26986.125</v>
      </c>
      <c r="E42" s="165">
        <f t="shared" ref="E42:H42" si="10">SUM(E37:E38)*0.1</f>
        <v>29030.80170625</v>
      </c>
      <c r="F42" s="165">
        <f t="shared" si="10"/>
        <v>30178.318268750005</v>
      </c>
      <c r="G42" s="165">
        <f t="shared" si="10"/>
        <v>31333.216712499998</v>
      </c>
      <c r="H42" s="165">
        <f t="shared" si="10"/>
        <v>32521.662256249998</v>
      </c>
      <c r="I42" s="168"/>
      <c r="J42" s="165">
        <f t="shared" si="8"/>
        <v>150050.12394374999</v>
      </c>
    </row>
    <row r="43" spans="2:12" s="7" customFormat="1" ht="30" x14ac:dyDescent="0.25">
      <c r="B43" s="22"/>
      <c r="C43" s="180" t="s">
        <v>63</v>
      </c>
      <c r="D43" s="179"/>
      <c r="E43" s="179"/>
      <c r="F43" s="179"/>
      <c r="G43" s="179"/>
      <c r="H43" s="179"/>
      <c r="I43" s="168"/>
      <c r="J43" s="179"/>
    </row>
    <row r="44" spans="2:12" s="7" customFormat="1" x14ac:dyDescent="0.25">
      <c r="B44" s="24"/>
      <c r="C44" s="12" t="s">
        <v>17</v>
      </c>
      <c r="D44" s="69">
        <f>SUM(D27,D36)</f>
        <v>658702.67125000001</v>
      </c>
      <c r="E44" s="69">
        <f t="shared" ref="E44:H44" si="11">SUM(E27,E36)</f>
        <v>7603591.9045812497</v>
      </c>
      <c r="F44" s="69">
        <f t="shared" si="11"/>
        <v>4625930.6711237505</v>
      </c>
      <c r="G44" s="69">
        <f t="shared" si="11"/>
        <v>4647974.8615474999</v>
      </c>
      <c r="H44" s="69">
        <f t="shared" si="11"/>
        <v>2463799.8961237501</v>
      </c>
      <c r="I44" s="141"/>
      <c r="J44" s="69">
        <f>SUM(D44:H44)</f>
        <v>20000000.004626252</v>
      </c>
    </row>
    <row r="45" spans="2:12" s="7" customFormat="1" x14ac:dyDescent="0.25">
      <c r="B45" s="24"/>
      <c r="C45" s="12" t="s">
        <v>18</v>
      </c>
      <c r="D45" s="69">
        <f>SUM(D44,D25,D21,D18,D15,D12,D9)</f>
        <v>658702.67125000001</v>
      </c>
      <c r="E45" s="69">
        <f>SUM(E44,E25,E21,E18,E15,E12,E9)</f>
        <v>7603591.9045812497</v>
      </c>
      <c r="F45" s="69">
        <f>SUM(F44,F25,F21,F18,F15,F12,F9)</f>
        <v>4625930.6711237505</v>
      </c>
      <c r="G45" s="69">
        <f>SUM(G44,G25,G21,G18,G15,G12,G9)</f>
        <v>4647974.8615474999</v>
      </c>
      <c r="H45" s="69">
        <f>SUM(H44,H25,H21,H18,H15,H12,H9)</f>
        <v>2463799.8961237501</v>
      </c>
      <c r="I45" s="141"/>
      <c r="J45" s="69">
        <f t="shared" si="2"/>
        <v>20000000.004626252</v>
      </c>
    </row>
    <row r="46" spans="2:12" s="7" customFormat="1" x14ac:dyDescent="0.25">
      <c r="B46" s="23"/>
      <c r="C46" s="178"/>
      <c r="D46" s="134"/>
      <c r="E46" s="134"/>
      <c r="F46" s="134"/>
      <c r="G46" s="134"/>
      <c r="H46" s="134"/>
      <c r="I46" s="134"/>
      <c r="J46" s="134" t="s">
        <v>19</v>
      </c>
    </row>
    <row r="47" spans="2:12" s="7" customFormat="1" ht="30" x14ac:dyDescent="0.25">
      <c r="B47" s="62" t="s">
        <v>39</v>
      </c>
      <c r="C47" s="18" t="s">
        <v>39</v>
      </c>
      <c r="D47" s="135"/>
      <c r="E47" s="135"/>
      <c r="F47" s="135"/>
      <c r="G47" s="135"/>
      <c r="H47" s="135"/>
      <c r="I47" s="134"/>
      <c r="J47" s="135" t="s">
        <v>19</v>
      </c>
    </row>
    <row r="48" spans="2:12" s="7" customFormat="1" x14ac:dyDescent="0.25">
      <c r="B48" s="22"/>
      <c r="C48" s="101"/>
      <c r="D48" s="136"/>
      <c r="E48" s="136"/>
      <c r="F48" s="136"/>
      <c r="G48" s="136"/>
      <c r="H48" s="136"/>
      <c r="I48" s="132"/>
      <c r="J48" s="133"/>
    </row>
    <row r="49" spans="2:10" s="7" customFormat="1" x14ac:dyDescent="0.25">
      <c r="B49" s="24"/>
      <c r="C49" s="12" t="s">
        <v>20</v>
      </c>
      <c r="D49" s="69">
        <f>SUM(D48:D48)</f>
        <v>0</v>
      </c>
      <c r="E49" s="69">
        <f>SUM(E48:E48)</f>
        <v>0</v>
      </c>
      <c r="F49" s="69">
        <f>SUM(F48:F48)</f>
        <v>0</v>
      </c>
      <c r="G49" s="69">
        <f>SUM(G48:G48)</f>
        <v>0</v>
      </c>
      <c r="H49" s="69">
        <f>SUM(H48:H48)</f>
        <v>0</v>
      </c>
      <c r="I49" s="69"/>
      <c r="J49" s="69">
        <f>SUM(D49:H49)</f>
        <v>0</v>
      </c>
    </row>
    <row r="50" spans="2:10" s="7" customFormat="1" ht="15.75" thickBot="1" x14ac:dyDescent="0.3">
      <c r="B50" s="23"/>
      <c r="D50" s="134"/>
      <c r="E50" s="134"/>
      <c r="F50" s="134"/>
      <c r="G50" s="134"/>
      <c r="H50" s="134"/>
      <c r="I50" s="134"/>
      <c r="J50" s="134" t="s">
        <v>19</v>
      </c>
    </row>
    <row r="51" spans="2:10" s="4" customFormat="1" ht="30.75" thickBot="1" x14ac:dyDescent="0.3">
      <c r="B51" s="20" t="s">
        <v>21</v>
      </c>
      <c r="C51" s="20"/>
      <c r="D51" s="139">
        <f t="shared" ref="D51:J51" si="12">SUM(D49,D45)</f>
        <v>658702.67125000001</v>
      </c>
      <c r="E51" s="139">
        <f t="shared" si="12"/>
        <v>7603591.9045812497</v>
      </c>
      <c r="F51" s="139">
        <f t="shared" si="12"/>
        <v>4625930.6711237505</v>
      </c>
      <c r="G51" s="139">
        <f t="shared" si="12"/>
        <v>4647974.8615474999</v>
      </c>
      <c r="H51" s="139">
        <f t="shared" si="12"/>
        <v>2463799.8961237501</v>
      </c>
      <c r="I51" s="140">
        <f t="shared" si="12"/>
        <v>0</v>
      </c>
      <c r="J51" s="139">
        <f t="shared" si="12"/>
        <v>20000000.004626252</v>
      </c>
    </row>
    <row r="52" spans="2:10" x14ac:dyDescent="0.25">
      <c r="B52" s="9"/>
      <c r="C52"/>
    </row>
    <row r="53" spans="2:10" x14ac:dyDescent="0.25">
      <c r="B53" s="9"/>
    </row>
    <row r="54" spans="2:10" x14ac:dyDescent="0.25">
      <c r="B54" s="9"/>
    </row>
    <row r="55" spans="2:10" x14ac:dyDescent="0.25">
      <c r="B55" s="9"/>
    </row>
    <row r="56" spans="2:10" x14ac:dyDescent="0.25">
      <c r="B56" s="9"/>
    </row>
    <row r="57" spans="2:10" x14ac:dyDescent="0.25">
      <c r="B57" s="9"/>
    </row>
    <row r="58" spans="2:10" x14ac:dyDescent="0.25">
      <c r="B58" s="9"/>
    </row>
    <row r="59" spans="2:10" x14ac:dyDescent="0.25">
      <c r="B59" s="9"/>
    </row>
    <row r="60" spans="2:10" x14ac:dyDescent="0.25">
      <c r="B60" s="9"/>
    </row>
    <row r="61" spans="2:10" x14ac:dyDescent="0.25">
      <c r="B61" s="9"/>
    </row>
    <row r="62" spans="2:10" x14ac:dyDescent="0.25">
      <c r="B62" s="9"/>
    </row>
    <row r="63" spans="2:10" x14ac:dyDescent="0.25">
      <c r="B63" s="9"/>
    </row>
  </sheetData>
  <pageMargins left="0.7" right="0.7" top="0.75" bottom="0.75" header="0.3" footer="0.3"/>
  <pageSetup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E4B0E-A5CB-4015-9FC4-81B38F856533}">
  <sheetPr>
    <tabColor theme="9" tint="0.39997558519241921"/>
    <pageSetUpPr fitToPage="1"/>
  </sheetPr>
  <dimension ref="B2:AS58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C36" sqref="C36"/>
    </sheetView>
  </sheetViews>
  <sheetFormatPr defaultColWidth="9.28515625" defaultRowHeight="15" x14ac:dyDescent="0.25"/>
  <cols>
    <col min="1" max="1" width="3.28515625" style="6" customWidth="1"/>
    <col min="2" max="2" width="11.28515625" style="6" customWidth="1"/>
    <col min="3" max="3" width="46.42578125" style="6" customWidth="1"/>
    <col min="4" max="4" width="13.28515625" style="9" customWidth="1"/>
    <col min="5" max="5" width="13.28515625" style="3" customWidth="1"/>
    <col min="6" max="7" width="13.28515625" style="6" customWidth="1"/>
    <col min="8" max="8" width="12.7109375" style="3" customWidth="1"/>
    <col min="9" max="9" width="0.7109375" style="10" customWidth="1"/>
    <col min="10" max="10" width="14.5703125" style="6" customWidth="1"/>
    <col min="11" max="11" width="3.28515625" style="6" customWidth="1"/>
    <col min="12" max="12" width="24.85546875" style="6" customWidth="1"/>
    <col min="13" max="13" width="11.5703125" style="6" bestFit="1" customWidth="1"/>
    <col min="14" max="16384" width="9.28515625" style="6"/>
  </cols>
  <sheetData>
    <row r="2" spans="2:45" ht="23.25" x14ac:dyDescent="0.35">
      <c r="B2" s="146" t="s">
        <v>29</v>
      </c>
      <c r="C2" s="7"/>
    </row>
    <row r="3" spans="2:45" x14ac:dyDescent="0.25">
      <c r="B3" s="57"/>
    </row>
    <row r="4" spans="2:45" x14ac:dyDescent="0.25">
      <c r="B4" s="5"/>
    </row>
    <row r="5" spans="2:45" ht="18.75" x14ac:dyDescent="0.3">
      <c r="B5" s="32" t="s">
        <v>1</v>
      </c>
      <c r="C5" s="33"/>
      <c r="D5" s="33"/>
      <c r="E5" s="33"/>
      <c r="F5" s="33"/>
      <c r="G5" s="33"/>
      <c r="H5" s="33"/>
      <c r="I5" s="33"/>
      <c r="J5" s="3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</row>
    <row r="6" spans="2:45" x14ac:dyDescent="0.25">
      <c r="B6" s="35" t="s">
        <v>2</v>
      </c>
      <c r="C6" s="35" t="s">
        <v>3</v>
      </c>
      <c r="D6" s="35" t="s">
        <v>4</v>
      </c>
      <c r="E6" s="36" t="s">
        <v>5</v>
      </c>
      <c r="F6" s="36" t="s">
        <v>6</v>
      </c>
      <c r="G6" s="36" t="s">
        <v>7</v>
      </c>
      <c r="H6" s="37" t="s">
        <v>8</v>
      </c>
      <c r="I6" s="38"/>
      <c r="J6" s="39" t="s">
        <v>9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</row>
    <row r="7" spans="2:45" s="8" customFormat="1" x14ac:dyDescent="0.25">
      <c r="B7" s="21" t="s">
        <v>10</v>
      </c>
      <c r="C7" s="26" t="s">
        <v>31</v>
      </c>
      <c r="D7" s="13" t="s">
        <v>32</v>
      </c>
      <c r="E7" s="13" t="s">
        <v>32</v>
      </c>
      <c r="F7" s="13" t="s">
        <v>32</v>
      </c>
      <c r="G7" s="13"/>
      <c r="H7" s="13" t="s">
        <v>32</v>
      </c>
      <c r="I7" s="10"/>
      <c r="J7" s="11" t="s">
        <v>32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</row>
    <row r="8" spans="2:45" s="7" customFormat="1" x14ac:dyDescent="0.25">
      <c r="B8" s="22"/>
      <c r="C8" s="112"/>
      <c r="D8" s="113"/>
      <c r="E8" s="113"/>
      <c r="F8" s="113"/>
      <c r="G8" s="113"/>
      <c r="H8" s="113"/>
      <c r="I8" s="31">
        <v>450000</v>
      </c>
      <c r="J8" s="88">
        <f>SUM(D8:H8)</f>
        <v>0</v>
      </c>
    </row>
    <row r="9" spans="2:45" s="7" customFormat="1" x14ac:dyDescent="0.25">
      <c r="B9" s="22"/>
      <c r="C9" s="64"/>
      <c r="D9" s="63"/>
      <c r="E9" s="63"/>
      <c r="F9" s="63"/>
      <c r="G9" s="63"/>
      <c r="H9" s="63"/>
      <c r="I9" s="10"/>
      <c r="J9" s="88">
        <f>SUM(D9:H9)</f>
        <v>0</v>
      </c>
    </row>
    <row r="10" spans="2:45" s="7" customFormat="1" x14ac:dyDescent="0.25">
      <c r="B10" s="22"/>
      <c r="C10" s="12" t="s">
        <v>11</v>
      </c>
      <c r="D10" s="69">
        <f t="shared" ref="D10:J10" si="0">SUM(D8:D9)</f>
        <v>0</v>
      </c>
      <c r="E10" s="69">
        <f t="shared" si="0"/>
        <v>0</v>
      </c>
      <c r="F10" s="69">
        <f t="shared" si="0"/>
        <v>0</v>
      </c>
      <c r="G10" s="69">
        <f t="shared" si="0"/>
        <v>0</v>
      </c>
      <c r="H10" s="69">
        <f t="shared" si="0"/>
        <v>0</v>
      </c>
      <c r="I10" s="66">
        <f t="shared" si="0"/>
        <v>450000</v>
      </c>
      <c r="J10" s="69">
        <f t="shared" si="0"/>
        <v>0</v>
      </c>
    </row>
    <row r="11" spans="2:45" s="7" customFormat="1" x14ac:dyDescent="0.25">
      <c r="B11" s="22"/>
      <c r="C11" s="16" t="s">
        <v>33</v>
      </c>
      <c r="D11" s="15" t="s">
        <v>32</v>
      </c>
      <c r="E11" s="13"/>
      <c r="F11" s="13"/>
      <c r="G11" s="13"/>
      <c r="H11" s="13"/>
      <c r="I11" s="10"/>
      <c r="J11" s="11" t="s">
        <v>32</v>
      </c>
    </row>
    <row r="12" spans="2:45" s="7" customFormat="1" x14ac:dyDescent="0.25">
      <c r="B12" s="22"/>
      <c r="C12" s="25"/>
      <c r="D12" s="113"/>
      <c r="E12" s="113"/>
      <c r="F12" s="113"/>
      <c r="G12" s="113"/>
      <c r="H12" s="113"/>
      <c r="I12" s="10"/>
      <c r="J12" s="88">
        <f>SUM(D12:H12)</f>
        <v>0</v>
      </c>
    </row>
    <row r="13" spans="2:45" s="7" customFormat="1" x14ac:dyDescent="0.25">
      <c r="B13" s="22"/>
      <c r="C13" s="13"/>
      <c r="D13" s="17"/>
      <c r="E13" s="14"/>
      <c r="F13" s="14"/>
      <c r="G13" s="14"/>
      <c r="H13" s="14"/>
      <c r="I13" s="10"/>
      <c r="J13" s="88">
        <f t="shared" ref="J13" si="1">SUM(D13:H13)</f>
        <v>0</v>
      </c>
    </row>
    <row r="14" spans="2:45" s="7" customFormat="1" x14ac:dyDescent="0.25">
      <c r="B14" s="22"/>
      <c r="C14" s="12" t="s">
        <v>12</v>
      </c>
      <c r="D14" s="69">
        <f t="shared" ref="D14:J14" si="2">SUM(D12:D13)</f>
        <v>0</v>
      </c>
      <c r="E14" s="69">
        <f t="shared" si="2"/>
        <v>0</v>
      </c>
      <c r="F14" s="69">
        <f t="shared" si="2"/>
        <v>0</v>
      </c>
      <c r="G14" s="69">
        <f t="shared" si="2"/>
        <v>0</v>
      </c>
      <c r="H14" s="69">
        <f t="shared" si="2"/>
        <v>0</v>
      </c>
      <c r="I14" s="66">
        <f t="shared" si="2"/>
        <v>0</v>
      </c>
      <c r="J14" s="69">
        <f t="shared" si="2"/>
        <v>0</v>
      </c>
    </row>
    <row r="15" spans="2:45" s="7" customFormat="1" x14ac:dyDescent="0.25">
      <c r="B15" s="22"/>
      <c r="C15" s="16" t="s">
        <v>34</v>
      </c>
      <c r="D15" s="15" t="s">
        <v>32</v>
      </c>
      <c r="E15" s="13"/>
      <c r="F15" s="13"/>
      <c r="G15" s="13"/>
      <c r="H15" s="13"/>
      <c r="I15" s="10"/>
      <c r="J15" s="11" t="s">
        <v>32</v>
      </c>
    </row>
    <row r="16" spans="2:45" s="7" customFormat="1" x14ac:dyDescent="0.25">
      <c r="B16" s="22"/>
      <c r="C16" s="82"/>
      <c r="D16" s="75"/>
      <c r="E16" s="83"/>
      <c r="F16" s="83"/>
      <c r="G16" s="83"/>
      <c r="H16" s="83"/>
      <c r="I16" s="10"/>
      <c r="J16" s="88">
        <f t="shared" ref="J16" si="3">SUM(D16:H16)</f>
        <v>0</v>
      </c>
    </row>
    <row r="17" spans="2:12" s="7" customFormat="1" x14ac:dyDescent="0.25">
      <c r="B17" s="22"/>
      <c r="C17" s="25"/>
      <c r="D17" s="17"/>
      <c r="E17" s="17"/>
      <c r="F17" s="17"/>
      <c r="G17" s="17"/>
      <c r="H17" s="17"/>
      <c r="I17" s="31">
        <v>1638</v>
      </c>
      <c r="J17" s="88">
        <f t="shared" ref="J17" si="4">SUM(D17:H17)</f>
        <v>0</v>
      </c>
    </row>
    <row r="18" spans="2:12" s="7" customFormat="1" x14ac:dyDescent="0.25">
      <c r="B18" s="22"/>
      <c r="C18" s="12" t="s">
        <v>13</v>
      </c>
      <c r="D18" s="69">
        <f>SUM(D16:D17)</f>
        <v>0</v>
      </c>
      <c r="E18" s="69">
        <f>SUM(E16:E17)</f>
        <v>0</v>
      </c>
      <c r="F18" s="69">
        <f>SUM(F16:F17)</f>
        <v>0</v>
      </c>
      <c r="G18" s="69">
        <f>SUM(G16:G17)</f>
        <v>0</v>
      </c>
      <c r="H18" s="69">
        <f>SUM(H16:H17)</f>
        <v>0</v>
      </c>
      <c r="I18" s="66"/>
      <c r="J18" s="69">
        <f>SUM(D18:H18)</f>
        <v>0</v>
      </c>
    </row>
    <row r="19" spans="2:12" s="7" customFormat="1" x14ac:dyDescent="0.25">
      <c r="B19" s="22"/>
      <c r="C19" s="16" t="s">
        <v>35</v>
      </c>
      <c r="D19" s="17"/>
      <c r="E19" s="13"/>
      <c r="F19" s="13"/>
      <c r="G19" s="13"/>
      <c r="H19" s="13"/>
      <c r="I19" s="10"/>
      <c r="J19" s="17" t="s">
        <v>19</v>
      </c>
    </row>
    <row r="20" spans="2:12" s="7" customFormat="1" x14ac:dyDescent="0.25">
      <c r="B20" s="22"/>
      <c r="C20" s="64"/>
      <c r="D20" s="63"/>
      <c r="E20" s="63"/>
      <c r="F20" s="63"/>
      <c r="G20" s="63"/>
      <c r="H20" s="63"/>
      <c r="I20" s="10"/>
      <c r="J20" s="17">
        <f>SUM(D20:H20)</f>
        <v>0</v>
      </c>
    </row>
    <row r="21" spans="2:12" s="7" customFormat="1" x14ac:dyDescent="0.25">
      <c r="B21" s="22" t="s">
        <v>40</v>
      </c>
      <c r="C21" s="64"/>
      <c r="D21" s="63"/>
      <c r="E21" s="63"/>
      <c r="F21" s="63"/>
      <c r="G21" s="63"/>
      <c r="H21" s="63"/>
      <c r="I21" s="10"/>
      <c r="J21" s="17">
        <f t="shared" ref="J21:J38" si="5">SUM(D21:H21)</f>
        <v>0</v>
      </c>
    </row>
    <row r="22" spans="2:12" s="7" customFormat="1" x14ac:dyDescent="0.25">
      <c r="B22" s="22"/>
      <c r="C22" s="12" t="s">
        <v>41</v>
      </c>
      <c r="D22" s="71">
        <f>SUM(D20:D21)</f>
        <v>0</v>
      </c>
      <c r="E22" s="71">
        <f t="shared" ref="E22:H22" si="6">SUM(E20:E21)</f>
        <v>0</v>
      </c>
      <c r="F22" s="71">
        <f t="shared" si="6"/>
        <v>0</v>
      </c>
      <c r="G22" s="71">
        <f t="shared" si="6"/>
        <v>0</v>
      </c>
      <c r="H22" s="71">
        <f t="shared" si="6"/>
        <v>0</v>
      </c>
      <c r="I22" s="66"/>
      <c r="J22" s="69">
        <f t="shared" si="5"/>
        <v>0</v>
      </c>
    </row>
    <row r="23" spans="2:12" s="7" customFormat="1" x14ac:dyDescent="0.25">
      <c r="B23" s="22"/>
      <c r="C23" s="16" t="s">
        <v>36</v>
      </c>
      <c r="D23" s="15" t="s">
        <v>32</v>
      </c>
      <c r="E23" s="13"/>
      <c r="F23" s="13"/>
      <c r="G23" s="13"/>
      <c r="H23" s="13"/>
      <c r="I23" s="10"/>
      <c r="J23" s="17"/>
    </row>
    <row r="24" spans="2:12" s="7" customFormat="1" x14ac:dyDescent="0.25">
      <c r="B24" s="22"/>
      <c r="C24" s="64"/>
      <c r="D24" s="63"/>
      <c r="E24" s="63"/>
      <c r="F24" s="63"/>
      <c r="G24" s="63"/>
      <c r="H24" s="63"/>
      <c r="I24" s="31">
        <v>5000</v>
      </c>
      <c r="J24" s="88">
        <f t="shared" si="5"/>
        <v>0</v>
      </c>
    </row>
    <row r="25" spans="2:12" s="7" customFormat="1" x14ac:dyDescent="0.25">
      <c r="B25" s="22"/>
      <c r="C25" s="64"/>
      <c r="D25" s="63"/>
      <c r="E25" s="63"/>
      <c r="F25" s="63"/>
      <c r="G25" s="63"/>
      <c r="H25" s="63"/>
      <c r="I25" s="10"/>
      <c r="J25" s="88">
        <f t="shared" si="5"/>
        <v>0</v>
      </c>
    </row>
    <row r="26" spans="2:12" s="7" customFormat="1" x14ac:dyDescent="0.25">
      <c r="B26" s="22"/>
      <c r="C26" s="12" t="s">
        <v>15</v>
      </c>
      <c r="D26" s="69">
        <f>SUM(D24:D25)</f>
        <v>0</v>
      </c>
      <c r="E26" s="69">
        <f t="shared" ref="E26:H26" si="7">SUM(E24:E25)</f>
        <v>0</v>
      </c>
      <c r="F26" s="69">
        <f t="shared" si="7"/>
        <v>0</v>
      </c>
      <c r="G26" s="69">
        <f t="shared" si="7"/>
        <v>0</v>
      </c>
      <c r="H26" s="69">
        <f t="shared" si="7"/>
        <v>0</v>
      </c>
      <c r="I26" s="66"/>
      <c r="J26" s="69">
        <f t="shared" si="5"/>
        <v>0</v>
      </c>
    </row>
    <row r="27" spans="2:12" s="7" customFormat="1" x14ac:dyDescent="0.25">
      <c r="B27" s="22"/>
      <c r="C27" s="16" t="s">
        <v>37</v>
      </c>
      <c r="D27" s="15" t="s">
        <v>32</v>
      </c>
      <c r="E27" s="13"/>
      <c r="F27" s="13"/>
      <c r="G27" s="13"/>
      <c r="H27" s="13"/>
      <c r="I27" s="10"/>
      <c r="J27" s="17"/>
    </row>
    <row r="28" spans="2:12" s="7" customFormat="1" x14ac:dyDescent="0.25">
      <c r="B28" s="22"/>
      <c r="C28" s="64"/>
      <c r="D28" s="63"/>
      <c r="E28" s="63"/>
      <c r="F28" s="63"/>
      <c r="G28" s="63"/>
      <c r="H28" s="63"/>
      <c r="I28" s="31">
        <v>5106000</v>
      </c>
      <c r="J28" s="88">
        <f t="shared" si="5"/>
        <v>0</v>
      </c>
    </row>
    <row r="29" spans="2:12" s="7" customFormat="1" x14ac:dyDescent="0.25">
      <c r="B29" s="22"/>
      <c r="C29" s="25"/>
      <c r="D29" s="17"/>
      <c r="E29" s="14"/>
      <c r="F29" s="14"/>
      <c r="G29" s="14"/>
      <c r="H29" s="14"/>
      <c r="I29" s="10"/>
      <c r="J29" s="88">
        <f t="shared" si="5"/>
        <v>0</v>
      </c>
    </row>
    <row r="30" spans="2:12" s="7" customFormat="1" x14ac:dyDescent="0.25">
      <c r="B30" s="22"/>
      <c r="C30" s="12" t="s">
        <v>16</v>
      </c>
      <c r="D30" s="69">
        <f>SUM(D28:D29)</f>
        <v>0</v>
      </c>
      <c r="E30" s="69">
        <f>SUM(E28:E29)</f>
        <v>0</v>
      </c>
      <c r="F30" s="69">
        <f>SUM(F28:F29)</f>
        <v>0</v>
      </c>
      <c r="G30" s="69">
        <f>SUM(G28:G29)</f>
        <v>0</v>
      </c>
      <c r="H30" s="69">
        <f>SUM(H28:H29)</f>
        <v>0</v>
      </c>
      <c r="I30" s="66"/>
      <c r="J30" s="69">
        <f t="shared" si="5"/>
        <v>0</v>
      </c>
    </row>
    <row r="31" spans="2:12" s="7" customFormat="1" x14ac:dyDescent="0.25">
      <c r="B31" s="22"/>
      <c r="C31" s="16" t="s">
        <v>38</v>
      </c>
      <c r="D31" s="15" t="s">
        <v>32</v>
      </c>
      <c r="E31" s="13"/>
      <c r="F31" s="13"/>
      <c r="G31" s="13"/>
      <c r="H31" s="13"/>
      <c r="I31" s="10"/>
      <c r="J31" s="17"/>
    </row>
    <row r="32" spans="2:12" s="128" customFormat="1" x14ac:dyDescent="0.25">
      <c r="B32" s="78"/>
      <c r="C32" s="156" t="s">
        <v>56</v>
      </c>
      <c r="D32" s="208">
        <f>SUM(D33:D36)</f>
        <v>4133664.03053106</v>
      </c>
      <c r="E32" s="208">
        <f t="shared" ref="E32:H32" si="8">SUM(E33:E36)</f>
        <v>4144142.6768457564</v>
      </c>
      <c r="F32" s="208">
        <f t="shared" si="8"/>
        <v>3900933.185468832</v>
      </c>
      <c r="G32" s="208">
        <f t="shared" si="8"/>
        <v>3907309.9031194001</v>
      </c>
      <c r="H32" s="208">
        <f t="shared" si="8"/>
        <v>3913950.4351017848</v>
      </c>
      <c r="I32" s="209"/>
      <c r="J32" s="208">
        <f t="shared" si="5"/>
        <v>20000000.231066834</v>
      </c>
      <c r="L32" s="170"/>
    </row>
    <row r="33" spans="2:13" s="7" customFormat="1" ht="45" x14ac:dyDescent="0.25">
      <c r="B33" s="22"/>
      <c r="C33" s="164" t="s">
        <v>98</v>
      </c>
      <c r="D33" s="172">
        <v>90849</v>
      </c>
      <c r="E33" s="172">
        <f>94002*1.03</f>
        <v>96822.06</v>
      </c>
      <c r="F33" s="172">
        <f>97760*1.03</f>
        <v>100692.8</v>
      </c>
      <c r="G33" s="172">
        <f>101289*1.03</f>
        <v>104327.67</v>
      </c>
      <c r="H33" s="172">
        <f>104964*1.03</f>
        <v>108112.92</v>
      </c>
      <c r="I33" s="166"/>
      <c r="J33" s="173">
        <f t="shared" si="5"/>
        <v>500804.44999999995</v>
      </c>
    </row>
    <row r="34" spans="2:13" s="7" customFormat="1" x14ac:dyDescent="0.25">
      <c r="B34" s="22"/>
      <c r="C34" s="164" t="s">
        <v>81</v>
      </c>
      <c r="D34" s="172">
        <f>D33*0.4279</f>
        <v>38874.287100000001</v>
      </c>
      <c r="E34" s="172">
        <f t="shared" ref="E34:H34" si="9">E33*0.4279</f>
        <v>41430.159474</v>
      </c>
      <c r="F34" s="172">
        <f t="shared" si="9"/>
        <v>43086.449120000005</v>
      </c>
      <c r="G34" s="172">
        <f t="shared" si="9"/>
        <v>44641.809993000003</v>
      </c>
      <c r="H34" s="172">
        <f t="shared" si="9"/>
        <v>46261.518468000002</v>
      </c>
      <c r="I34" s="166"/>
      <c r="J34" s="173">
        <f t="shared" si="5"/>
        <v>214294.224155</v>
      </c>
    </row>
    <row r="35" spans="2:13" s="7" customFormat="1" ht="75" x14ac:dyDescent="0.25">
      <c r="B35" s="22"/>
      <c r="C35" s="167" t="s">
        <v>82</v>
      </c>
      <c r="D35" s="172">
        <v>3974286</v>
      </c>
      <c r="E35" s="172">
        <v>3974286</v>
      </c>
      <c r="F35" s="172">
        <v>3724286</v>
      </c>
      <c r="G35" s="172">
        <v>3724286</v>
      </c>
      <c r="H35" s="172">
        <v>3724286</v>
      </c>
      <c r="I35" s="174">
        <v>375000</v>
      </c>
      <c r="J35" s="173">
        <f t="shared" si="5"/>
        <v>19121430</v>
      </c>
      <c r="L35" s="181"/>
      <c r="M35" s="114"/>
    </row>
    <row r="36" spans="2:13" s="7" customFormat="1" x14ac:dyDescent="0.25">
      <c r="B36" s="22"/>
      <c r="C36" s="164" t="s">
        <v>53</v>
      </c>
      <c r="D36" s="172">
        <f>(D33+D34)*0.2286</f>
        <v>29654.74343106</v>
      </c>
      <c r="E36" s="172">
        <f>(E33+E34)*0.2286</f>
        <v>31604.457371756394</v>
      </c>
      <c r="F36" s="172">
        <f>(F33+F34)*0.2286</f>
        <v>32867.936348832001</v>
      </c>
      <c r="G36" s="172">
        <f>(G33+G34)*0.2286</f>
        <v>34054.423126399794</v>
      </c>
      <c r="H36" s="172">
        <f>(H33+H34)*0.2286</f>
        <v>35289.996633784802</v>
      </c>
      <c r="I36" s="166"/>
      <c r="J36" s="173">
        <f>SUM(D36:H36)</f>
        <v>163471.556911833</v>
      </c>
    </row>
    <row r="37" spans="2:13" s="7" customFormat="1" ht="30" x14ac:dyDescent="0.25">
      <c r="B37" s="22"/>
      <c r="C37" s="180" t="s">
        <v>55</v>
      </c>
      <c r="D37" s="88"/>
      <c r="E37" s="55"/>
      <c r="F37" s="55"/>
      <c r="G37" s="55"/>
      <c r="H37" s="55"/>
      <c r="I37" s="89"/>
      <c r="J37" s="88">
        <f t="shared" si="5"/>
        <v>0</v>
      </c>
    </row>
    <row r="38" spans="2:13" s="7" customFormat="1" x14ac:dyDescent="0.25">
      <c r="B38" s="24"/>
      <c r="C38" s="12" t="s">
        <v>17</v>
      </c>
      <c r="D38" s="69">
        <f>D32</f>
        <v>4133664.03053106</v>
      </c>
      <c r="E38" s="69">
        <f t="shared" ref="E38:H38" si="10">E32</f>
        <v>4144142.6768457564</v>
      </c>
      <c r="F38" s="69">
        <f t="shared" si="10"/>
        <v>3900933.185468832</v>
      </c>
      <c r="G38" s="69">
        <f t="shared" si="10"/>
        <v>3907309.9031194001</v>
      </c>
      <c r="H38" s="69">
        <f t="shared" si="10"/>
        <v>3913950.4351017848</v>
      </c>
      <c r="I38" s="66"/>
      <c r="J38" s="69">
        <f t="shared" si="5"/>
        <v>20000000.231066834</v>
      </c>
      <c r="M38" s="114"/>
    </row>
    <row r="39" spans="2:13" s="7" customFormat="1" x14ac:dyDescent="0.25">
      <c r="B39" s="24"/>
      <c r="C39" s="12" t="s">
        <v>18</v>
      </c>
      <c r="D39" s="69">
        <f>SUM(D38,D30,D26,D22,D18,D14,D10)</f>
        <v>4133664.03053106</v>
      </c>
      <c r="E39" s="69">
        <f>SUM(E38,E30,E26,E22,E18,E14,E10)</f>
        <v>4144142.6768457564</v>
      </c>
      <c r="F39" s="69">
        <f>SUM(F38,F30,F26,F22,F18,F14,F10)</f>
        <v>3900933.185468832</v>
      </c>
      <c r="G39" s="69">
        <f>SUM(G38,G30,G26,G22,G18,G14,G10)</f>
        <v>3907309.9031194001</v>
      </c>
      <c r="H39" s="69">
        <f>SUM(H38,H30,H26,H22,H18,H14,H10)</f>
        <v>3913950.4351017848</v>
      </c>
      <c r="I39" s="66"/>
      <c r="J39" s="69">
        <f>SUM(D39:H39)</f>
        <v>20000000.231066834</v>
      </c>
    </row>
    <row r="40" spans="2:13" s="7" customFormat="1" x14ac:dyDescent="0.25">
      <c r="B40" s="23"/>
      <c r="J40" s="7" t="s">
        <v>19</v>
      </c>
    </row>
    <row r="41" spans="2:13" s="7" customFormat="1" ht="30" x14ac:dyDescent="0.25">
      <c r="B41" s="62" t="s">
        <v>39</v>
      </c>
      <c r="C41" s="18" t="s">
        <v>39</v>
      </c>
      <c r="D41" s="19"/>
      <c r="E41" s="19"/>
      <c r="F41" s="19"/>
      <c r="G41" s="19"/>
      <c r="H41" s="19"/>
      <c r="J41" s="19" t="s">
        <v>19</v>
      </c>
    </row>
    <row r="42" spans="2:13" s="7" customFormat="1" x14ac:dyDescent="0.25">
      <c r="B42" s="22"/>
      <c r="C42" s="117"/>
      <c r="D42" s="63"/>
      <c r="E42" s="63"/>
      <c r="F42" s="63"/>
      <c r="G42" s="63"/>
      <c r="H42" s="63"/>
      <c r="I42" s="10"/>
      <c r="J42" s="88">
        <f>SUM(D42:H42)</f>
        <v>0</v>
      </c>
    </row>
    <row r="43" spans="2:13" s="7" customFormat="1" x14ac:dyDescent="0.25">
      <c r="B43" s="22"/>
      <c r="C43" s="25"/>
      <c r="D43" s="15"/>
      <c r="E43" s="13"/>
      <c r="F43" s="13"/>
      <c r="G43" s="13"/>
      <c r="H43" s="13"/>
      <c r="I43" s="10"/>
      <c r="J43" s="88">
        <f t="shared" ref="J43:J44" si="11">SUM(D43:H43)</f>
        <v>0</v>
      </c>
    </row>
    <row r="44" spans="2:13" s="7" customFormat="1" x14ac:dyDescent="0.25">
      <c r="B44" s="24"/>
      <c r="C44" s="12" t="s">
        <v>20</v>
      </c>
      <c r="D44" s="69">
        <f>SUM(D42:D43)</f>
        <v>0</v>
      </c>
      <c r="E44" s="69">
        <f t="shared" ref="E44:H44" si="12">SUM(E42:E43)</f>
        <v>0</v>
      </c>
      <c r="F44" s="69">
        <f t="shared" si="12"/>
        <v>0</v>
      </c>
      <c r="G44" s="69">
        <f t="shared" si="12"/>
        <v>0</v>
      </c>
      <c r="H44" s="69">
        <f t="shared" si="12"/>
        <v>0</v>
      </c>
      <c r="I44" s="66"/>
      <c r="J44" s="69">
        <f t="shared" si="11"/>
        <v>0</v>
      </c>
    </row>
    <row r="45" spans="2:13" s="7" customFormat="1" ht="15.75" thickBot="1" x14ac:dyDescent="0.3">
      <c r="B45" s="23"/>
      <c r="J45" s="7" t="s">
        <v>19</v>
      </c>
    </row>
    <row r="46" spans="2:13" s="4" customFormat="1" ht="30.75" thickBot="1" x14ac:dyDescent="0.3">
      <c r="B46" s="20" t="s">
        <v>21</v>
      </c>
      <c r="C46" s="20"/>
      <c r="D46" s="74">
        <f>SUM(D44,D39)</f>
        <v>4133664.03053106</v>
      </c>
      <c r="E46" s="74">
        <f t="shared" ref="E46:J46" si="13">SUM(E44,E39)</f>
        <v>4144142.6768457564</v>
      </c>
      <c r="F46" s="74">
        <f t="shared" si="13"/>
        <v>3900933.185468832</v>
      </c>
      <c r="G46" s="74">
        <f t="shared" si="13"/>
        <v>3907309.9031194001</v>
      </c>
      <c r="H46" s="74">
        <f t="shared" si="13"/>
        <v>3913950.4351017848</v>
      </c>
      <c r="I46" s="66">
        <f>SUM(I44,I39)</f>
        <v>0</v>
      </c>
      <c r="J46" s="74">
        <f t="shared" si="13"/>
        <v>20000000.231066834</v>
      </c>
      <c r="K46" s="128"/>
    </row>
    <row r="47" spans="2:13" x14ac:dyDescent="0.25">
      <c r="B47" s="9"/>
      <c r="J47" s="7"/>
      <c r="K47" s="7"/>
    </row>
    <row r="48" spans="2:13" x14ac:dyDescent="0.25">
      <c r="B48" s="9"/>
    </row>
    <row r="49" spans="2:2" x14ac:dyDescent="0.25">
      <c r="B49" s="9"/>
    </row>
    <row r="50" spans="2:2" x14ac:dyDescent="0.25">
      <c r="B50" s="9"/>
    </row>
    <row r="51" spans="2:2" x14ac:dyDescent="0.25">
      <c r="B51" s="9"/>
    </row>
    <row r="52" spans="2:2" x14ac:dyDescent="0.25">
      <c r="B52" s="9"/>
    </row>
    <row r="53" spans="2:2" x14ac:dyDescent="0.25">
      <c r="B53" s="9"/>
    </row>
    <row r="54" spans="2:2" x14ac:dyDescent="0.25">
      <c r="B54" s="9"/>
    </row>
    <row r="55" spans="2:2" x14ac:dyDescent="0.25">
      <c r="B55" s="9"/>
    </row>
    <row r="56" spans="2:2" x14ac:dyDescent="0.25">
      <c r="B56" s="9"/>
    </row>
    <row r="57" spans="2:2" x14ac:dyDescent="0.25">
      <c r="B57" s="9"/>
    </row>
    <row r="58" spans="2:2" x14ac:dyDescent="0.25">
      <c r="B58" s="9"/>
    </row>
  </sheetData>
  <pageMargins left="0.7" right="0.7" top="0.75" bottom="0.75" header="0.3" footer="0.3"/>
  <pageSetup scale="86" fitToHeight="0" orientation="landscape" r:id="rId1"/>
  <ignoredErrors>
    <ignoredError sqref="J35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X66"/>
  <sheetViews>
    <sheetView showGridLines="0" topLeftCell="A7" zoomScale="85" zoomScaleNormal="85" workbookViewId="0">
      <selection activeCell="C38" sqref="C38"/>
    </sheetView>
  </sheetViews>
  <sheetFormatPr defaultColWidth="9.28515625" defaultRowHeight="15" x14ac:dyDescent="0.25"/>
  <cols>
    <col min="1" max="1" width="3.28515625" style="6" customWidth="1"/>
    <col min="2" max="2" width="10.28515625" style="6" customWidth="1"/>
    <col min="3" max="3" width="51.28515625" style="6" customWidth="1"/>
    <col min="4" max="4" width="12.42578125" style="9" customWidth="1"/>
    <col min="5" max="5" width="12.5703125" style="3" customWidth="1"/>
    <col min="6" max="6" width="15" style="6" customWidth="1"/>
    <col min="7" max="7" width="13" style="6" customWidth="1"/>
    <col min="8" max="8" width="14.42578125" style="3" customWidth="1"/>
    <col min="9" max="9" width="1.7109375" style="10" customWidth="1"/>
    <col min="10" max="10" width="12.7109375" style="192" customWidth="1"/>
    <col min="11" max="11" width="3" style="6" customWidth="1"/>
    <col min="12" max="12" width="9.28515625" style="6"/>
    <col min="13" max="13" width="11.5703125" style="6" bestFit="1" customWidth="1"/>
    <col min="14" max="14" width="10" style="6" bestFit="1" customWidth="1"/>
    <col min="15" max="16384" width="9.28515625" style="6"/>
  </cols>
  <sheetData>
    <row r="2" spans="2:50" ht="23.25" x14ac:dyDescent="0.35">
      <c r="B2" s="29" t="s">
        <v>29</v>
      </c>
    </row>
    <row r="3" spans="2:50" x14ac:dyDescent="0.25">
      <c r="B3" s="5"/>
    </row>
    <row r="4" spans="2:50" x14ac:dyDescent="0.25">
      <c r="B4" s="5"/>
    </row>
    <row r="5" spans="2:50" ht="18.75" x14ac:dyDescent="0.3">
      <c r="B5" s="32" t="s">
        <v>1</v>
      </c>
      <c r="C5" s="33"/>
      <c r="D5" s="33"/>
      <c r="E5" s="33"/>
      <c r="F5" s="33"/>
      <c r="G5" s="33"/>
      <c r="H5" s="33"/>
      <c r="I5" s="33"/>
      <c r="J5" s="193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30" x14ac:dyDescent="0.25">
      <c r="B6" s="35" t="s">
        <v>2</v>
      </c>
      <c r="C6" s="35" t="s">
        <v>3</v>
      </c>
      <c r="D6" s="35" t="s">
        <v>4</v>
      </c>
      <c r="E6" s="36" t="s">
        <v>5</v>
      </c>
      <c r="F6" s="36" t="s">
        <v>6</v>
      </c>
      <c r="G6" s="36" t="s">
        <v>7</v>
      </c>
      <c r="H6" s="37" t="s">
        <v>8</v>
      </c>
      <c r="I6" s="38"/>
      <c r="J6" s="194" t="s">
        <v>9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8" customFormat="1" ht="30" x14ac:dyDescent="0.25">
      <c r="B7" s="62" t="s">
        <v>10</v>
      </c>
      <c r="C7" s="26" t="s">
        <v>31</v>
      </c>
      <c r="D7" s="65" t="s">
        <v>32</v>
      </c>
      <c r="E7" s="65" t="s">
        <v>32</v>
      </c>
      <c r="F7" s="65" t="s">
        <v>32</v>
      </c>
      <c r="G7" s="65"/>
      <c r="H7" s="65" t="s">
        <v>32</v>
      </c>
      <c r="I7" s="66"/>
      <c r="J7" s="195" t="s">
        <v>32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</row>
    <row r="8" spans="2:50" s="8" customFormat="1" ht="45" x14ac:dyDescent="0.25">
      <c r="B8" s="111"/>
      <c r="C8" s="183" t="s">
        <v>99</v>
      </c>
      <c r="D8" s="185">
        <v>87550</v>
      </c>
      <c r="E8" s="185">
        <f>90849*1.03</f>
        <v>93574.47</v>
      </c>
      <c r="F8" s="185">
        <f>94002*1.03</f>
        <v>96822.06</v>
      </c>
      <c r="G8" s="185">
        <f>97760*1.03</f>
        <v>100692.8</v>
      </c>
      <c r="H8" s="185">
        <f>101289*1.03</f>
        <v>104327.67</v>
      </c>
      <c r="I8" s="186"/>
      <c r="J8" s="199">
        <f t="shared" ref="J8:J9" si="0">SUM(D8:H8)</f>
        <v>482967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</row>
    <row r="9" spans="2:50" s="8" customFormat="1" x14ac:dyDescent="0.25">
      <c r="B9" s="111"/>
      <c r="C9" s="183" t="s">
        <v>86</v>
      </c>
      <c r="D9" s="185">
        <f>68298*1.5</f>
        <v>102447</v>
      </c>
      <c r="E9" s="185">
        <f>70783*1.03*1.5</f>
        <v>109359.73500000002</v>
      </c>
      <c r="F9" s="185">
        <f>73351*1.03*1.5</f>
        <v>113327.295</v>
      </c>
      <c r="G9" s="185">
        <f>75878*1.03*1.5</f>
        <v>117231.51</v>
      </c>
      <c r="H9" s="185">
        <f>78613*1.03*1.5</f>
        <v>121457.08499999999</v>
      </c>
      <c r="I9" s="186"/>
      <c r="J9" s="199">
        <f t="shared" si="0"/>
        <v>563822.625</v>
      </c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</row>
    <row r="10" spans="2:50" s="7" customFormat="1" x14ac:dyDescent="0.25">
      <c r="B10" s="22"/>
      <c r="C10" s="183" t="s">
        <v>87</v>
      </c>
      <c r="D10" s="185">
        <v>84815</v>
      </c>
      <c r="E10" s="185">
        <f>88134*1.03</f>
        <v>90778.02</v>
      </c>
      <c r="F10" s="185">
        <f>91580</f>
        <v>91580</v>
      </c>
      <c r="G10" s="185">
        <f>95192*1.03</f>
        <v>98047.760000000009</v>
      </c>
      <c r="H10" s="185">
        <f>98950*1.03</f>
        <v>101918.5</v>
      </c>
      <c r="I10" s="186"/>
      <c r="J10" s="199">
        <f>SUM(D10:H10)</f>
        <v>467139.28</v>
      </c>
    </row>
    <row r="11" spans="2:50" s="7" customFormat="1" x14ac:dyDescent="0.25">
      <c r="B11" s="22"/>
      <c r="C11" s="85"/>
      <c r="D11" s="86"/>
      <c r="E11" s="86"/>
      <c r="F11" s="86"/>
      <c r="G11" s="86"/>
      <c r="H11" s="86"/>
      <c r="I11" s="89"/>
      <c r="J11" s="196">
        <f>SUM(D11:H11)</f>
        <v>0</v>
      </c>
    </row>
    <row r="12" spans="2:50" s="7" customFormat="1" x14ac:dyDescent="0.25">
      <c r="B12" s="22"/>
      <c r="C12" s="12" t="s">
        <v>11</v>
      </c>
      <c r="D12" s="69">
        <f>SUM(D8:D11)</f>
        <v>274812</v>
      </c>
      <c r="E12" s="69">
        <f t="shared" ref="E12:H12" si="1">SUM(E8:E11)</f>
        <v>293712.22500000003</v>
      </c>
      <c r="F12" s="69">
        <f t="shared" si="1"/>
        <v>301729.35499999998</v>
      </c>
      <c r="G12" s="69">
        <f t="shared" si="1"/>
        <v>315972.07</v>
      </c>
      <c r="H12" s="69">
        <f t="shared" si="1"/>
        <v>327703.255</v>
      </c>
      <c r="I12" s="66"/>
      <c r="J12" s="197">
        <f>SUM(J8:J11)</f>
        <v>1513928.905</v>
      </c>
    </row>
    <row r="13" spans="2:50" s="7" customFormat="1" x14ac:dyDescent="0.25">
      <c r="B13" s="22"/>
      <c r="C13" s="16" t="s">
        <v>33</v>
      </c>
      <c r="D13" s="70" t="s">
        <v>32</v>
      </c>
      <c r="E13" s="65"/>
      <c r="F13" s="65"/>
      <c r="G13" s="65"/>
      <c r="H13" s="65"/>
      <c r="I13" s="66"/>
      <c r="J13" s="195" t="s">
        <v>32</v>
      </c>
    </row>
    <row r="14" spans="2:50" s="7" customFormat="1" x14ac:dyDescent="0.25">
      <c r="B14" s="22"/>
      <c r="C14" s="212" t="s">
        <v>83</v>
      </c>
      <c r="D14" s="185">
        <f>D8*0.34</f>
        <v>29767.000000000004</v>
      </c>
      <c r="E14" s="185">
        <f t="shared" ref="E14:H14" si="2">E8*0.34</f>
        <v>31815.319800000001</v>
      </c>
      <c r="F14" s="185">
        <f t="shared" si="2"/>
        <v>32919.500400000004</v>
      </c>
      <c r="G14" s="185">
        <f t="shared" si="2"/>
        <v>34235.552000000003</v>
      </c>
      <c r="H14" s="185">
        <f t="shared" si="2"/>
        <v>35471.407800000001</v>
      </c>
      <c r="I14" s="186"/>
      <c r="J14" s="199">
        <f t="shared" ref="J14:J16" si="3">SUM(D14:H14)</f>
        <v>164208.78000000003</v>
      </c>
    </row>
    <row r="15" spans="2:50" s="7" customFormat="1" x14ac:dyDescent="0.25">
      <c r="B15" s="22"/>
      <c r="C15" s="212" t="s">
        <v>84</v>
      </c>
      <c r="D15" s="185">
        <f t="shared" ref="D15:H15" si="4">D9*0.34</f>
        <v>34831.980000000003</v>
      </c>
      <c r="E15" s="185">
        <f t="shared" si="4"/>
        <v>37182.309900000007</v>
      </c>
      <c r="F15" s="185">
        <f t="shared" si="4"/>
        <v>38531.280300000006</v>
      </c>
      <c r="G15" s="185">
        <f t="shared" si="4"/>
        <v>39858.713400000001</v>
      </c>
      <c r="H15" s="185">
        <f t="shared" si="4"/>
        <v>41295.408900000002</v>
      </c>
      <c r="I15" s="186"/>
      <c r="J15" s="199">
        <f t="shared" si="3"/>
        <v>191699.69250000003</v>
      </c>
    </row>
    <row r="16" spans="2:50" s="7" customFormat="1" x14ac:dyDescent="0.25">
      <c r="B16" s="22"/>
      <c r="C16" s="212" t="s">
        <v>85</v>
      </c>
      <c r="D16" s="185">
        <f t="shared" ref="D16:H16" si="5">D10*0.34</f>
        <v>28837.100000000002</v>
      </c>
      <c r="E16" s="185">
        <f t="shared" si="5"/>
        <v>30864.526800000003</v>
      </c>
      <c r="F16" s="185">
        <f t="shared" si="5"/>
        <v>31137.200000000001</v>
      </c>
      <c r="G16" s="185">
        <f t="shared" si="5"/>
        <v>33336.238400000002</v>
      </c>
      <c r="H16" s="185">
        <f t="shared" si="5"/>
        <v>34652.29</v>
      </c>
      <c r="I16" s="186"/>
      <c r="J16" s="199">
        <f t="shared" si="3"/>
        <v>158827.35520000002</v>
      </c>
    </row>
    <row r="17" spans="2:18" s="7" customFormat="1" x14ac:dyDescent="0.25">
      <c r="B17" s="22"/>
      <c r="C17" s="12" t="s">
        <v>12</v>
      </c>
      <c r="D17" s="69">
        <f>SUM(D14:D16)</f>
        <v>93436.080000000016</v>
      </c>
      <c r="E17" s="69">
        <f t="shared" ref="E17:H17" si="6">SUM(E14:E16)</f>
        <v>99862.156500000012</v>
      </c>
      <c r="F17" s="69">
        <f t="shared" si="6"/>
        <v>102587.9807</v>
      </c>
      <c r="G17" s="69">
        <f t="shared" si="6"/>
        <v>107430.50380000001</v>
      </c>
      <c r="H17" s="69">
        <f t="shared" si="6"/>
        <v>111419.1067</v>
      </c>
      <c r="I17" s="66"/>
      <c r="J17" s="197">
        <f>SUM(J14:J16)</f>
        <v>514735.82770000002</v>
      </c>
    </row>
    <row r="18" spans="2:18" s="7" customFormat="1" x14ac:dyDescent="0.25">
      <c r="B18" s="22"/>
      <c r="C18" s="16" t="s">
        <v>34</v>
      </c>
      <c r="D18" s="70" t="s">
        <v>32</v>
      </c>
      <c r="E18" s="65"/>
      <c r="F18" s="65"/>
      <c r="G18" s="65"/>
      <c r="H18" s="65"/>
      <c r="I18" s="66"/>
      <c r="J18" s="195" t="s">
        <v>32</v>
      </c>
    </row>
    <row r="19" spans="2:18" s="7" customFormat="1" x14ac:dyDescent="0.25">
      <c r="B19" s="22"/>
      <c r="C19" s="212" t="s">
        <v>88</v>
      </c>
      <c r="D19" s="213">
        <v>1500</v>
      </c>
      <c r="E19" s="213">
        <v>1500</v>
      </c>
      <c r="F19" s="213">
        <v>1500</v>
      </c>
      <c r="G19" s="213">
        <v>1500</v>
      </c>
      <c r="H19" s="213">
        <v>1500</v>
      </c>
      <c r="I19" s="186"/>
      <c r="J19" s="199">
        <f t="shared" ref="J19:J21" si="7">SUM(D19:H19)</f>
        <v>7500</v>
      </c>
    </row>
    <row r="20" spans="2:18" s="7" customFormat="1" ht="30" x14ac:dyDescent="0.25">
      <c r="B20" s="22"/>
      <c r="C20" s="183" t="s">
        <v>91</v>
      </c>
      <c r="D20" s="184">
        <v>1075</v>
      </c>
      <c r="E20" s="184">
        <v>1075</v>
      </c>
      <c r="F20" s="184">
        <v>1290</v>
      </c>
      <c r="G20" s="184">
        <v>860</v>
      </c>
      <c r="H20" s="184">
        <v>860</v>
      </c>
      <c r="I20" s="186"/>
      <c r="J20" s="199">
        <f t="shared" si="7"/>
        <v>5160</v>
      </c>
    </row>
    <row r="21" spans="2:18" s="7" customFormat="1" x14ac:dyDescent="0.25">
      <c r="B21" s="22"/>
      <c r="C21" s="183" t="s">
        <v>89</v>
      </c>
      <c r="D21" s="184">
        <v>200</v>
      </c>
      <c r="E21" s="184">
        <v>200</v>
      </c>
      <c r="F21" s="184">
        <v>200</v>
      </c>
      <c r="G21" s="184">
        <v>200</v>
      </c>
      <c r="H21" s="184">
        <v>200</v>
      </c>
      <c r="I21" s="186"/>
      <c r="J21" s="199">
        <f t="shared" si="7"/>
        <v>1000</v>
      </c>
    </row>
    <row r="22" spans="2:18" s="7" customFormat="1" ht="30" x14ac:dyDescent="0.25">
      <c r="B22" s="22"/>
      <c r="C22" s="183" t="s">
        <v>90</v>
      </c>
      <c r="D22" s="184">
        <v>871</v>
      </c>
      <c r="E22" s="184">
        <v>871</v>
      </c>
      <c r="F22" s="184">
        <v>670</v>
      </c>
      <c r="G22" s="184">
        <v>670</v>
      </c>
      <c r="H22" s="184">
        <v>670</v>
      </c>
      <c r="I22" s="211"/>
      <c r="J22" s="199">
        <f t="shared" ref="J22" si="8">SUM(D22:H22)</f>
        <v>3752</v>
      </c>
    </row>
    <row r="23" spans="2:18" s="7" customFormat="1" x14ac:dyDescent="0.25">
      <c r="B23" s="22"/>
      <c r="C23" s="12" t="s">
        <v>13</v>
      </c>
      <c r="D23" s="69">
        <f>SUM(D19:D22)</f>
        <v>3646</v>
      </c>
      <c r="E23" s="69">
        <f t="shared" ref="E23:H23" si="9">SUM(E19:E22)</f>
        <v>3646</v>
      </c>
      <c r="F23" s="69">
        <f t="shared" si="9"/>
        <v>3660</v>
      </c>
      <c r="G23" s="69">
        <f t="shared" si="9"/>
        <v>3230</v>
      </c>
      <c r="H23" s="69">
        <f t="shared" si="9"/>
        <v>3230</v>
      </c>
      <c r="I23" s="66"/>
      <c r="J23" s="197">
        <f>SUM(J19:J22)</f>
        <v>17412</v>
      </c>
    </row>
    <row r="24" spans="2:18" s="7" customFormat="1" x14ac:dyDescent="0.25">
      <c r="B24" s="22"/>
      <c r="C24" s="16" t="s">
        <v>35</v>
      </c>
      <c r="D24" s="88"/>
      <c r="E24" s="90"/>
      <c r="F24" s="90"/>
      <c r="G24" s="90"/>
      <c r="H24" s="90"/>
      <c r="I24" s="66"/>
      <c r="J24" s="198" t="s">
        <v>19</v>
      </c>
    </row>
    <row r="25" spans="2:18" s="7" customFormat="1" x14ac:dyDescent="0.25">
      <c r="B25" s="22"/>
      <c r="C25" s="25"/>
      <c r="D25" s="88"/>
      <c r="E25" s="90"/>
      <c r="F25" s="90"/>
      <c r="G25" s="90"/>
      <c r="H25" s="90"/>
      <c r="I25" s="66"/>
      <c r="J25" s="196">
        <f>SUM(D25:H25)</f>
        <v>0</v>
      </c>
    </row>
    <row r="26" spans="2:18" s="7" customFormat="1" x14ac:dyDescent="0.25">
      <c r="B26" s="22" t="s">
        <v>40</v>
      </c>
      <c r="C26" s="27" t="s">
        <v>40</v>
      </c>
      <c r="D26" s="91" t="s">
        <v>32</v>
      </c>
      <c r="E26" s="90"/>
      <c r="F26" s="90"/>
      <c r="G26" s="90"/>
      <c r="H26" s="90"/>
      <c r="I26" s="66"/>
      <c r="J26" s="196">
        <f t="shared" ref="J26:J47" si="10">SUM(D26:H26)</f>
        <v>0</v>
      </c>
      <c r="Q26" s="114"/>
      <c r="R26" s="114"/>
    </row>
    <row r="27" spans="2:18" s="7" customFormat="1" x14ac:dyDescent="0.25">
      <c r="B27" s="22"/>
      <c r="C27" s="12" t="s">
        <v>14</v>
      </c>
      <c r="D27" s="71">
        <f>SUM(D25:D26)</f>
        <v>0</v>
      </c>
      <c r="E27" s="71">
        <f t="shared" ref="E27:H27" si="11">SUM(E25:E26)</f>
        <v>0</v>
      </c>
      <c r="F27" s="71">
        <f t="shared" si="11"/>
        <v>0</v>
      </c>
      <c r="G27" s="71">
        <f t="shared" si="11"/>
        <v>0</v>
      </c>
      <c r="H27" s="71">
        <f t="shared" si="11"/>
        <v>0</v>
      </c>
      <c r="I27" s="66"/>
      <c r="J27" s="197">
        <f>SUM(J25:J26)</f>
        <v>0</v>
      </c>
    </row>
    <row r="28" spans="2:18" s="7" customFormat="1" x14ac:dyDescent="0.25">
      <c r="B28" s="22"/>
      <c r="C28" s="16" t="s">
        <v>36</v>
      </c>
      <c r="D28" s="91" t="s">
        <v>32</v>
      </c>
      <c r="E28" s="90"/>
      <c r="F28" s="90"/>
      <c r="G28" s="90"/>
      <c r="H28" s="90"/>
      <c r="I28" s="66"/>
      <c r="J28" s="198"/>
    </row>
    <row r="29" spans="2:18" s="7" customFormat="1" ht="30" customHeight="1" x14ac:dyDescent="0.25">
      <c r="B29" s="22"/>
      <c r="C29" s="183" t="s">
        <v>92</v>
      </c>
      <c r="D29" s="184">
        <v>1250</v>
      </c>
      <c r="E29" s="184">
        <v>1250</v>
      </c>
      <c r="F29" s="184">
        <v>0</v>
      </c>
      <c r="G29" s="184">
        <v>0</v>
      </c>
      <c r="H29" s="184">
        <v>0</v>
      </c>
      <c r="I29" s="211"/>
      <c r="J29" s="199">
        <f t="shared" si="10"/>
        <v>2500</v>
      </c>
    </row>
    <row r="30" spans="2:18" s="7" customFormat="1" x14ac:dyDescent="0.25">
      <c r="B30" s="22"/>
      <c r="C30" s="12" t="s">
        <v>15</v>
      </c>
      <c r="D30" s="69">
        <f>SUM(D29:D29)</f>
        <v>1250</v>
      </c>
      <c r="E30" s="69">
        <f>SUM(E29:E29)</f>
        <v>1250</v>
      </c>
      <c r="F30" s="69">
        <f>SUM(F29:F29)</f>
        <v>0</v>
      </c>
      <c r="G30" s="69">
        <f>SUM(G29:G29)</f>
        <v>0</v>
      </c>
      <c r="H30" s="69">
        <f>SUM(H29:H29)</f>
        <v>0</v>
      </c>
      <c r="I30" s="66"/>
      <c r="J30" s="197">
        <f>SUM(J29:J29)</f>
        <v>2500</v>
      </c>
    </row>
    <row r="31" spans="2:18" s="7" customFormat="1" x14ac:dyDescent="0.25">
      <c r="B31" s="22"/>
      <c r="C31" s="16" t="s">
        <v>37</v>
      </c>
      <c r="D31" s="70" t="s">
        <v>32</v>
      </c>
      <c r="E31" s="65"/>
      <c r="F31" s="65"/>
      <c r="G31" s="65"/>
      <c r="H31" s="65"/>
      <c r="I31" s="66"/>
      <c r="J31" s="198"/>
    </row>
    <row r="32" spans="2:18" s="7" customFormat="1" ht="45" x14ac:dyDescent="0.25">
      <c r="B32" s="22"/>
      <c r="C32" s="210" t="s">
        <v>93</v>
      </c>
      <c r="D32" s="185">
        <f>7237784+6500</f>
        <v>7244284</v>
      </c>
      <c r="E32" s="185">
        <v>40000000</v>
      </c>
      <c r="F32" s="185">
        <v>0</v>
      </c>
      <c r="G32" s="185">
        <v>0</v>
      </c>
      <c r="H32" s="185">
        <v>0</v>
      </c>
      <c r="I32" s="211"/>
      <c r="J32" s="199">
        <f>SUM(D32:H32)</f>
        <v>47244284</v>
      </c>
    </row>
    <row r="33" spans="2:13" s="7" customFormat="1" x14ac:dyDescent="0.25">
      <c r="B33" s="22"/>
      <c r="C33" s="25"/>
      <c r="D33" s="88"/>
      <c r="E33" s="55"/>
      <c r="F33" s="55"/>
      <c r="G33" s="55"/>
      <c r="H33" s="55"/>
      <c r="I33" s="89"/>
      <c r="J33" s="196">
        <f t="shared" ref="J33" si="12">SUM(D33:H33)</f>
        <v>0</v>
      </c>
    </row>
    <row r="34" spans="2:13" s="7" customFormat="1" x14ac:dyDescent="0.25">
      <c r="B34" s="22"/>
      <c r="C34" s="25"/>
      <c r="D34" s="88"/>
      <c r="E34" s="55"/>
      <c r="F34" s="55"/>
      <c r="G34" s="55"/>
      <c r="H34" s="55"/>
      <c r="I34" s="89"/>
      <c r="J34" s="196">
        <f t="shared" si="10"/>
        <v>0</v>
      </c>
    </row>
    <row r="35" spans="2:13" s="7" customFormat="1" x14ac:dyDescent="0.25">
      <c r="B35" s="22"/>
      <c r="C35" s="12" t="s">
        <v>16</v>
      </c>
      <c r="D35" s="69">
        <f>SUM(D32:D34)</f>
        <v>7244284</v>
      </c>
      <c r="E35" s="69">
        <f>SUM(E32:E34)</f>
        <v>40000000</v>
      </c>
      <c r="F35" s="69">
        <f>SUM(F32:F34)</f>
        <v>0</v>
      </c>
      <c r="G35" s="69">
        <f>SUM(G32:G34)</f>
        <v>0</v>
      </c>
      <c r="H35" s="69">
        <f>SUM(H32:H34)</f>
        <v>0</v>
      </c>
      <c r="I35" s="66"/>
      <c r="J35" s="197">
        <f>SUM(J32:J34)</f>
        <v>47244284</v>
      </c>
    </row>
    <row r="36" spans="2:13" s="7" customFormat="1" x14ac:dyDescent="0.25">
      <c r="B36" s="22"/>
      <c r="C36" s="16" t="s">
        <v>38</v>
      </c>
      <c r="D36" s="91" t="s">
        <v>32</v>
      </c>
      <c r="E36" s="90"/>
      <c r="F36" s="90"/>
      <c r="G36" s="90"/>
      <c r="H36" s="90"/>
      <c r="I36" s="89"/>
      <c r="J36" s="196"/>
    </row>
    <row r="37" spans="2:13" s="128" customFormat="1" ht="30" x14ac:dyDescent="0.25">
      <c r="B37" s="78"/>
      <c r="C37" s="177" t="s">
        <v>61</v>
      </c>
      <c r="D37" s="190">
        <f t="shared" ref="D37" si="13">SUM(D38:D41)</f>
        <v>0</v>
      </c>
      <c r="E37" s="190">
        <f t="shared" ref="E37" si="14">SUM(E38:E41)</f>
        <v>0</v>
      </c>
      <c r="F37" s="149">
        <f>SUM(F38:F41)</f>
        <v>3215476.2628640002</v>
      </c>
      <c r="G37" s="149">
        <f t="shared" ref="G37:H37" si="15">SUM(G38:G41)</f>
        <v>4276190.2628640002</v>
      </c>
      <c r="H37" s="149">
        <f t="shared" si="15"/>
        <v>2508333.2628640002</v>
      </c>
      <c r="I37" s="163"/>
      <c r="J37" s="162">
        <f>SUM(D37:H37)</f>
        <v>9999999.7885919996</v>
      </c>
    </row>
    <row r="38" spans="2:13" s="7" customFormat="1" ht="30" x14ac:dyDescent="0.25">
      <c r="B38" s="22"/>
      <c r="C38" s="187" t="s">
        <v>107</v>
      </c>
      <c r="D38" s="191">
        <v>0</v>
      </c>
      <c r="E38" s="191">
        <v>0</v>
      </c>
      <c r="F38" s="172">
        <v>23054.6</v>
      </c>
      <c r="G38" s="172">
        <v>23054.6</v>
      </c>
      <c r="H38" s="172">
        <v>23054.6</v>
      </c>
      <c r="I38" s="166"/>
      <c r="J38" s="179">
        <f>SUM(D38:H38)</f>
        <v>69163.799999999988</v>
      </c>
    </row>
    <row r="39" spans="2:13" s="7" customFormat="1" x14ac:dyDescent="0.25">
      <c r="B39" s="22"/>
      <c r="C39" s="187" t="s">
        <v>60</v>
      </c>
      <c r="D39" s="191">
        <v>0</v>
      </c>
      <c r="E39" s="191">
        <v>0</v>
      </c>
      <c r="F39" s="172">
        <f>F38*0.3144</f>
        <v>7248.3662400000003</v>
      </c>
      <c r="G39" s="172">
        <f t="shared" ref="G39:H39" si="16">G38*0.3144</f>
        <v>7248.3662400000003</v>
      </c>
      <c r="H39" s="172">
        <f t="shared" si="16"/>
        <v>7248.3662400000003</v>
      </c>
      <c r="I39" s="166"/>
      <c r="J39" s="179">
        <f>SUM(D39:H39)</f>
        <v>21745.098720000002</v>
      </c>
    </row>
    <row r="40" spans="2:13" s="7" customFormat="1" ht="60" x14ac:dyDescent="0.25">
      <c r="B40" s="22"/>
      <c r="C40" s="187" t="s">
        <v>94</v>
      </c>
      <c r="D40" s="191">
        <v>0</v>
      </c>
      <c r="E40" s="191">
        <v>0</v>
      </c>
      <c r="F40" s="172">
        <v>3182143</v>
      </c>
      <c r="G40" s="172">
        <v>4242857</v>
      </c>
      <c r="H40" s="172">
        <v>2475000</v>
      </c>
      <c r="I40" s="166"/>
      <c r="J40" s="179">
        <f t="shared" ref="J40" si="17">SUM(D40:H40)</f>
        <v>9900000</v>
      </c>
      <c r="M40" s="131"/>
    </row>
    <row r="41" spans="2:13" s="7" customFormat="1" x14ac:dyDescent="0.25">
      <c r="B41" s="22"/>
      <c r="C41" s="187" t="s">
        <v>62</v>
      </c>
      <c r="D41" s="191">
        <f t="shared" ref="D41:G41" si="18">SUM(D38:D39)*0.1</f>
        <v>0</v>
      </c>
      <c r="E41" s="191">
        <f t="shared" si="18"/>
        <v>0</v>
      </c>
      <c r="F41" s="172">
        <f>SUM(F38:F39)*0.1</f>
        <v>3030.2966240000001</v>
      </c>
      <c r="G41" s="172">
        <f t="shared" si="18"/>
        <v>3030.2966240000001</v>
      </c>
      <c r="H41" s="172">
        <f>SUM(H38:H39)*0.1</f>
        <v>3030.2966240000001</v>
      </c>
      <c r="I41" s="166"/>
      <c r="J41" s="179">
        <f>SUM(D41:H41)</f>
        <v>9090.8898719999997</v>
      </c>
    </row>
    <row r="42" spans="2:13" s="7" customFormat="1" ht="30" x14ac:dyDescent="0.25">
      <c r="B42" s="22"/>
      <c r="C42" s="188" t="s">
        <v>55</v>
      </c>
      <c r="D42" s="191"/>
      <c r="E42" s="191"/>
      <c r="F42" s="191"/>
      <c r="G42" s="191"/>
      <c r="H42" s="191"/>
      <c r="I42" s="166"/>
      <c r="J42" s="179"/>
    </row>
    <row r="43" spans="2:13" s="7" customFormat="1" x14ac:dyDescent="0.25">
      <c r="B43" s="22"/>
      <c r="C43" s="182"/>
      <c r="D43" s="172"/>
      <c r="E43" s="172"/>
      <c r="F43" s="172"/>
      <c r="G43" s="172"/>
      <c r="H43" s="172"/>
      <c r="I43" s="166"/>
      <c r="J43" s="179"/>
    </row>
    <row r="44" spans="2:13" s="7" customFormat="1" ht="30" x14ac:dyDescent="0.25">
      <c r="B44" s="22"/>
      <c r="C44" s="183" t="s">
        <v>95</v>
      </c>
      <c r="D44" s="184">
        <v>900</v>
      </c>
      <c r="E44" s="184">
        <v>900</v>
      </c>
      <c r="F44" s="185">
        <v>0</v>
      </c>
      <c r="G44" s="185">
        <v>0</v>
      </c>
      <c r="H44" s="185">
        <v>0</v>
      </c>
      <c r="I44" s="186"/>
      <c r="J44" s="199">
        <f>SUM(D44:H44)</f>
        <v>1800</v>
      </c>
    </row>
    <row r="45" spans="2:13" s="7" customFormat="1" x14ac:dyDescent="0.25">
      <c r="B45" s="22"/>
      <c r="C45" s="180"/>
      <c r="D45" s="88"/>
      <c r="E45" s="55"/>
      <c r="F45" s="55"/>
      <c r="G45" s="55"/>
      <c r="H45" s="55"/>
      <c r="I45" s="89"/>
      <c r="J45" s="196"/>
    </row>
    <row r="46" spans="2:13" s="7" customFormat="1" x14ac:dyDescent="0.25">
      <c r="B46" s="24"/>
      <c r="C46" s="12" t="s">
        <v>17</v>
      </c>
      <c r="D46" s="69">
        <f t="shared" ref="D46:J46" si="19">SUM(D37,D44)</f>
        <v>900</v>
      </c>
      <c r="E46" s="69">
        <f t="shared" si="19"/>
        <v>900</v>
      </c>
      <c r="F46" s="69">
        <f t="shared" si="19"/>
        <v>3215476.2628640002</v>
      </c>
      <c r="G46" s="69">
        <f t="shared" si="19"/>
        <v>4276190.2628640002</v>
      </c>
      <c r="H46" s="69">
        <f t="shared" si="19"/>
        <v>2508333.2628640002</v>
      </c>
      <c r="I46" s="189">
        <f t="shared" si="19"/>
        <v>0</v>
      </c>
      <c r="J46" s="197">
        <f t="shared" si="19"/>
        <v>10001799.788592</v>
      </c>
    </row>
    <row r="47" spans="2:13" s="7" customFormat="1" x14ac:dyDescent="0.25">
      <c r="B47" s="24"/>
      <c r="C47" s="12" t="s">
        <v>18</v>
      </c>
      <c r="D47" s="69">
        <f>SUM(D46,D35,D30,D27,D23,D17,D12)</f>
        <v>7618328.0800000001</v>
      </c>
      <c r="E47" s="69">
        <f>SUM(E46,E35,E30,E27,E23,E17,E12)</f>
        <v>40399370.381499998</v>
      </c>
      <c r="F47" s="69">
        <f>SUM(F46,F35,F30,F27,F23,F17,F12)</f>
        <v>3623453.5985640003</v>
      </c>
      <c r="G47" s="69">
        <f>SUM(G46,G35,G30,G27,G23,G17,G12)</f>
        <v>4702822.8366640005</v>
      </c>
      <c r="H47" s="69">
        <f>SUM(H46,H35,H30,H27,H23,H17,H12)</f>
        <v>2950685.6245639999</v>
      </c>
      <c r="I47" s="66"/>
      <c r="J47" s="197">
        <f t="shared" si="10"/>
        <v>59294660.521291994</v>
      </c>
    </row>
    <row r="48" spans="2:13" s="7" customFormat="1" x14ac:dyDescent="0.25">
      <c r="B48" s="23"/>
      <c r="D48" s="72"/>
      <c r="E48" s="72"/>
      <c r="F48" s="72"/>
      <c r="G48" s="72"/>
      <c r="H48" s="72"/>
      <c r="I48" s="72"/>
      <c r="J48" s="200" t="s">
        <v>19</v>
      </c>
    </row>
    <row r="49" spans="2:15" s="7" customFormat="1" ht="30" x14ac:dyDescent="0.25">
      <c r="B49" s="62" t="s">
        <v>39</v>
      </c>
      <c r="C49" s="18" t="s">
        <v>39</v>
      </c>
      <c r="D49" s="73"/>
      <c r="E49" s="73"/>
      <c r="F49" s="73"/>
      <c r="G49" s="73"/>
      <c r="H49" s="73"/>
      <c r="I49" s="72"/>
      <c r="J49" s="201" t="s">
        <v>19</v>
      </c>
      <c r="N49" s="202"/>
      <c r="O49" s="203"/>
    </row>
    <row r="50" spans="2:15" s="7" customFormat="1" x14ac:dyDescent="0.25">
      <c r="B50" s="22"/>
      <c r="C50" s="212" t="s">
        <v>96</v>
      </c>
      <c r="D50" s="185">
        <f>(D12+D17)*0.305</f>
        <v>112315.66440000001</v>
      </c>
      <c r="E50" s="185">
        <f>(E12+E17)*0.305</f>
        <v>120040.1863575</v>
      </c>
      <c r="F50" s="185">
        <f>(F12+F17)*0.305</f>
        <v>123316.7873885</v>
      </c>
      <c r="G50" s="185">
        <f>(G12+G17)*0.305</f>
        <v>129137.785009</v>
      </c>
      <c r="H50" s="185">
        <f>(H12+H17)*0.305</f>
        <v>133932.32031849999</v>
      </c>
      <c r="I50" s="186"/>
      <c r="J50" s="199">
        <f>SUM(D50:H50)</f>
        <v>618742.74347350001</v>
      </c>
    </row>
    <row r="51" spans="2:15" s="7" customFormat="1" x14ac:dyDescent="0.25">
      <c r="B51" s="22"/>
      <c r="C51" s="183"/>
      <c r="D51" s="214"/>
      <c r="E51" s="215"/>
      <c r="F51" s="215"/>
      <c r="G51" s="215"/>
      <c r="H51" s="215"/>
      <c r="I51" s="186"/>
      <c r="J51" s="199">
        <f t="shared" ref="J51" si="20">SUM(D51:H51)</f>
        <v>0</v>
      </c>
    </row>
    <row r="52" spans="2:15" s="7" customFormat="1" x14ac:dyDescent="0.25">
      <c r="B52" s="24"/>
      <c r="C52" s="12" t="s">
        <v>20</v>
      </c>
      <c r="D52" s="69">
        <f>SUM(D50:D51)</f>
        <v>112315.66440000001</v>
      </c>
      <c r="E52" s="69">
        <f t="shared" ref="E52:H52" si="21">SUM(E50:E51)</f>
        <v>120040.1863575</v>
      </c>
      <c r="F52" s="69">
        <f t="shared" si="21"/>
        <v>123316.7873885</v>
      </c>
      <c r="G52" s="69">
        <f t="shared" si="21"/>
        <v>129137.785009</v>
      </c>
      <c r="H52" s="69">
        <f t="shared" si="21"/>
        <v>133932.32031849999</v>
      </c>
      <c r="I52" s="66"/>
      <c r="J52" s="197">
        <f>SUM(J50:J51)</f>
        <v>618742.74347350001</v>
      </c>
    </row>
    <row r="53" spans="2:15" s="7" customFormat="1" ht="15.75" thickBot="1" x14ac:dyDescent="0.3">
      <c r="B53" s="23"/>
      <c r="D53" s="72"/>
      <c r="E53" s="72"/>
      <c r="F53" s="72"/>
      <c r="G53" s="72"/>
      <c r="H53" s="72"/>
      <c r="I53" s="72"/>
      <c r="J53" s="200" t="s">
        <v>19</v>
      </c>
    </row>
    <row r="54" spans="2:15" s="4" customFormat="1" ht="30.75" thickBot="1" x14ac:dyDescent="0.3">
      <c r="B54" s="20" t="s">
        <v>21</v>
      </c>
      <c r="C54" s="20"/>
      <c r="D54" s="74">
        <f>SUM(D52,D47)</f>
        <v>7730643.7444000002</v>
      </c>
      <c r="E54" s="74">
        <f t="shared" ref="E54:H54" si="22">SUM(E52,E47)</f>
        <v>40519410.567857496</v>
      </c>
      <c r="F54" s="74">
        <f t="shared" si="22"/>
        <v>3746770.3859525002</v>
      </c>
      <c r="G54" s="74">
        <f t="shared" si="22"/>
        <v>4831960.621673001</v>
      </c>
      <c r="H54" s="74">
        <f t="shared" si="22"/>
        <v>3084617.9448825</v>
      </c>
      <c r="I54" s="66"/>
      <c r="J54" s="139">
        <f>SUM(J52,J47)</f>
        <v>59913403.264765494</v>
      </c>
      <c r="K54" s="128"/>
    </row>
    <row r="55" spans="2:15" x14ac:dyDescent="0.25">
      <c r="B55" s="9"/>
      <c r="J55" s="202"/>
      <c r="K55" s="7"/>
    </row>
    <row r="56" spans="2:15" x14ac:dyDescent="0.25">
      <c r="B56" s="9"/>
    </row>
    <row r="57" spans="2:15" x14ac:dyDescent="0.25">
      <c r="B57" s="9"/>
    </row>
    <row r="58" spans="2:15" x14ac:dyDescent="0.25">
      <c r="B58" s="9"/>
    </row>
    <row r="59" spans="2:15" x14ac:dyDescent="0.25">
      <c r="B59" s="9"/>
    </row>
    <row r="60" spans="2:15" x14ac:dyDescent="0.25">
      <c r="B60" s="9"/>
    </row>
    <row r="61" spans="2:15" x14ac:dyDescent="0.25">
      <c r="B61" s="9"/>
    </row>
    <row r="62" spans="2:15" x14ac:dyDescent="0.25">
      <c r="B62" s="9"/>
    </row>
    <row r="63" spans="2:15" x14ac:dyDescent="0.25">
      <c r="B63" s="9"/>
    </row>
    <row r="64" spans="2:15" x14ac:dyDescent="0.25">
      <c r="B64" s="9"/>
    </row>
    <row r="65" spans="2:2" x14ac:dyDescent="0.25">
      <c r="B65" s="9"/>
    </row>
    <row r="66" spans="2:2" x14ac:dyDescent="0.25">
      <c r="B66" s="9"/>
    </row>
  </sheetData>
  <pageMargins left="0.7" right="0.7" top="0.75" bottom="0.75" header="0.3" footer="0.3"/>
  <pageSetup scale="97" fitToHeight="0" orientation="landscape" r:id="rId1"/>
  <ignoredErrors>
    <ignoredError sqref="J29 J22 D41:E41 G41:H4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BE1C7-E4BE-4E1F-9543-30CBB9DDBD5B}">
  <sheetPr>
    <tabColor theme="9" tint="0.39997558519241921"/>
    <pageSetUpPr fitToPage="1"/>
  </sheetPr>
  <dimension ref="B2:AX57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J42" sqref="J42"/>
    </sheetView>
  </sheetViews>
  <sheetFormatPr defaultColWidth="9.28515625" defaultRowHeight="15" x14ac:dyDescent="0.25"/>
  <cols>
    <col min="1" max="1" width="3.28515625" style="6" customWidth="1"/>
    <col min="2" max="2" width="11.28515625" style="6" customWidth="1"/>
    <col min="3" max="3" width="46.42578125" style="6" customWidth="1"/>
    <col min="4" max="4" width="13.28515625" style="9" customWidth="1"/>
    <col min="5" max="5" width="13.28515625" style="3" customWidth="1"/>
    <col min="6" max="7" width="13.28515625" style="6" customWidth="1"/>
    <col min="8" max="8" width="12.7109375" style="3" customWidth="1"/>
    <col min="9" max="9" width="0.7109375" style="10" customWidth="1"/>
    <col min="10" max="10" width="14.5703125" style="6" customWidth="1"/>
    <col min="11" max="11" width="13.140625" style="6" customWidth="1"/>
    <col min="12" max="16384" width="9.28515625" style="6"/>
  </cols>
  <sheetData>
    <row r="2" spans="2:50" ht="23.25" x14ac:dyDescent="0.35">
      <c r="B2" s="29" t="s">
        <v>29</v>
      </c>
    </row>
    <row r="3" spans="2:50" x14ac:dyDescent="0.25">
      <c r="B3" s="57"/>
    </row>
    <row r="4" spans="2:50" x14ac:dyDescent="0.25">
      <c r="B4" s="5"/>
    </row>
    <row r="5" spans="2:50" ht="18.75" x14ac:dyDescent="0.3">
      <c r="B5" s="32" t="s">
        <v>1</v>
      </c>
      <c r="C5" s="33"/>
      <c r="D5" s="33"/>
      <c r="E5" s="33"/>
      <c r="F5" s="33"/>
      <c r="G5" s="33"/>
      <c r="H5" s="33"/>
      <c r="I5" s="33"/>
      <c r="J5" s="3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35" t="s">
        <v>2</v>
      </c>
      <c r="C6" s="35" t="s">
        <v>3</v>
      </c>
      <c r="D6" s="35" t="s">
        <v>4</v>
      </c>
      <c r="E6" s="36" t="s">
        <v>5</v>
      </c>
      <c r="F6" s="36" t="s">
        <v>6</v>
      </c>
      <c r="G6" s="36" t="s">
        <v>7</v>
      </c>
      <c r="H6" s="37" t="s">
        <v>8</v>
      </c>
      <c r="I6" s="38"/>
      <c r="J6" s="39" t="s">
        <v>9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8" customFormat="1" x14ac:dyDescent="0.25">
      <c r="B7" s="21" t="s">
        <v>10</v>
      </c>
      <c r="C7" s="26" t="s">
        <v>31</v>
      </c>
      <c r="D7" s="13" t="s">
        <v>32</v>
      </c>
      <c r="E7" s="13" t="s">
        <v>32</v>
      </c>
      <c r="F7" s="13" t="s">
        <v>32</v>
      </c>
      <c r="G7" s="13"/>
      <c r="H7" s="13" t="s">
        <v>32</v>
      </c>
      <c r="I7" s="10"/>
      <c r="J7" s="11" t="s">
        <v>32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</row>
    <row r="8" spans="2:50" s="7" customFormat="1" ht="45" x14ac:dyDescent="0.25">
      <c r="B8" s="22"/>
      <c r="C8" s="212" t="s">
        <v>97</v>
      </c>
      <c r="D8" s="185">
        <f>68298/2</f>
        <v>34149</v>
      </c>
      <c r="E8" s="185">
        <f>70783*1.03</f>
        <v>72906.490000000005</v>
      </c>
      <c r="F8" s="185">
        <f>73351*1.03</f>
        <v>75551.53</v>
      </c>
      <c r="G8" s="185">
        <f>75878*1.03</f>
        <v>78154.34</v>
      </c>
      <c r="H8" s="185">
        <f>78613*1.03</f>
        <v>80971.39</v>
      </c>
      <c r="I8" s="211">
        <v>450000</v>
      </c>
      <c r="J8" s="184">
        <f>SUM(D8:H8)</f>
        <v>341732.75</v>
      </c>
    </row>
    <row r="9" spans="2:50" s="7" customFormat="1" x14ac:dyDescent="0.25">
      <c r="B9" s="22"/>
      <c r="C9" s="85"/>
      <c r="D9" s="86"/>
      <c r="E9" s="86"/>
      <c r="F9" s="86"/>
      <c r="G9" s="86"/>
      <c r="H9" s="86"/>
      <c r="I9" s="89"/>
      <c r="J9" s="88">
        <f>SUM(D9:H9)</f>
        <v>0</v>
      </c>
    </row>
    <row r="10" spans="2:50" s="7" customFormat="1" x14ac:dyDescent="0.25">
      <c r="B10" s="22"/>
      <c r="C10" s="12" t="s">
        <v>11</v>
      </c>
      <c r="D10" s="69">
        <f t="shared" ref="D10:J10" si="0">SUM(D8:D9)</f>
        <v>34149</v>
      </c>
      <c r="E10" s="69">
        <f t="shared" si="0"/>
        <v>72906.490000000005</v>
      </c>
      <c r="F10" s="69">
        <f t="shared" si="0"/>
        <v>75551.53</v>
      </c>
      <c r="G10" s="69">
        <f t="shared" si="0"/>
        <v>78154.34</v>
      </c>
      <c r="H10" s="69">
        <f t="shared" si="0"/>
        <v>80971.39</v>
      </c>
      <c r="I10" s="66">
        <f t="shared" si="0"/>
        <v>450000</v>
      </c>
      <c r="J10" s="69">
        <f t="shared" si="0"/>
        <v>341732.75</v>
      </c>
    </row>
    <row r="11" spans="2:50" s="7" customFormat="1" x14ac:dyDescent="0.25">
      <c r="B11" s="22"/>
      <c r="C11" s="16" t="s">
        <v>33</v>
      </c>
      <c r="D11" s="15" t="s">
        <v>32</v>
      </c>
      <c r="E11" s="13"/>
      <c r="F11" s="13"/>
      <c r="G11" s="13"/>
      <c r="H11" s="13"/>
      <c r="I11" s="10"/>
      <c r="J11" s="11" t="s">
        <v>32</v>
      </c>
    </row>
    <row r="12" spans="2:50" s="7" customFormat="1" x14ac:dyDescent="0.25">
      <c r="B12" s="22"/>
      <c r="C12" s="85" t="s">
        <v>110</v>
      </c>
      <c r="D12" s="86">
        <f>D8*0.34</f>
        <v>11610.660000000002</v>
      </c>
      <c r="E12" s="86">
        <f>E8*0.34</f>
        <v>24788.206600000005</v>
      </c>
      <c r="F12" s="86">
        <f>F8*0.34</f>
        <v>25687.520200000003</v>
      </c>
      <c r="G12" s="86">
        <f>G8*0.34</f>
        <v>26572.475600000002</v>
      </c>
      <c r="H12" s="86">
        <f>H8*0.34</f>
        <v>27530.2726</v>
      </c>
      <c r="I12" s="89"/>
      <c r="J12" s="88">
        <f>SUM(D12:H12)</f>
        <v>116189.13500000001</v>
      </c>
    </row>
    <row r="13" spans="2:50" s="7" customFormat="1" x14ac:dyDescent="0.25">
      <c r="B13" s="22"/>
      <c r="C13" s="90"/>
      <c r="D13" s="88"/>
      <c r="E13" s="55"/>
      <c r="F13" s="55"/>
      <c r="G13" s="55"/>
      <c r="H13" s="55"/>
      <c r="I13" s="89"/>
      <c r="J13" s="88">
        <f t="shared" ref="J13" si="1">SUM(D13:H13)</f>
        <v>0</v>
      </c>
    </row>
    <row r="14" spans="2:50" s="7" customFormat="1" x14ac:dyDescent="0.25">
      <c r="B14" s="22"/>
      <c r="C14" s="12" t="s">
        <v>12</v>
      </c>
      <c r="D14" s="69">
        <f t="shared" ref="D14:J14" si="2">SUM(D12:D13)</f>
        <v>11610.660000000002</v>
      </c>
      <c r="E14" s="69">
        <f t="shared" si="2"/>
        <v>24788.206600000005</v>
      </c>
      <c r="F14" s="69">
        <f t="shared" si="2"/>
        <v>25687.520200000003</v>
      </c>
      <c r="G14" s="69">
        <f t="shared" si="2"/>
        <v>26572.475600000002</v>
      </c>
      <c r="H14" s="69">
        <f t="shared" si="2"/>
        <v>27530.2726</v>
      </c>
      <c r="I14" s="66">
        <f t="shared" si="2"/>
        <v>0</v>
      </c>
      <c r="J14" s="69">
        <f t="shared" si="2"/>
        <v>116189.13500000001</v>
      </c>
    </row>
    <row r="15" spans="2:50" s="7" customFormat="1" x14ac:dyDescent="0.25">
      <c r="B15" s="22"/>
      <c r="C15" s="16" t="s">
        <v>34</v>
      </c>
      <c r="D15" s="15" t="s">
        <v>32</v>
      </c>
      <c r="E15" s="13"/>
      <c r="F15" s="13"/>
      <c r="G15" s="13"/>
      <c r="H15" s="13"/>
      <c r="I15" s="10"/>
      <c r="J15" s="11" t="s">
        <v>32</v>
      </c>
    </row>
    <row r="16" spans="2:50" s="7" customFormat="1" x14ac:dyDescent="0.25">
      <c r="B16" s="22"/>
      <c r="C16" s="64"/>
      <c r="D16" s="63"/>
      <c r="E16" s="63"/>
      <c r="F16" s="63"/>
      <c r="G16" s="63"/>
      <c r="H16" s="63"/>
      <c r="I16" s="10"/>
      <c r="J16" s="88">
        <f t="shared" ref="J16" si="3">SUM(D16:H16)</f>
        <v>0</v>
      </c>
    </row>
    <row r="17" spans="2:11" s="7" customFormat="1" x14ac:dyDescent="0.25">
      <c r="B17" s="22"/>
      <c r="C17" s="25"/>
      <c r="D17" s="17"/>
      <c r="E17" s="17"/>
      <c r="F17" s="17"/>
      <c r="G17" s="17"/>
      <c r="H17" s="17"/>
      <c r="I17" s="31">
        <v>1638</v>
      </c>
      <c r="J17" s="88">
        <f t="shared" ref="J17" si="4">SUM(D17:H17)</f>
        <v>0</v>
      </c>
    </row>
    <row r="18" spans="2:11" s="7" customFormat="1" x14ac:dyDescent="0.25">
      <c r="B18" s="22"/>
      <c r="C18" s="12" t="s">
        <v>13</v>
      </c>
      <c r="D18" s="69">
        <f>SUM(D16:D17)</f>
        <v>0</v>
      </c>
      <c r="E18" s="69">
        <f>SUM(E16:E17)</f>
        <v>0</v>
      </c>
      <c r="F18" s="69">
        <f>SUM(F16:F17)</f>
        <v>0</v>
      </c>
      <c r="G18" s="69">
        <f>SUM(G16:G17)</f>
        <v>0</v>
      </c>
      <c r="H18" s="69">
        <f>SUM(H16:H17)</f>
        <v>0</v>
      </c>
      <c r="I18" s="66"/>
      <c r="J18" s="69">
        <f>SUM(D18:H18)</f>
        <v>0</v>
      </c>
    </row>
    <row r="19" spans="2:11" s="7" customFormat="1" x14ac:dyDescent="0.25">
      <c r="B19" s="22"/>
      <c r="C19" s="16" t="s">
        <v>35</v>
      </c>
      <c r="D19" s="17"/>
      <c r="E19" s="13"/>
      <c r="F19" s="13"/>
      <c r="G19" s="13"/>
      <c r="H19" s="13"/>
      <c r="I19" s="10"/>
      <c r="J19" s="17" t="s">
        <v>19</v>
      </c>
    </row>
    <row r="20" spans="2:11" s="7" customFormat="1" x14ac:dyDescent="0.25">
      <c r="B20" s="22"/>
      <c r="C20" s="64"/>
      <c r="D20" s="63"/>
      <c r="E20" s="63"/>
      <c r="F20" s="63"/>
      <c r="G20" s="63"/>
      <c r="H20" s="63"/>
      <c r="I20" s="10"/>
      <c r="J20" s="88">
        <f>SUM(D20:H20)</f>
        <v>0</v>
      </c>
    </row>
    <row r="21" spans="2:11" s="7" customFormat="1" x14ac:dyDescent="0.25">
      <c r="B21" s="22" t="s">
        <v>40</v>
      </c>
      <c r="C21" s="64"/>
      <c r="D21" s="63"/>
      <c r="E21" s="63"/>
      <c r="F21" s="63"/>
      <c r="G21" s="63"/>
      <c r="H21" s="63"/>
      <c r="I21" s="10"/>
      <c r="J21" s="88">
        <f t="shared" ref="J21:J37" si="5">SUM(D21:H21)</f>
        <v>0</v>
      </c>
    </row>
    <row r="22" spans="2:11" s="7" customFormat="1" x14ac:dyDescent="0.25">
      <c r="B22" s="22"/>
      <c r="C22" s="12" t="s">
        <v>14</v>
      </c>
      <c r="D22" s="71">
        <f>SUM(D20:D21)</f>
        <v>0</v>
      </c>
      <c r="E22" s="71">
        <f t="shared" ref="E22:H22" si="6">SUM(E20:E21)</f>
        <v>0</v>
      </c>
      <c r="F22" s="71">
        <f t="shared" si="6"/>
        <v>0</v>
      </c>
      <c r="G22" s="71">
        <f t="shared" si="6"/>
        <v>0</v>
      </c>
      <c r="H22" s="71">
        <f t="shared" si="6"/>
        <v>0</v>
      </c>
      <c r="I22" s="66"/>
      <c r="J22" s="69">
        <f t="shared" si="5"/>
        <v>0</v>
      </c>
    </row>
    <row r="23" spans="2:11" s="7" customFormat="1" x14ac:dyDescent="0.25">
      <c r="B23" s="22"/>
      <c r="C23" s="16" t="s">
        <v>36</v>
      </c>
      <c r="D23" s="15" t="s">
        <v>32</v>
      </c>
      <c r="E23" s="13"/>
      <c r="F23" s="13"/>
      <c r="G23" s="13"/>
      <c r="H23" s="13"/>
      <c r="I23" s="10"/>
      <c r="J23" s="17"/>
    </row>
    <row r="24" spans="2:11" s="7" customFormat="1" x14ac:dyDescent="0.25">
      <c r="B24" s="22"/>
      <c r="C24" s="64"/>
      <c r="D24" s="63"/>
      <c r="E24" s="63"/>
      <c r="F24" s="63"/>
      <c r="G24" s="63"/>
      <c r="H24" s="63"/>
      <c r="I24" s="31">
        <v>5000</v>
      </c>
      <c r="J24" s="88">
        <f t="shared" si="5"/>
        <v>0</v>
      </c>
    </row>
    <row r="25" spans="2:11" s="7" customFormat="1" x14ac:dyDescent="0.25">
      <c r="B25" s="22"/>
      <c r="C25" s="64"/>
      <c r="D25" s="63"/>
      <c r="E25" s="63"/>
      <c r="F25" s="63"/>
      <c r="G25" s="63"/>
      <c r="H25" s="63"/>
      <c r="I25" s="10"/>
      <c r="J25" s="88">
        <f t="shared" si="5"/>
        <v>0</v>
      </c>
    </row>
    <row r="26" spans="2:11" s="7" customFormat="1" x14ac:dyDescent="0.25">
      <c r="B26" s="22"/>
      <c r="C26" s="12" t="s">
        <v>15</v>
      </c>
      <c r="D26" s="69">
        <f>SUM(D24:D25)</f>
        <v>0</v>
      </c>
      <c r="E26" s="69">
        <f t="shared" ref="E26:H26" si="7">SUM(E24:E25)</f>
        <v>0</v>
      </c>
      <c r="F26" s="69">
        <f t="shared" si="7"/>
        <v>0</v>
      </c>
      <c r="G26" s="69">
        <f t="shared" si="7"/>
        <v>0</v>
      </c>
      <c r="H26" s="69">
        <f t="shared" si="7"/>
        <v>0</v>
      </c>
      <c r="I26" s="66"/>
      <c r="J26" s="69">
        <f t="shared" si="5"/>
        <v>0</v>
      </c>
    </row>
    <row r="27" spans="2:11" s="7" customFormat="1" x14ac:dyDescent="0.25">
      <c r="B27" s="22"/>
      <c r="C27" s="16" t="s">
        <v>37</v>
      </c>
      <c r="D27" s="15" t="s">
        <v>32</v>
      </c>
      <c r="E27" s="13"/>
      <c r="F27" s="13"/>
      <c r="G27" s="13"/>
      <c r="H27" s="13"/>
      <c r="I27" s="10"/>
      <c r="J27" s="17"/>
    </row>
    <row r="28" spans="2:11" s="7" customFormat="1" ht="45" x14ac:dyDescent="0.25">
      <c r="B28" s="22"/>
      <c r="C28" s="212" t="s">
        <v>111</v>
      </c>
      <c r="D28" s="185">
        <v>1000000</v>
      </c>
      <c r="E28" s="185">
        <v>1500000</v>
      </c>
      <c r="F28" s="185">
        <v>2000000</v>
      </c>
      <c r="G28" s="185">
        <v>2000000</v>
      </c>
      <c r="H28" s="185">
        <v>2000000</v>
      </c>
      <c r="I28" s="211">
        <v>5106000</v>
      </c>
      <c r="J28" s="184">
        <f>SUM(D28:H28)</f>
        <v>8500000</v>
      </c>
    </row>
    <row r="29" spans="2:11" s="7" customFormat="1" ht="29.45" customHeight="1" x14ac:dyDescent="0.25">
      <c r="B29" s="22"/>
      <c r="C29" s="212" t="s">
        <v>113</v>
      </c>
      <c r="D29" s="185">
        <v>0</v>
      </c>
      <c r="E29" s="185">
        <v>240000</v>
      </c>
      <c r="F29" s="185">
        <v>240000</v>
      </c>
      <c r="G29" s="185">
        <v>240000</v>
      </c>
      <c r="H29" s="185">
        <v>182412</v>
      </c>
      <c r="I29" s="211">
        <v>22500000</v>
      </c>
      <c r="J29" s="184">
        <f>SUM(D29:H29)</f>
        <v>902412</v>
      </c>
      <c r="K29" s="131"/>
    </row>
    <row r="30" spans="2:11" s="7" customFormat="1" x14ac:dyDescent="0.25">
      <c r="B30" s="22"/>
      <c r="C30" s="85"/>
      <c r="D30" s="86"/>
      <c r="E30" s="86"/>
      <c r="F30" s="86"/>
      <c r="G30" s="86"/>
      <c r="H30" s="86"/>
      <c r="I30" s="87">
        <v>75000000</v>
      </c>
      <c r="J30" s="88">
        <f t="shared" si="5"/>
        <v>0</v>
      </c>
    </row>
    <row r="31" spans="2:11" s="7" customFormat="1" x14ac:dyDescent="0.25">
      <c r="B31" s="22"/>
      <c r="C31" s="92"/>
      <c r="D31" s="88"/>
      <c r="E31" s="55"/>
      <c r="F31" s="55"/>
      <c r="G31" s="55"/>
      <c r="H31" s="55"/>
      <c r="I31" s="89"/>
      <c r="J31" s="88">
        <f t="shared" si="5"/>
        <v>0</v>
      </c>
    </row>
    <row r="32" spans="2:11" s="7" customFormat="1" x14ac:dyDescent="0.25">
      <c r="B32" s="22"/>
      <c r="C32" s="12" t="s">
        <v>16</v>
      </c>
      <c r="D32" s="69">
        <f>SUM(D28:D31)</f>
        <v>1000000</v>
      </c>
      <c r="E32" s="69">
        <f t="shared" ref="E32:H32" si="8">SUM(E28:E31)</f>
        <v>1740000</v>
      </c>
      <c r="F32" s="69">
        <f t="shared" si="8"/>
        <v>2240000</v>
      </c>
      <c r="G32" s="69">
        <f t="shared" si="8"/>
        <v>2240000</v>
      </c>
      <c r="H32" s="69">
        <f t="shared" si="8"/>
        <v>2182412</v>
      </c>
      <c r="I32" s="66"/>
      <c r="J32" s="69">
        <f t="shared" si="5"/>
        <v>9402412</v>
      </c>
    </row>
    <row r="33" spans="2:11" s="7" customFormat="1" x14ac:dyDescent="0.25">
      <c r="B33" s="22"/>
      <c r="C33" s="16" t="s">
        <v>38</v>
      </c>
      <c r="D33" s="15" t="s">
        <v>32</v>
      </c>
      <c r="E33" s="13"/>
      <c r="F33" s="13"/>
      <c r="G33" s="13"/>
      <c r="H33" s="13"/>
      <c r="I33" s="10"/>
      <c r="J33" s="17"/>
    </row>
    <row r="34" spans="2:11" s="7" customFormat="1" x14ac:dyDescent="0.25">
      <c r="B34" s="22"/>
      <c r="C34" s="64"/>
      <c r="D34" s="63"/>
      <c r="E34" s="63"/>
      <c r="F34" s="63"/>
      <c r="G34" s="63"/>
      <c r="H34" s="63"/>
      <c r="I34" s="31">
        <v>375000</v>
      </c>
      <c r="J34" s="88">
        <f t="shared" si="5"/>
        <v>0</v>
      </c>
    </row>
    <row r="35" spans="2:11" s="7" customFormat="1" x14ac:dyDescent="0.25">
      <c r="B35" s="22"/>
      <c r="C35" s="13"/>
      <c r="D35" s="17"/>
      <c r="E35" s="14"/>
      <c r="F35" s="14"/>
      <c r="G35" s="14"/>
      <c r="H35" s="14"/>
      <c r="I35" s="10"/>
      <c r="J35" s="88">
        <f t="shared" si="5"/>
        <v>0</v>
      </c>
    </row>
    <row r="36" spans="2:11" s="7" customFormat="1" x14ac:dyDescent="0.25">
      <c r="B36" s="24"/>
      <c r="C36" s="12" t="s">
        <v>17</v>
      </c>
      <c r="D36" s="69">
        <f>SUM(D34:D35)</f>
        <v>0</v>
      </c>
      <c r="E36" s="69">
        <f>SUM(E34:E35)</f>
        <v>0</v>
      </c>
      <c r="F36" s="69">
        <f>SUM(F34:F35)</f>
        <v>0</v>
      </c>
      <c r="G36" s="69">
        <f>SUM(G34:G35)</f>
        <v>0</v>
      </c>
      <c r="H36" s="69">
        <f>SUM(H34:H35)</f>
        <v>0</v>
      </c>
      <c r="I36" s="66"/>
      <c r="J36" s="69">
        <f t="shared" si="5"/>
        <v>0</v>
      </c>
    </row>
    <row r="37" spans="2:11" s="7" customFormat="1" x14ac:dyDescent="0.25">
      <c r="B37" s="24"/>
      <c r="C37" s="12" t="s">
        <v>18</v>
      </c>
      <c r="D37" s="69">
        <f>SUM(D36,D32,D26,D22,D18,D14,D10)</f>
        <v>1045759.66</v>
      </c>
      <c r="E37" s="69">
        <f>SUM(E36,E32,E26,E22,E18,E14,E10)</f>
        <v>1837694.6965999999</v>
      </c>
      <c r="F37" s="69">
        <f>SUM(F36,F32,F26,F22,F18,F14,F10)</f>
        <v>2341239.0501999999</v>
      </c>
      <c r="G37" s="69">
        <f>SUM(G36,G32,G26,G22,G18,G14,G10)</f>
        <v>2344726.8155999999</v>
      </c>
      <c r="H37" s="69">
        <f>SUM(H36,H32,H26,H22,H18,H14,H10)</f>
        <v>2290913.6625999999</v>
      </c>
      <c r="I37" s="66"/>
      <c r="J37" s="69">
        <f t="shared" si="5"/>
        <v>9860333.8849999998</v>
      </c>
    </row>
    <row r="38" spans="2:11" s="7" customFormat="1" x14ac:dyDescent="0.25">
      <c r="B38" s="23"/>
      <c r="J38" s="7" t="s">
        <v>19</v>
      </c>
    </row>
    <row r="39" spans="2:11" s="7" customFormat="1" ht="30" x14ac:dyDescent="0.25">
      <c r="B39" s="62" t="s">
        <v>39</v>
      </c>
      <c r="C39" s="18" t="s">
        <v>39</v>
      </c>
      <c r="D39" s="19"/>
      <c r="E39" s="19"/>
      <c r="F39" s="19"/>
      <c r="G39" s="19"/>
      <c r="H39" s="19"/>
      <c r="J39" s="19" t="s">
        <v>19</v>
      </c>
    </row>
    <row r="40" spans="2:11" s="7" customFormat="1" x14ac:dyDescent="0.25">
      <c r="B40" s="22"/>
      <c r="C40" s="212" t="s">
        <v>112</v>
      </c>
      <c r="D40" s="185">
        <f>(D10+D14)*0.305</f>
        <v>13956.696300000001</v>
      </c>
      <c r="E40" s="185">
        <f>(E10+E14)*0.305</f>
        <v>29796.882463000002</v>
      </c>
      <c r="F40" s="185">
        <f>(F10+F14)*0.305</f>
        <v>30877.910311</v>
      </c>
      <c r="G40" s="185">
        <f>(G10+G14)*0.305</f>
        <v>31941.678757999998</v>
      </c>
      <c r="H40" s="185">
        <f>(H10+H14)*0.305</f>
        <v>33093.007093</v>
      </c>
      <c r="I40" s="186"/>
      <c r="J40" s="184">
        <f>SUM(D40:H40)</f>
        <v>139666.174925</v>
      </c>
    </row>
    <row r="41" spans="2:11" s="7" customFormat="1" x14ac:dyDescent="0.25">
      <c r="B41" s="22"/>
      <c r="C41" s="92"/>
      <c r="D41" s="91"/>
      <c r="E41" s="90"/>
      <c r="F41" s="90"/>
      <c r="G41" s="90"/>
      <c r="H41" s="90"/>
      <c r="I41" s="89"/>
      <c r="J41" s="88">
        <f t="shared" ref="J41:J42" si="9">SUM(D41:H41)</f>
        <v>0</v>
      </c>
    </row>
    <row r="42" spans="2:11" s="7" customFormat="1" x14ac:dyDescent="0.25">
      <c r="B42" s="24"/>
      <c r="C42" s="12" t="s">
        <v>20</v>
      </c>
      <c r="D42" s="69">
        <f>SUM(D40:D41)</f>
        <v>13956.696300000001</v>
      </c>
      <c r="E42" s="69">
        <f t="shared" ref="E42:H42" si="10">SUM(E40:E41)</f>
        <v>29796.882463000002</v>
      </c>
      <c r="F42" s="69">
        <f t="shared" si="10"/>
        <v>30877.910311</v>
      </c>
      <c r="G42" s="69">
        <f t="shared" si="10"/>
        <v>31941.678757999998</v>
      </c>
      <c r="H42" s="69">
        <f t="shared" si="10"/>
        <v>33093.007093</v>
      </c>
      <c r="I42" s="66"/>
      <c r="J42" s="69">
        <f t="shared" si="9"/>
        <v>139666.174925</v>
      </c>
    </row>
    <row r="43" spans="2:11" s="7" customFormat="1" ht="15.75" thickBot="1" x14ac:dyDescent="0.3">
      <c r="B43" s="23"/>
      <c r="J43" s="7" t="s">
        <v>19</v>
      </c>
    </row>
    <row r="44" spans="2:11" s="4" customFormat="1" ht="30.75" thickBot="1" x14ac:dyDescent="0.3">
      <c r="B44" s="20" t="s">
        <v>21</v>
      </c>
      <c r="C44" s="20"/>
      <c r="D44" s="74">
        <f>SUM(D42,D37)</f>
        <v>1059716.3563000001</v>
      </c>
      <c r="E44" s="74">
        <f t="shared" ref="E44:J44" si="11">SUM(E42,E37)</f>
        <v>1867491.5790629999</v>
      </c>
      <c r="F44" s="74">
        <f t="shared" si="11"/>
        <v>2372116.9605109999</v>
      </c>
      <c r="G44" s="74">
        <f t="shared" si="11"/>
        <v>2376668.4943579999</v>
      </c>
      <c r="H44" s="74">
        <f t="shared" si="11"/>
        <v>2324006.6696930001</v>
      </c>
      <c r="I44" s="66">
        <f>SUM(I42,I37)</f>
        <v>0</v>
      </c>
      <c r="J44" s="74">
        <f t="shared" si="11"/>
        <v>10000000.059924999</v>
      </c>
      <c r="K44" s="128"/>
    </row>
    <row r="45" spans="2:11" x14ac:dyDescent="0.25">
      <c r="B45" s="9"/>
      <c r="J45" s="7"/>
      <c r="K45" s="7"/>
    </row>
    <row r="46" spans="2:11" x14ac:dyDescent="0.25">
      <c r="B46" s="9"/>
    </row>
    <row r="47" spans="2:11" x14ac:dyDescent="0.25">
      <c r="B47" s="9"/>
    </row>
    <row r="48" spans="2:11" x14ac:dyDescent="0.25">
      <c r="B48" s="9"/>
    </row>
    <row r="49" spans="2:2" x14ac:dyDescent="0.25">
      <c r="B49" s="9"/>
    </row>
    <row r="50" spans="2:2" x14ac:dyDescent="0.25">
      <c r="B50" s="9"/>
    </row>
    <row r="51" spans="2:2" x14ac:dyDescent="0.25">
      <c r="B51" s="9"/>
    </row>
    <row r="52" spans="2:2" x14ac:dyDescent="0.25">
      <c r="B52" s="9"/>
    </row>
    <row r="53" spans="2:2" x14ac:dyDescent="0.25">
      <c r="B53" s="9"/>
    </row>
    <row r="54" spans="2:2" x14ac:dyDescent="0.25">
      <c r="B54" s="9"/>
    </row>
    <row r="55" spans="2:2" x14ac:dyDescent="0.25">
      <c r="B55" s="9"/>
    </row>
    <row r="56" spans="2:2" x14ac:dyDescent="0.25">
      <c r="B56" s="9"/>
    </row>
    <row r="57" spans="2:2" x14ac:dyDescent="0.25">
      <c r="B57" s="9"/>
    </row>
  </sheetData>
  <pageMargins left="0.7" right="0.7" top="0.75" bottom="0.75" header="0.3" footer="0.3"/>
  <pageSetup scale="86" fitToHeight="0" orientation="landscape" r:id="rId1"/>
  <ignoredErrors>
    <ignoredError sqref="J17 J8 J24 J34 J28:J30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X61"/>
  <sheetViews>
    <sheetView showGridLines="0" zoomScale="85" zoomScaleNormal="85" workbookViewId="0">
      <pane xSplit="3" ySplit="6" topLeftCell="D21" activePane="bottomRight" state="frozen"/>
      <selection pane="topRight" activeCell="R20" sqref="R20:W20"/>
      <selection pane="bottomLeft" activeCell="R20" sqref="R20:W20"/>
      <selection pane="bottomRight" activeCell="O30" sqref="O30"/>
    </sheetView>
  </sheetViews>
  <sheetFormatPr defaultColWidth="9.28515625" defaultRowHeight="15" x14ac:dyDescent="0.25"/>
  <cols>
    <col min="1" max="1" width="3.28515625" style="6" customWidth="1"/>
    <col min="2" max="2" width="9.7109375" style="6" customWidth="1"/>
    <col min="3" max="3" width="48.140625" style="6" customWidth="1"/>
    <col min="4" max="4" width="14.5703125" style="9" customWidth="1"/>
    <col min="5" max="5" width="12.42578125" style="3" customWidth="1"/>
    <col min="6" max="7" width="12.7109375" style="6" customWidth="1"/>
    <col min="8" max="8" width="13.42578125" style="3" customWidth="1"/>
    <col min="9" max="9" width="0.7109375" style="10" customWidth="1"/>
    <col min="10" max="10" width="14.42578125" style="6" customWidth="1"/>
    <col min="11" max="11" width="3.85546875" style="6" customWidth="1"/>
    <col min="12" max="12" width="9.28515625" style="6"/>
    <col min="13" max="13" width="11.5703125" style="6" bestFit="1" customWidth="1"/>
    <col min="14" max="14" width="9.28515625" style="6"/>
    <col min="15" max="15" width="10.5703125" style="6" bestFit="1" customWidth="1"/>
    <col min="16" max="16384" width="9.28515625" style="6"/>
  </cols>
  <sheetData>
    <row r="2" spans="2:50" ht="23.25" x14ac:dyDescent="0.35">
      <c r="B2" s="29" t="s">
        <v>29</v>
      </c>
    </row>
    <row r="3" spans="2:50" x14ac:dyDescent="0.25">
      <c r="B3" s="5"/>
    </row>
    <row r="4" spans="2:50" x14ac:dyDescent="0.25">
      <c r="B4" s="5"/>
    </row>
    <row r="5" spans="2:50" ht="18.75" x14ac:dyDescent="0.3">
      <c r="B5" s="32" t="s">
        <v>1</v>
      </c>
      <c r="C5" s="33"/>
      <c r="D5" s="33"/>
      <c r="E5" s="33"/>
      <c r="F5" s="33"/>
      <c r="G5" s="33"/>
      <c r="H5" s="33"/>
      <c r="I5" s="33"/>
      <c r="J5" s="3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30" x14ac:dyDescent="0.25">
      <c r="B6" s="35" t="s">
        <v>2</v>
      </c>
      <c r="C6" s="35" t="s">
        <v>3</v>
      </c>
      <c r="D6" s="35" t="s">
        <v>4</v>
      </c>
      <c r="E6" s="36" t="s">
        <v>5</v>
      </c>
      <c r="F6" s="36" t="s">
        <v>6</v>
      </c>
      <c r="G6" s="36" t="s">
        <v>7</v>
      </c>
      <c r="H6" s="37" t="s">
        <v>8</v>
      </c>
      <c r="I6" s="38"/>
      <c r="J6" s="39" t="s">
        <v>9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8" customFormat="1" x14ac:dyDescent="0.25">
      <c r="B7" s="21" t="s">
        <v>10</v>
      </c>
      <c r="C7" s="26" t="s">
        <v>31</v>
      </c>
      <c r="D7" s="13" t="s">
        <v>32</v>
      </c>
      <c r="E7" s="13" t="s">
        <v>32</v>
      </c>
      <c r="F7" s="13" t="s">
        <v>32</v>
      </c>
      <c r="G7" s="13"/>
      <c r="H7" s="13" t="s">
        <v>32</v>
      </c>
      <c r="I7" s="10"/>
      <c r="J7" s="11" t="s">
        <v>32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</row>
    <row r="8" spans="2:50" s="218" customFormat="1" ht="30" x14ac:dyDescent="0.25">
      <c r="B8" s="216"/>
      <c r="C8" s="183" t="s">
        <v>100</v>
      </c>
      <c r="D8" s="184">
        <v>87550</v>
      </c>
      <c r="E8" s="184">
        <f>90849*1.03</f>
        <v>93574.47</v>
      </c>
      <c r="F8" s="184">
        <f>94002*1.03</f>
        <v>96822.06</v>
      </c>
      <c r="G8" s="184">
        <f>97760*1.03</f>
        <v>100692.8</v>
      </c>
      <c r="H8" s="184">
        <f>101289*1.03</f>
        <v>104327.67</v>
      </c>
      <c r="I8" s="217">
        <v>450000</v>
      </c>
      <c r="J8" s="185">
        <f>SUM(D8:H8)</f>
        <v>482967</v>
      </c>
    </row>
    <row r="9" spans="2:50" s="7" customFormat="1" x14ac:dyDescent="0.25">
      <c r="B9" s="22"/>
      <c r="C9" s="85"/>
      <c r="D9" s="86"/>
      <c r="E9" s="86"/>
      <c r="F9" s="86"/>
      <c r="G9" s="86"/>
      <c r="H9" s="86"/>
      <c r="I9" s="93"/>
      <c r="J9" s="86"/>
    </row>
    <row r="10" spans="2:50" s="7" customFormat="1" x14ac:dyDescent="0.25">
      <c r="B10" s="22"/>
      <c r="C10" s="94"/>
      <c r="D10" s="88"/>
      <c r="E10" s="55"/>
      <c r="F10" s="55"/>
      <c r="G10" s="55"/>
      <c r="H10" s="55"/>
      <c r="I10" s="89"/>
      <c r="J10" s="88">
        <f>SUM(D10:H10)</f>
        <v>0</v>
      </c>
    </row>
    <row r="11" spans="2:50" s="7" customFormat="1" x14ac:dyDescent="0.25">
      <c r="B11" s="22"/>
      <c r="C11" s="76" t="s">
        <v>11</v>
      </c>
      <c r="D11" s="69">
        <f>SUM(D8:D10)</f>
        <v>87550</v>
      </c>
      <c r="E11" s="69">
        <f t="shared" ref="E11:J11" si="0">SUM(E8:E10)</f>
        <v>93574.47</v>
      </c>
      <c r="F11" s="69">
        <f t="shared" si="0"/>
        <v>96822.06</v>
      </c>
      <c r="G11" s="69">
        <f t="shared" si="0"/>
        <v>100692.8</v>
      </c>
      <c r="H11" s="69">
        <f t="shared" si="0"/>
        <v>104327.67</v>
      </c>
      <c r="I11" s="66">
        <f t="shared" si="0"/>
        <v>450000</v>
      </c>
      <c r="J11" s="69">
        <f t="shared" si="0"/>
        <v>482967</v>
      </c>
    </row>
    <row r="12" spans="2:50" s="7" customFormat="1" x14ac:dyDescent="0.25">
      <c r="B12" s="22"/>
      <c r="C12" s="77" t="s">
        <v>33</v>
      </c>
      <c r="D12" s="70" t="s">
        <v>32</v>
      </c>
      <c r="E12" s="65"/>
      <c r="F12" s="65"/>
      <c r="G12" s="65"/>
      <c r="H12" s="65"/>
      <c r="I12" s="66"/>
      <c r="J12" s="67" t="s">
        <v>32</v>
      </c>
    </row>
    <row r="13" spans="2:50" s="218" customFormat="1" x14ac:dyDescent="0.25">
      <c r="B13" s="216"/>
      <c r="C13" s="212" t="s">
        <v>101</v>
      </c>
      <c r="D13" s="184">
        <f>D8*0.34</f>
        <v>29767.000000000004</v>
      </c>
      <c r="E13" s="184">
        <f t="shared" ref="E13:H13" si="1">E8*0.34</f>
        <v>31815.319800000001</v>
      </c>
      <c r="F13" s="184">
        <f t="shared" si="1"/>
        <v>32919.500400000004</v>
      </c>
      <c r="G13" s="184">
        <f t="shared" si="1"/>
        <v>34235.552000000003</v>
      </c>
      <c r="H13" s="184">
        <f t="shared" si="1"/>
        <v>35471.407800000001</v>
      </c>
      <c r="I13" s="186"/>
      <c r="J13" s="184">
        <f>SUM(D13:H13)</f>
        <v>164208.78000000003</v>
      </c>
    </row>
    <row r="14" spans="2:50" s="7" customFormat="1" x14ac:dyDescent="0.25">
      <c r="B14" s="22"/>
      <c r="C14" s="92"/>
      <c r="D14" s="88"/>
      <c r="E14" s="88"/>
      <c r="F14" s="88"/>
      <c r="G14" s="88"/>
      <c r="H14" s="88"/>
      <c r="I14" s="89"/>
      <c r="J14" s="88">
        <f t="shared" ref="J14:J15" si="2">SUM(D14:H14)</f>
        <v>0</v>
      </c>
    </row>
    <row r="15" spans="2:50" s="7" customFormat="1" x14ac:dyDescent="0.25">
      <c r="B15" s="22"/>
      <c r="C15" s="90"/>
      <c r="D15" s="88"/>
      <c r="E15" s="55"/>
      <c r="F15" s="55"/>
      <c r="G15" s="55"/>
      <c r="H15" s="55"/>
      <c r="I15" s="89"/>
      <c r="J15" s="88">
        <f t="shared" si="2"/>
        <v>0</v>
      </c>
    </row>
    <row r="16" spans="2:50" s="7" customFormat="1" x14ac:dyDescent="0.25">
      <c r="B16" s="22"/>
      <c r="C16" s="76" t="s">
        <v>12</v>
      </c>
      <c r="D16" s="69">
        <f>SUM(D13:D15)</f>
        <v>29767.000000000004</v>
      </c>
      <c r="E16" s="69">
        <f t="shared" ref="E16:J16" si="3">SUM(E13:E15)</f>
        <v>31815.319800000001</v>
      </c>
      <c r="F16" s="69">
        <f t="shared" si="3"/>
        <v>32919.500400000004</v>
      </c>
      <c r="G16" s="69">
        <f t="shared" si="3"/>
        <v>34235.552000000003</v>
      </c>
      <c r="H16" s="69">
        <f t="shared" si="3"/>
        <v>35471.407800000001</v>
      </c>
      <c r="I16" s="66">
        <f t="shared" si="3"/>
        <v>0</v>
      </c>
      <c r="J16" s="69">
        <f t="shared" si="3"/>
        <v>164208.78000000003</v>
      </c>
    </row>
    <row r="17" spans="2:13" s="7" customFormat="1" x14ac:dyDescent="0.25">
      <c r="B17" s="22"/>
      <c r="C17" s="77" t="s">
        <v>34</v>
      </c>
      <c r="D17" s="70" t="s">
        <v>32</v>
      </c>
      <c r="E17" s="65"/>
      <c r="F17" s="65"/>
      <c r="G17" s="65"/>
      <c r="H17" s="65"/>
      <c r="I17" s="66"/>
      <c r="J17" s="67" t="s">
        <v>32</v>
      </c>
    </row>
    <row r="18" spans="2:13" s="7" customFormat="1" x14ac:dyDescent="0.25">
      <c r="B18" s="22"/>
      <c r="C18" s="92"/>
      <c r="D18" s="88"/>
      <c r="E18" s="88"/>
      <c r="F18" s="88"/>
      <c r="G18" s="88"/>
      <c r="H18" s="88"/>
      <c r="I18" s="87">
        <v>1638</v>
      </c>
      <c r="J18" s="88">
        <f t="shared" ref="J18" si="4">SUM(D18:H18)</f>
        <v>0</v>
      </c>
    </row>
    <row r="19" spans="2:13" s="7" customFormat="1" x14ac:dyDescent="0.25">
      <c r="B19" s="22"/>
      <c r="C19" s="76" t="s">
        <v>13</v>
      </c>
      <c r="D19" s="69">
        <f>SUM(D18:D18)</f>
        <v>0</v>
      </c>
      <c r="E19" s="69">
        <f>SUM(E18:E18)</f>
        <v>0</v>
      </c>
      <c r="F19" s="69">
        <f>SUM(F18:F18)</f>
        <v>0</v>
      </c>
      <c r="G19" s="69">
        <f>SUM(G18:G18)</f>
        <v>0</v>
      </c>
      <c r="H19" s="69">
        <f>SUM(H18:H18)</f>
        <v>0</v>
      </c>
      <c r="I19" s="66"/>
      <c r="J19" s="69">
        <f>SUM(J18:J18)</f>
        <v>0</v>
      </c>
    </row>
    <row r="20" spans="2:13" s="7" customFormat="1" x14ac:dyDescent="0.25">
      <c r="B20" s="22"/>
      <c r="C20" s="77" t="s">
        <v>35</v>
      </c>
      <c r="D20" s="68"/>
      <c r="E20" s="65"/>
      <c r="F20" s="65"/>
      <c r="G20" s="65"/>
      <c r="H20" s="65"/>
      <c r="I20" s="66"/>
      <c r="J20" s="68" t="s">
        <v>19</v>
      </c>
    </row>
    <row r="21" spans="2:13" s="7" customFormat="1" x14ac:dyDescent="0.25">
      <c r="B21" s="22"/>
      <c r="C21" s="92"/>
      <c r="D21" s="88"/>
      <c r="E21" s="90"/>
      <c r="F21" s="90"/>
      <c r="G21" s="90"/>
      <c r="H21" s="90"/>
      <c r="I21" s="89"/>
      <c r="J21" s="88">
        <f>SUM(D21:H21)</f>
        <v>0</v>
      </c>
    </row>
    <row r="22" spans="2:13" s="7" customFormat="1" x14ac:dyDescent="0.25">
      <c r="B22" s="22" t="s">
        <v>40</v>
      </c>
      <c r="C22" s="95" t="s">
        <v>40</v>
      </c>
      <c r="D22" s="91" t="s">
        <v>32</v>
      </c>
      <c r="E22" s="90"/>
      <c r="F22" s="90"/>
      <c r="G22" s="90"/>
      <c r="H22" s="90"/>
      <c r="I22" s="89"/>
      <c r="J22" s="88">
        <f t="shared" ref="J22:J41" si="5">SUM(D22:H22)</f>
        <v>0</v>
      </c>
    </row>
    <row r="23" spans="2:13" s="7" customFormat="1" x14ac:dyDescent="0.25">
      <c r="B23" s="22"/>
      <c r="C23" s="76" t="s">
        <v>14</v>
      </c>
      <c r="D23" s="71">
        <f>SUM(D21:D22)</f>
        <v>0</v>
      </c>
      <c r="E23" s="71">
        <f t="shared" ref="E23:H23" si="6">SUM(E21:E22)</f>
        <v>0</v>
      </c>
      <c r="F23" s="71">
        <f t="shared" si="6"/>
        <v>0</v>
      </c>
      <c r="G23" s="71">
        <f t="shared" si="6"/>
        <v>0</v>
      </c>
      <c r="H23" s="71">
        <f t="shared" si="6"/>
        <v>0</v>
      </c>
      <c r="I23" s="66"/>
      <c r="J23" s="69">
        <f>SUM(J21:J22)</f>
        <v>0</v>
      </c>
    </row>
    <row r="24" spans="2:13" s="7" customFormat="1" x14ac:dyDescent="0.25">
      <c r="B24" s="22"/>
      <c r="C24" s="77" t="s">
        <v>36</v>
      </c>
      <c r="D24" s="70" t="s">
        <v>32</v>
      </c>
      <c r="E24" s="65"/>
      <c r="F24" s="65"/>
      <c r="G24" s="65"/>
      <c r="H24" s="65"/>
      <c r="I24" s="66"/>
      <c r="J24" s="68"/>
    </row>
    <row r="25" spans="2:13" s="7" customFormat="1" x14ac:dyDescent="0.25">
      <c r="B25" s="22"/>
      <c r="C25" s="92"/>
      <c r="D25" s="88"/>
      <c r="E25" s="88"/>
      <c r="F25" s="88"/>
      <c r="G25" s="88"/>
      <c r="H25" s="88"/>
      <c r="I25" s="87">
        <v>5000</v>
      </c>
      <c r="J25" s="88">
        <f t="shared" si="5"/>
        <v>0</v>
      </c>
    </row>
    <row r="26" spans="2:13" s="7" customFormat="1" x14ac:dyDescent="0.25">
      <c r="B26" s="22"/>
      <c r="C26" s="92"/>
      <c r="D26" s="88"/>
      <c r="E26" s="55"/>
      <c r="F26" s="55"/>
      <c r="G26" s="55"/>
      <c r="H26" s="55"/>
      <c r="I26" s="89"/>
      <c r="J26" s="88">
        <f t="shared" si="5"/>
        <v>0</v>
      </c>
    </row>
    <row r="27" spans="2:13" s="7" customFormat="1" x14ac:dyDescent="0.25">
      <c r="B27" s="22"/>
      <c r="C27" s="76" t="s">
        <v>15</v>
      </c>
      <c r="D27" s="69">
        <f>SUM(D25:D26)</f>
        <v>0</v>
      </c>
      <c r="E27" s="69">
        <f t="shared" ref="E27:H27" si="7">SUM(E25:E26)</f>
        <v>0</v>
      </c>
      <c r="F27" s="69">
        <f t="shared" si="7"/>
        <v>0</v>
      </c>
      <c r="G27" s="69">
        <f t="shared" si="7"/>
        <v>0</v>
      </c>
      <c r="H27" s="69">
        <f t="shared" si="7"/>
        <v>0</v>
      </c>
      <c r="I27" s="66"/>
      <c r="J27" s="69">
        <f>SUM(J25:J26)</f>
        <v>0</v>
      </c>
    </row>
    <row r="28" spans="2:13" s="7" customFormat="1" x14ac:dyDescent="0.25">
      <c r="B28" s="22"/>
      <c r="C28" s="77" t="s">
        <v>37</v>
      </c>
      <c r="D28" s="70" t="s">
        <v>32</v>
      </c>
      <c r="E28" s="65"/>
      <c r="F28" s="65"/>
      <c r="G28" s="65"/>
      <c r="H28" s="65"/>
      <c r="I28" s="66"/>
      <c r="J28" s="68"/>
    </row>
    <row r="29" spans="2:13" s="7" customFormat="1" ht="30" x14ac:dyDescent="0.25">
      <c r="B29" s="22"/>
      <c r="C29" s="147" t="s">
        <v>118</v>
      </c>
      <c r="D29" s="88">
        <v>5752717.7999999998</v>
      </c>
      <c r="E29" s="88">
        <v>5752717.7999999998</v>
      </c>
      <c r="F29" s="88">
        <v>0</v>
      </c>
      <c r="G29" s="88">
        <v>0</v>
      </c>
      <c r="H29" s="88">
        <v>0</v>
      </c>
      <c r="I29" s="88"/>
      <c r="J29" s="88">
        <f>SUM(D29:H29)</f>
        <v>11505435.6</v>
      </c>
      <c r="M29" s="131"/>
    </row>
    <row r="30" spans="2:13" s="7" customFormat="1" ht="30" x14ac:dyDescent="0.25">
      <c r="B30" s="22"/>
      <c r="C30" s="148" t="s">
        <v>119</v>
      </c>
      <c r="D30" s="88">
        <v>75000</v>
      </c>
      <c r="E30" s="88">
        <v>75000</v>
      </c>
      <c r="F30" s="88">
        <v>0</v>
      </c>
      <c r="G30" s="88">
        <v>0</v>
      </c>
      <c r="H30" s="88">
        <v>0</v>
      </c>
      <c r="I30" s="88"/>
      <c r="J30" s="88">
        <f>SUM(D30:H30)</f>
        <v>150000</v>
      </c>
    </row>
    <row r="31" spans="2:13" s="7" customFormat="1" x14ac:dyDescent="0.25">
      <c r="B31" s="22"/>
      <c r="C31" s="95"/>
      <c r="D31" s="17"/>
      <c r="E31" s="17"/>
      <c r="F31" s="17"/>
      <c r="G31" s="17"/>
      <c r="H31" s="17"/>
      <c r="I31" s="17"/>
      <c r="J31" s="17">
        <f>SUM(D31:H31)</f>
        <v>0</v>
      </c>
    </row>
    <row r="32" spans="2:13" s="7" customFormat="1" x14ac:dyDescent="0.25">
      <c r="B32" s="22"/>
      <c r="C32" s="76" t="s">
        <v>16</v>
      </c>
      <c r="D32" s="69">
        <f>SUM(D29:D31)</f>
        <v>5827717.7999999998</v>
      </c>
      <c r="E32" s="69">
        <f>SUM(E29:E31)</f>
        <v>5827717.7999999998</v>
      </c>
      <c r="F32" s="69">
        <f>SUM(F29:F31)</f>
        <v>0</v>
      </c>
      <c r="G32" s="69">
        <f>SUM(G29:G31)</f>
        <v>0</v>
      </c>
      <c r="H32" s="69">
        <f>SUM(H29:H31)</f>
        <v>0</v>
      </c>
      <c r="I32" s="66"/>
      <c r="J32" s="69">
        <f>SUM(J29:J31)</f>
        <v>11655435.6</v>
      </c>
    </row>
    <row r="33" spans="2:15" s="7" customFormat="1" x14ac:dyDescent="0.25">
      <c r="B33" s="22"/>
      <c r="C33" s="77" t="s">
        <v>38</v>
      </c>
      <c r="D33" s="70" t="s">
        <v>32</v>
      </c>
      <c r="E33" s="65"/>
      <c r="F33" s="65"/>
      <c r="G33" s="65"/>
      <c r="H33" s="65"/>
      <c r="I33" s="66"/>
      <c r="J33" s="68"/>
    </row>
    <row r="34" spans="2:15" s="7" customFormat="1" ht="30" x14ac:dyDescent="0.25">
      <c r="B34" s="22"/>
      <c r="C34" s="156" t="s">
        <v>59</v>
      </c>
      <c r="D34" s="149">
        <f>SUM(D35:D38)</f>
        <v>1486985.861112</v>
      </c>
      <c r="E34" s="149">
        <f t="shared" ref="E34:H34" si="8">SUM(E35:E38)</f>
        <v>1495705.3269655602</v>
      </c>
      <c r="F34" s="149">
        <f t="shared" si="8"/>
        <v>1500709.8590273201</v>
      </c>
      <c r="G34" s="149">
        <f t="shared" si="8"/>
        <v>1505634.4900709603</v>
      </c>
      <c r="H34" s="149">
        <f t="shared" si="8"/>
        <v>1510964.4726211601</v>
      </c>
      <c r="I34" s="150">
        <v>375000</v>
      </c>
      <c r="J34" s="151">
        <f t="shared" si="5"/>
        <v>7500000.0097970013</v>
      </c>
    </row>
    <row r="35" spans="2:15" s="7" customFormat="1" ht="30" x14ac:dyDescent="0.25">
      <c r="B35" s="22"/>
      <c r="C35" s="167" t="s">
        <v>114</v>
      </c>
      <c r="D35" s="173">
        <v>68298</v>
      </c>
      <c r="E35" s="173">
        <f>70783*1.03</f>
        <v>72906.490000000005</v>
      </c>
      <c r="F35" s="173">
        <f>73351*1.03</f>
        <v>75551.53</v>
      </c>
      <c r="G35" s="173">
        <f>75878*1.03</f>
        <v>78154.34</v>
      </c>
      <c r="H35" s="173">
        <f>78613*1.03</f>
        <v>80971.39</v>
      </c>
      <c r="I35" s="173">
        <v>781250</v>
      </c>
      <c r="J35" s="173">
        <f t="shared" si="5"/>
        <v>375881.75</v>
      </c>
    </row>
    <row r="36" spans="2:15" s="7" customFormat="1" x14ac:dyDescent="0.25">
      <c r="B36" s="22"/>
      <c r="C36" s="164" t="s">
        <v>115</v>
      </c>
      <c r="D36" s="173">
        <f>D35*0.54</f>
        <v>36880.920000000006</v>
      </c>
      <c r="E36" s="173">
        <f t="shared" ref="E36:H36" si="9">E35*0.54</f>
        <v>39369.504600000007</v>
      </c>
      <c r="F36" s="173">
        <f t="shared" si="9"/>
        <v>40797.826200000003</v>
      </c>
      <c r="G36" s="173">
        <f t="shared" si="9"/>
        <v>42203.3436</v>
      </c>
      <c r="H36" s="173">
        <f t="shared" si="9"/>
        <v>43724.550600000002</v>
      </c>
      <c r="I36" s="173">
        <v>2083335</v>
      </c>
      <c r="J36" s="173">
        <f t="shared" si="5"/>
        <v>202976.14500000002</v>
      </c>
    </row>
    <row r="37" spans="2:15" s="7" customFormat="1" ht="30" x14ac:dyDescent="0.25">
      <c r="B37" s="22"/>
      <c r="C37" s="167" t="s">
        <v>116</v>
      </c>
      <c r="D37" s="173">
        <f>1358000-236.96</f>
        <v>1357763.04</v>
      </c>
      <c r="E37" s="173">
        <f t="shared" ref="E37:H37" si="10">1358000-236.96</f>
        <v>1357763.04</v>
      </c>
      <c r="F37" s="173">
        <f t="shared" si="10"/>
        <v>1357763.04</v>
      </c>
      <c r="G37" s="173">
        <f t="shared" si="10"/>
        <v>1357763.04</v>
      </c>
      <c r="H37" s="173">
        <f t="shared" si="10"/>
        <v>1357763.04</v>
      </c>
      <c r="I37" s="173"/>
      <c r="J37" s="173">
        <f t="shared" si="5"/>
        <v>6788815.2000000002</v>
      </c>
      <c r="O37" s="131"/>
    </row>
    <row r="38" spans="2:15" s="7" customFormat="1" x14ac:dyDescent="0.25">
      <c r="B38" s="22"/>
      <c r="C38" s="164" t="s">
        <v>117</v>
      </c>
      <c r="D38" s="173">
        <f>(D35+D36)*0.2286</f>
        <v>24043.901112000003</v>
      </c>
      <c r="E38" s="173">
        <f t="shared" ref="E38:H38" si="11">(E35+E36)*0.2286</f>
        <v>25666.292365560003</v>
      </c>
      <c r="F38" s="173">
        <f t="shared" si="11"/>
        <v>26597.462827320003</v>
      </c>
      <c r="G38" s="173">
        <f t="shared" si="11"/>
        <v>27513.766470959996</v>
      </c>
      <c r="H38" s="173">
        <f t="shared" si="11"/>
        <v>28505.49202116</v>
      </c>
      <c r="I38" s="173"/>
      <c r="J38" s="173">
        <f t="shared" si="5"/>
        <v>132326.914797</v>
      </c>
    </row>
    <row r="39" spans="2:15" s="7" customFormat="1" ht="30" x14ac:dyDescent="0.25">
      <c r="B39" s="22"/>
      <c r="C39" s="164" t="s">
        <v>55</v>
      </c>
      <c r="D39" s="88"/>
      <c r="E39" s="55"/>
      <c r="F39" s="55"/>
      <c r="G39" s="55"/>
      <c r="H39" s="55"/>
      <c r="I39" s="89"/>
      <c r="J39" s="88">
        <f t="shared" si="5"/>
        <v>0</v>
      </c>
    </row>
    <row r="40" spans="2:15" s="7" customFormat="1" x14ac:dyDescent="0.25">
      <c r="B40" s="24"/>
      <c r="C40" s="76" t="s">
        <v>17</v>
      </c>
      <c r="D40" s="69">
        <f>D34</f>
        <v>1486985.861112</v>
      </c>
      <c r="E40" s="69">
        <f t="shared" ref="E40:H40" si="12">E34</f>
        <v>1495705.3269655602</v>
      </c>
      <c r="F40" s="69">
        <f t="shared" si="12"/>
        <v>1500709.8590273201</v>
      </c>
      <c r="G40" s="69">
        <f t="shared" si="12"/>
        <v>1505634.4900709603</v>
      </c>
      <c r="H40" s="69">
        <f t="shared" si="12"/>
        <v>1510964.4726211601</v>
      </c>
      <c r="I40" s="66"/>
      <c r="J40" s="69">
        <f>SUM(J35:J39)</f>
        <v>7500000.0097970003</v>
      </c>
      <c r="K40" s="114"/>
      <c r="L40" s="131"/>
    </row>
    <row r="41" spans="2:15" s="7" customFormat="1" x14ac:dyDescent="0.25">
      <c r="B41" s="24"/>
      <c r="C41" s="76" t="s">
        <v>18</v>
      </c>
      <c r="D41" s="69">
        <f>SUM(D40,D32,D27,D23,D19,D16,D11)</f>
        <v>7432020.6611119993</v>
      </c>
      <c r="E41" s="69">
        <f>SUM(E40,E32,E27,E23,E19,E16,E11)</f>
        <v>7448812.9167655595</v>
      </c>
      <c r="F41" s="69">
        <f>SUM(F40,F32,F27,F23,F19,F16,F11)</f>
        <v>1630451.4194273201</v>
      </c>
      <c r="G41" s="69">
        <f>SUM(G40,G32,G27,G23,G19,G16,G11)</f>
        <v>1640562.8420709602</v>
      </c>
      <c r="H41" s="69">
        <f>SUM(H40,H32,H27,H23,H19,H16,H11)</f>
        <v>1650763.5504211599</v>
      </c>
      <c r="I41" s="66"/>
      <c r="J41" s="69">
        <f t="shared" si="5"/>
        <v>19802611.389796998</v>
      </c>
    </row>
    <row r="42" spans="2:15" s="7" customFormat="1" x14ac:dyDescent="0.25">
      <c r="B42" s="23"/>
      <c r="J42" s="7" t="s">
        <v>19</v>
      </c>
    </row>
    <row r="43" spans="2:15" s="7" customFormat="1" x14ac:dyDescent="0.25">
      <c r="B43" s="21" t="s">
        <v>39</v>
      </c>
      <c r="C43" s="18" t="s">
        <v>39</v>
      </c>
      <c r="D43" s="19"/>
      <c r="E43" s="19"/>
      <c r="F43" s="19"/>
      <c r="G43" s="19"/>
      <c r="H43" s="19"/>
      <c r="J43" s="19" t="s">
        <v>19</v>
      </c>
    </row>
    <row r="44" spans="2:15" s="7" customFormat="1" x14ac:dyDescent="0.25">
      <c r="B44" s="22"/>
      <c r="C44" s="92" t="s">
        <v>42</v>
      </c>
      <c r="D44" s="106">
        <f>(D11+D16)*0.305</f>
        <v>35781.684999999998</v>
      </c>
      <c r="E44" s="106">
        <f>(E11+E16)*0.305</f>
        <v>38243.885888999997</v>
      </c>
      <c r="F44" s="106">
        <f>(F11+F16)*0.305</f>
        <v>39571.175922000002</v>
      </c>
      <c r="G44" s="106">
        <f>(G11+G16)*0.305</f>
        <v>41153.147360000003</v>
      </c>
      <c r="H44" s="106">
        <f>(H11+H16)*0.305</f>
        <v>42638.718729</v>
      </c>
      <c r="I44" s="106">
        <f>(I8+I13)*0.305</f>
        <v>137250</v>
      </c>
      <c r="J44" s="88">
        <f>SUM(D44:H44)</f>
        <v>197388.61290000001</v>
      </c>
    </row>
    <row r="45" spans="2:15" s="7" customFormat="1" x14ac:dyDescent="0.25">
      <c r="B45" s="22"/>
      <c r="C45" s="92"/>
      <c r="D45" s="91"/>
      <c r="E45" s="90"/>
      <c r="F45" s="90"/>
      <c r="G45" s="90"/>
      <c r="H45" s="90"/>
      <c r="I45" s="89"/>
      <c r="J45" s="88">
        <f t="shared" ref="J45:J46" si="13">SUM(D45:H45)</f>
        <v>0</v>
      </c>
    </row>
    <row r="46" spans="2:15" s="7" customFormat="1" x14ac:dyDescent="0.25">
      <c r="B46" s="24"/>
      <c r="C46" s="12" t="s">
        <v>20</v>
      </c>
      <c r="D46" s="69">
        <f>SUM(D44:D45)</f>
        <v>35781.684999999998</v>
      </c>
      <c r="E46" s="69">
        <f t="shared" ref="E46:H46" si="14">SUM(E44:E45)</f>
        <v>38243.885888999997</v>
      </c>
      <c r="F46" s="69">
        <f t="shared" si="14"/>
        <v>39571.175922000002</v>
      </c>
      <c r="G46" s="69">
        <f t="shared" si="14"/>
        <v>41153.147360000003</v>
      </c>
      <c r="H46" s="69">
        <f t="shared" si="14"/>
        <v>42638.718729</v>
      </c>
      <c r="I46" s="66"/>
      <c r="J46" s="69">
        <f t="shared" si="13"/>
        <v>197388.61290000001</v>
      </c>
    </row>
    <row r="47" spans="2:15" s="7" customFormat="1" ht="15.75" thickBot="1" x14ac:dyDescent="0.3">
      <c r="B47" s="23"/>
      <c r="J47" s="7" t="s">
        <v>19</v>
      </c>
    </row>
    <row r="48" spans="2:15" s="4" customFormat="1" ht="30.75" thickBot="1" x14ac:dyDescent="0.3">
      <c r="B48" s="20" t="s">
        <v>21</v>
      </c>
      <c r="C48" s="20"/>
      <c r="D48" s="74">
        <f>SUM(D46,D41)</f>
        <v>7467802.3461119989</v>
      </c>
      <c r="E48" s="74">
        <f t="shared" ref="E48:J48" si="15">SUM(E46,E41)</f>
        <v>7487056.8026545597</v>
      </c>
      <c r="F48" s="74">
        <f t="shared" si="15"/>
        <v>1670022.5953493202</v>
      </c>
      <c r="G48" s="74">
        <f t="shared" si="15"/>
        <v>1681715.9894309603</v>
      </c>
      <c r="H48" s="74">
        <f t="shared" si="15"/>
        <v>1693402.26915016</v>
      </c>
      <c r="I48" s="66">
        <f>SUM(I46,I41)</f>
        <v>0</v>
      </c>
      <c r="J48" s="74">
        <f t="shared" si="15"/>
        <v>20000000.002696998</v>
      </c>
      <c r="K48" s="128"/>
    </row>
    <row r="49" spans="2:11" x14ac:dyDescent="0.25">
      <c r="B49" s="9"/>
      <c r="J49" s="7"/>
      <c r="K49" s="7"/>
    </row>
    <row r="50" spans="2:11" x14ac:dyDescent="0.25">
      <c r="B50" s="9"/>
    </row>
    <row r="51" spans="2:11" x14ac:dyDescent="0.25">
      <c r="B51" s="9"/>
    </row>
    <row r="52" spans="2:11" x14ac:dyDescent="0.25">
      <c r="B52" s="9"/>
    </row>
    <row r="53" spans="2:11" x14ac:dyDescent="0.25">
      <c r="B53" s="9"/>
    </row>
    <row r="54" spans="2:11" x14ac:dyDescent="0.25">
      <c r="B54" s="9"/>
    </row>
    <row r="55" spans="2:11" x14ac:dyDescent="0.25">
      <c r="B55" s="9"/>
    </row>
    <row r="56" spans="2:11" x14ac:dyDescent="0.25">
      <c r="B56" s="9"/>
    </row>
    <row r="57" spans="2:11" x14ac:dyDescent="0.25">
      <c r="B57" s="9"/>
    </row>
    <row r="58" spans="2:11" x14ac:dyDescent="0.25">
      <c r="B58" s="9"/>
    </row>
    <row r="59" spans="2:11" x14ac:dyDescent="0.25">
      <c r="B59" s="9"/>
    </row>
    <row r="60" spans="2:11" x14ac:dyDescent="0.25">
      <c r="B60" s="9"/>
    </row>
    <row r="61" spans="2:11" x14ac:dyDescent="0.25">
      <c r="B61" s="9"/>
    </row>
  </sheetData>
  <pageMargins left="0.7" right="0.7" top="0.75" bottom="0.75" header="0.3" footer="0.3"/>
  <pageSetup scale="89" fitToHeight="0" orientation="landscape" r:id="rId1"/>
  <ignoredErrors>
    <ignoredError sqref="J18 J25 J35:J36" formulaRange="1"/>
    <ignoredError sqref="J40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X57"/>
  <sheetViews>
    <sheetView showGridLines="0" zoomScale="85" zoomScaleNormal="85" workbookViewId="0">
      <pane xSplit="3" ySplit="6" topLeftCell="D18" activePane="bottomRight" state="frozen"/>
      <selection pane="topRight" activeCell="R20" sqref="R20:W20"/>
      <selection pane="bottomLeft" activeCell="R20" sqref="R20:W20"/>
      <selection pane="bottomRight" activeCell="J30" sqref="J30"/>
    </sheetView>
  </sheetViews>
  <sheetFormatPr defaultColWidth="9.28515625" defaultRowHeight="15" x14ac:dyDescent="0.25"/>
  <cols>
    <col min="1" max="1" width="3.28515625" style="6" customWidth="1"/>
    <col min="2" max="2" width="10.7109375" style="6" customWidth="1"/>
    <col min="3" max="3" width="47.140625" style="6" customWidth="1"/>
    <col min="4" max="4" width="12.7109375" style="9" customWidth="1"/>
    <col min="5" max="5" width="12.5703125" style="3" customWidth="1"/>
    <col min="6" max="6" width="13" style="6" customWidth="1"/>
    <col min="7" max="7" width="12.42578125" style="6" bestFit="1" customWidth="1"/>
    <col min="8" max="8" width="12.5703125" style="3" customWidth="1"/>
    <col min="9" max="9" width="0.7109375" style="10" customWidth="1"/>
    <col min="10" max="10" width="13.5703125" style="6" customWidth="1"/>
    <col min="11" max="11" width="16.5703125" style="6" customWidth="1"/>
    <col min="12" max="12" width="13.42578125" style="6" customWidth="1"/>
    <col min="13" max="16384" width="9.28515625" style="6"/>
  </cols>
  <sheetData>
    <row r="2" spans="2:50" ht="23.25" x14ac:dyDescent="0.35">
      <c r="B2" s="29" t="s">
        <v>29</v>
      </c>
    </row>
    <row r="3" spans="2:50" x14ac:dyDescent="0.25">
      <c r="B3" s="57"/>
    </row>
    <row r="4" spans="2:50" x14ac:dyDescent="0.25">
      <c r="B4" s="5"/>
    </row>
    <row r="5" spans="2:50" ht="18.75" x14ac:dyDescent="0.3">
      <c r="B5" s="32" t="s">
        <v>1</v>
      </c>
      <c r="C5" s="33"/>
      <c r="D5" s="33"/>
      <c r="E5" s="33"/>
      <c r="F5" s="33"/>
      <c r="G5" s="33"/>
      <c r="H5" s="33"/>
      <c r="I5" s="33"/>
      <c r="J5" s="3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35" t="s">
        <v>2</v>
      </c>
      <c r="C6" s="35" t="s">
        <v>3</v>
      </c>
      <c r="D6" s="35" t="s">
        <v>4</v>
      </c>
      <c r="E6" s="36" t="s">
        <v>5</v>
      </c>
      <c r="F6" s="36" t="s">
        <v>6</v>
      </c>
      <c r="G6" s="36" t="s">
        <v>7</v>
      </c>
      <c r="H6" s="37" t="s">
        <v>8</v>
      </c>
      <c r="I6" s="38"/>
      <c r="J6" s="39" t="s">
        <v>9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8" customFormat="1" x14ac:dyDescent="0.25">
      <c r="B7" s="21" t="s">
        <v>10</v>
      </c>
      <c r="C7" s="26" t="s">
        <v>31</v>
      </c>
      <c r="D7" s="13" t="s">
        <v>32</v>
      </c>
      <c r="E7" s="13" t="s">
        <v>32</v>
      </c>
      <c r="F7" s="13" t="s">
        <v>32</v>
      </c>
      <c r="G7" s="13"/>
      <c r="H7" s="13" t="s">
        <v>32</v>
      </c>
      <c r="I7" s="10"/>
      <c r="J7" s="11" t="s">
        <v>32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</row>
    <row r="8" spans="2:50" s="7" customFormat="1" ht="30" x14ac:dyDescent="0.25">
      <c r="B8" s="22"/>
      <c r="C8" s="92" t="s">
        <v>102</v>
      </c>
      <c r="D8" s="88">
        <v>68298</v>
      </c>
      <c r="E8" s="88">
        <f>70783*1.03</f>
        <v>72906.490000000005</v>
      </c>
      <c r="F8" s="88">
        <f>73351*1.03</f>
        <v>75551.53</v>
      </c>
      <c r="G8" s="88">
        <f>75878*1.03</f>
        <v>78154.34</v>
      </c>
      <c r="H8" s="88">
        <f>75878*1.03</f>
        <v>78154.34</v>
      </c>
      <c r="I8" s="87">
        <v>450000</v>
      </c>
      <c r="J8" s="88">
        <f>SUM(D8:H8)</f>
        <v>373064.69999999995</v>
      </c>
    </row>
    <row r="9" spans="2:50" s="7" customFormat="1" x14ac:dyDescent="0.25">
      <c r="B9" s="22"/>
      <c r="C9" s="92" t="s">
        <v>105</v>
      </c>
      <c r="D9" s="88">
        <v>0</v>
      </c>
      <c r="E9" s="88">
        <f>70783*2</f>
        <v>141566</v>
      </c>
      <c r="F9" s="88">
        <f>73351*1.03*2</f>
        <v>151103.06</v>
      </c>
      <c r="G9" s="88">
        <f>75878*1.03*2</f>
        <v>156308.68</v>
      </c>
      <c r="H9" s="88">
        <f>78613*1.03*2</f>
        <v>161942.78</v>
      </c>
      <c r="I9" s="89"/>
      <c r="J9" s="88">
        <f>SUM(D9:H9)</f>
        <v>610920.52</v>
      </c>
    </row>
    <row r="10" spans="2:50" s="7" customFormat="1" x14ac:dyDescent="0.25">
      <c r="B10" s="22"/>
      <c r="C10" s="92" t="s">
        <v>106</v>
      </c>
      <c r="D10" s="88">
        <v>0</v>
      </c>
      <c r="E10" s="88">
        <f>95192</f>
        <v>95192</v>
      </c>
      <c r="F10" s="88">
        <f>98950*1.03</f>
        <v>101918.5</v>
      </c>
      <c r="G10" s="88">
        <f>102897*1.03</f>
        <v>105983.91</v>
      </c>
      <c r="H10" s="88">
        <f>106947*1.03</f>
        <v>110155.41</v>
      </c>
      <c r="I10" s="89"/>
      <c r="J10" s="88">
        <f>SUM(D10:H10)</f>
        <v>413249.82000000007</v>
      </c>
    </row>
    <row r="11" spans="2:50" s="7" customFormat="1" x14ac:dyDescent="0.25">
      <c r="B11" s="22"/>
      <c r="C11" s="12" t="s">
        <v>11</v>
      </c>
      <c r="D11" s="69">
        <f t="shared" ref="D11:I11" si="0">SUM(D8:D10)</f>
        <v>68298</v>
      </c>
      <c r="E11" s="69">
        <f t="shared" si="0"/>
        <v>309664.49</v>
      </c>
      <c r="F11" s="69">
        <f t="shared" si="0"/>
        <v>328573.08999999997</v>
      </c>
      <c r="G11" s="69">
        <f t="shared" si="0"/>
        <v>340446.93</v>
      </c>
      <c r="H11" s="69">
        <f t="shared" si="0"/>
        <v>350252.53</v>
      </c>
      <c r="I11" s="66">
        <f t="shared" si="0"/>
        <v>450000</v>
      </c>
      <c r="J11" s="69">
        <f>SUM(J8:J10)</f>
        <v>1397235.04</v>
      </c>
    </row>
    <row r="12" spans="2:50" s="7" customFormat="1" x14ac:dyDescent="0.25">
      <c r="B12" s="22"/>
      <c r="C12" s="16" t="s">
        <v>43</v>
      </c>
      <c r="I12" s="10"/>
      <c r="J12" s="11" t="s">
        <v>32</v>
      </c>
    </row>
    <row r="13" spans="2:50" s="7" customFormat="1" x14ac:dyDescent="0.25">
      <c r="B13" s="22"/>
      <c r="C13" s="85" t="s">
        <v>44</v>
      </c>
      <c r="D13" s="86">
        <f>D8*0.34</f>
        <v>23221.320000000003</v>
      </c>
      <c r="E13" s="86">
        <f t="shared" ref="E13:H13" si="1">E8*0.34</f>
        <v>24788.206600000005</v>
      </c>
      <c r="F13" s="86">
        <f t="shared" si="1"/>
        <v>25687.520200000003</v>
      </c>
      <c r="G13" s="86">
        <f t="shared" si="1"/>
        <v>26572.475600000002</v>
      </c>
      <c r="H13" s="86">
        <f t="shared" si="1"/>
        <v>26572.475600000002</v>
      </c>
      <c r="I13" s="89"/>
      <c r="J13" s="88">
        <f t="shared" ref="J13:J15" si="2">SUM(D13:H13)</f>
        <v>126841.99800000002</v>
      </c>
    </row>
    <row r="14" spans="2:50" s="7" customFormat="1" x14ac:dyDescent="0.25">
      <c r="B14" s="22"/>
      <c r="C14" s="85" t="s">
        <v>45</v>
      </c>
      <c r="D14" s="86">
        <f t="shared" ref="D14:H15" si="3">D9*0.34</f>
        <v>0</v>
      </c>
      <c r="E14" s="86">
        <f t="shared" si="3"/>
        <v>48132.44</v>
      </c>
      <c r="F14" s="86">
        <f t="shared" si="3"/>
        <v>51375.040400000005</v>
      </c>
      <c r="G14" s="86">
        <f t="shared" si="3"/>
        <v>53144.951200000003</v>
      </c>
      <c r="H14" s="86">
        <f t="shared" si="3"/>
        <v>55060.5452</v>
      </c>
      <c r="I14" s="89"/>
      <c r="J14" s="88">
        <f t="shared" si="2"/>
        <v>207712.9768</v>
      </c>
    </row>
    <row r="15" spans="2:50" s="7" customFormat="1" x14ac:dyDescent="0.25">
      <c r="B15" s="22"/>
      <c r="C15" s="85" t="s">
        <v>46</v>
      </c>
      <c r="D15" s="86">
        <f t="shared" si="3"/>
        <v>0</v>
      </c>
      <c r="E15" s="86">
        <f t="shared" si="3"/>
        <v>32365.280000000002</v>
      </c>
      <c r="F15" s="86">
        <f t="shared" si="3"/>
        <v>34652.29</v>
      </c>
      <c r="G15" s="86">
        <f t="shared" si="3"/>
        <v>36034.529400000007</v>
      </c>
      <c r="H15" s="86">
        <f t="shared" si="3"/>
        <v>37452.839400000004</v>
      </c>
      <c r="I15" s="89"/>
      <c r="J15" s="88">
        <f t="shared" si="2"/>
        <v>140504.9388</v>
      </c>
    </row>
    <row r="16" spans="2:50" s="7" customFormat="1" x14ac:dyDescent="0.25">
      <c r="B16" s="22"/>
      <c r="C16" s="12" t="s">
        <v>12</v>
      </c>
      <c r="D16" s="69">
        <f>SUM(D13:D15)</f>
        <v>23221.320000000003</v>
      </c>
      <c r="E16" s="69">
        <f>SUM(E13:E15)</f>
        <v>105285.92660000001</v>
      </c>
      <c r="F16" s="69">
        <f>SUM(F13:F15)</f>
        <v>111714.85060000001</v>
      </c>
      <c r="G16" s="69">
        <f>SUM(G13:G15)</f>
        <v>115751.95620000002</v>
      </c>
      <c r="H16" s="69">
        <f>SUM(H13:H15)</f>
        <v>119085.8602</v>
      </c>
      <c r="I16" s="66">
        <f t="shared" ref="I16:J16" si="4">SUM(I13:I15)</f>
        <v>0</v>
      </c>
      <c r="J16" s="69">
        <f t="shared" si="4"/>
        <v>475059.91360000003</v>
      </c>
    </row>
    <row r="17" spans="2:11" s="7" customFormat="1" x14ac:dyDescent="0.25">
      <c r="B17" s="22"/>
      <c r="C17" s="16" t="s">
        <v>34</v>
      </c>
      <c r="D17" s="15" t="s">
        <v>32</v>
      </c>
      <c r="E17" s="13"/>
      <c r="F17" s="13"/>
      <c r="G17" s="13"/>
      <c r="H17" s="13"/>
      <c r="I17" s="10"/>
      <c r="J17" s="11" t="s">
        <v>32</v>
      </c>
    </row>
    <row r="18" spans="2:11" s="7" customFormat="1" ht="45" x14ac:dyDescent="0.25">
      <c r="B18" s="22"/>
      <c r="C18" s="92" t="s">
        <v>120</v>
      </c>
      <c r="D18" s="88">
        <v>0</v>
      </c>
      <c r="E18" s="88">
        <v>0</v>
      </c>
      <c r="F18" s="88">
        <v>0</v>
      </c>
      <c r="G18" s="88">
        <f>16281/2</f>
        <v>8140.5</v>
      </c>
      <c r="H18" s="88">
        <f>16281/2</f>
        <v>8140.5</v>
      </c>
      <c r="I18" s="87">
        <v>2000</v>
      </c>
      <c r="J18" s="88">
        <f>SUM(D18:H18)</f>
        <v>16281</v>
      </c>
    </row>
    <row r="19" spans="2:11" s="7" customFormat="1" x14ac:dyDescent="0.25">
      <c r="B19" s="22"/>
      <c r="C19" s="28"/>
      <c r="D19" s="17"/>
      <c r="E19" s="17"/>
      <c r="F19" s="17"/>
      <c r="G19" s="17"/>
      <c r="H19" s="17"/>
      <c r="I19" s="31">
        <v>250</v>
      </c>
      <c r="J19" s="17">
        <f t="shared" ref="J19" si="5">SUM(D19:H19)</f>
        <v>0</v>
      </c>
    </row>
    <row r="20" spans="2:11" s="7" customFormat="1" x14ac:dyDescent="0.25">
      <c r="B20" s="22"/>
      <c r="C20" s="12" t="s">
        <v>13</v>
      </c>
      <c r="D20" s="69">
        <f>SUM(D18:D19)</f>
        <v>0</v>
      </c>
      <c r="E20" s="69">
        <f>SUM(E18:E19)</f>
        <v>0</v>
      </c>
      <c r="F20" s="69">
        <f>SUM(F18:F19)</f>
        <v>0</v>
      </c>
      <c r="G20" s="69">
        <f>SUM(G18:G19)</f>
        <v>8140.5</v>
      </c>
      <c r="H20" s="69">
        <f>SUM(H18:H19)</f>
        <v>8140.5</v>
      </c>
      <c r="I20" s="66"/>
      <c r="J20" s="69">
        <f>SUM(D20:H20)</f>
        <v>16281</v>
      </c>
    </row>
    <row r="21" spans="2:11" s="7" customFormat="1" x14ac:dyDescent="0.25">
      <c r="B21" s="22"/>
      <c r="C21" s="16" t="s">
        <v>35</v>
      </c>
      <c r="D21" s="17"/>
      <c r="E21" s="13"/>
      <c r="F21" s="13"/>
      <c r="G21" s="13"/>
      <c r="H21" s="13"/>
      <c r="I21" s="10"/>
      <c r="J21" s="17" t="s">
        <v>19</v>
      </c>
    </row>
    <row r="22" spans="2:11" s="7" customFormat="1" x14ac:dyDescent="0.25">
      <c r="B22" s="22"/>
      <c r="C22" s="25"/>
      <c r="D22" s="17"/>
      <c r="E22" s="13"/>
      <c r="F22" s="13"/>
      <c r="G22" s="13"/>
      <c r="H22" s="13"/>
      <c r="I22" s="10"/>
      <c r="J22" s="17">
        <f>SUM(D22:H22)</f>
        <v>0</v>
      </c>
    </row>
    <row r="23" spans="2:11" s="7" customFormat="1" x14ac:dyDescent="0.25">
      <c r="B23" s="22" t="s">
        <v>40</v>
      </c>
      <c r="C23" s="27" t="s">
        <v>40</v>
      </c>
      <c r="D23" s="15" t="s">
        <v>32</v>
      </c>
      <c r="E23" s="13"/>
      <c r="F23" s="13"/>
      <c r="G23" s="13"/>
      <c r="H23" s="13"/>
      <c r="I23" s="10"/>
      <c r="J23" s="17">
        <f t="shared" ref="J23:J39" si="6">SUM(D23:H23)</f>
        <v>0</v>
      </c>
    </row>
    <row r="24" spans="2:11" s="7" customFormat="1" x14ac:dyDescent="0.25">
      <c r="B24" s="22"/>
      <c r="C24" s="12" t="s">
        <v>14</v>
      </c>
      <c r="D24" s="71">
        <f>SUM(D22:D23)</f>
        <v>0</v>
      </c>
      <c r="E24" s="71">
        <f t="shared" ref="E24:H24" si="7">SUM(E22:E23)</f>
        <v>0</v>
      </c>
      <c r="F24" s="71">
        <f t="shared" si="7"/>
        <v>0</v>
      </c>
      <c r="G24" s="71">
        <f t="shared" si="7"/>
        <v>0</v>
      </c>
      <c r="H24" s="71">
        <f t="shared" si="7"/>
        <v>0</v>
      </c>
      <c r="I24" s="66"/>
      <c r="J24" s="69">
        <f t="shared" si="6"/>
        <v>0</v>
      </c>
    </row>
    <row r="25" spans="2:11" s="7" customFormat="1" x14ac:dyDescent="0.25">
      <c r="B25" s="22"/>
      <c r="C25" s="16" t="s">
        <v>36</v>
      </c>
      <c r="D25" s="15" t="s">
        <v>32</v>
      </c>
      <c r="E25" s="13"/>
      <c r="F25" s="13"/>
      <c r="G25" s="13"/>
      <c r="H25" s="13"/>
      <c r="I25" s="10"/>
      <c r="J25" s="17"/>
    </row>
    <row r="26" spans="2:11" s="7" customFormat="1" x14ac:dyDescent="0.25">
      <c r="B26" s="22"/>
      <c r="C26" s="25"/>
      <c r="D26" s="17"/>
      <c r="E26" s="17"/>
      <c r="F26" s="17"/>
      <c r="G26" s="17"/>
      <c r="H26" s="17"/>
      <c r="I26" s="31">
        <v>5000</v>
      </c>
      <c r="J26" s="17">
        <f t="shared" si="6"/>
        <v>0</v>
      </c>
    </row>
    <row r="27" spans="2:11" s="7" customFormat="1" x14ac:dyDescent="0.25">
      <c r="B27" s="22"/>
      <c r="C27" s="25"/>
      <c r="D27" s="17"/>
      <c r="E27" s="14"/>
      <c r="F27" s="14"/>
      <c r="G27" s="14"/>
      <c r="H27" s="14"/>
      <c r="I27" s="10"/>
      <c r="J27" s="17">
        <f t="shared" si="6"/>
        <v>0</v>
      </c>
    </row>
    <row r="28" spans="2:11" s="7" customFormat="1" x14ac:dyDescent="0.25">
      <c r="B28" s="22"/>
      <c r="C28" s="12" t="s">
        <v>15</v>
      </c>
      <c r="D28" s="69">
        <f>SUM(D26:D27)</f>
        <v>0</v>
      </c>
      <c r="E28" s="69">
        <f t="shared" ref="E28:H28" si="8">SUM(E26:E27)</f>
        <v>0</v>
      </c>
      <c r="F28" s="69">
        <f t="shared" si="8"/>
        <v>0</v>
      </c>
      <c r="G28" s="69">
        <f t="shared" si="8"/>
        <v>0</v>
      </c>
      <c r="H28" s="69">
        <f t="shared" si="8"/>
        <v>0</v>
      </c>
      <c r="I28" s="66"/>
      <c r="J28" s="69">
        <f t="shared" si="6"/>
        <v>0</v>
      </c>
    </row>
    <row r="29" spans="2:11" s="7" customFormat="1" x14ac:dyDescent="0.25">
      <c r="B29" s="22"/>
      <c r="C29" s="16" t="s">
        <v>37</v>
      </c>
      <c r="D29" s="15" t="s">
        <v>32</v>
      </c>
      <c r="E29" s="13"/>
      <c r="F29" s="13"/>
      <c r="G29" s="13"/>
      <c r="H29" s="13"/>
      <c r="I29" s="10"/>
      <c r="J29" s="17"/>
    </row>
    <row r="30" spans="2:11" s="7" customFormat="1" ht="45" x14ac:dyDescent="0.25">
      <c r="B30" s="22"/>
      <c r="C30" s="92" t="s">
        <v>121</v>
      </c>
      <c r="D30" s="88">
        <v>0</v>
      </c>
      <c r="E30" s="88">
        <f>12523975/2</f>
        <v>6261987.5</v>
      </c>
      <c r="F30" s="88">
        <f>12523975/2</f>
        <v>6261987.5</v>
      </c>
      <c r="G30" s="88">
        <v>0</v>
      </c>
      <c r="H30" s="88">
        <v>0</v>
      </c>
      <c r="I30" s="87">
        <v>22500000</v>
      </c>
      <c r="J30" s="88">
        <f>SUM(D30:H30)</f>
        <v>12523975</v>
      </c>
      <c r="K30" s="131"/>
    </row>
    <row r="31" spans="2:11" s="7" customFormat="1" ht="75" x14ac:dyDescent="0.25">
      <c r="B31" s="22"/>
      <c r="C31" s="92" t="s">
        <v>122</v>
      </c>
      <c r="D31" s="88">
        <v>0</v>
      </c>
      <c r="E31" s="88">
        <v>8000000</v>
      </c>
      <c r="F31" s="88">
        <v>8000000</v>
      </c>
      <c r="G31" s="88">
        <v>0</v>
      </c>
      <c r="H31" s="88">
        <v>0</v>
      </c>
      <c r="I31" s="87"/>
      <c r="J31" s="88">
        <f t="shared" si="6"/>
        <v>16000000</v>
      </c>
    </row>
    <row r="32" spans="2:11" s="7" customFormat="1" ht="30" x14ac:dyDescent="0.25">
      <c r="B32" s="22"/>
      <c r="C32" s="92" t="s">
        <v>125</v>
      </c>
      <c r="D32" s="88">
        <v>2000000</v>
      </c>
      <c r="E32" s="88">
        <v>0</v>
      </c>
      <c r="F32" s="88">
        <v>0</v>
      </c>
      <c r="G32" s="88">
        <v>0</v>
      </c>
      <c r="H32" s="88">
        <v>0</v>
      </c>
      <c r="I32" s="87"/>
      <c r="J32" s="88">
        <f>SUM(D32:H32)</f>
        <v>2000000</v>
      </c>
    </row>
    <row r="33" spans="2:12" s="7" customFormat="1" ht="30" x14ac:dyDescent="0.25">
      <c r="B33" s="22"/>
      <c r="C33" s="92" t="s">
        <v>123</v>
      </c>
      <c r="D33" s="88">
        <v>0</v>
      </c>
      <c r="E33" s="88">
        <v>428000</v>
      </c>
      <c r="F33" s="88">
        <v>0</v>
      </c>
      <c r="G33" s="88">
        <v>0</v>
      </c>
      <c r="H33" s="88">
        <v>0</v>
      </c>
      <c r="I33" s="87">
        <v>75000000</v>
      </c>
      <c r="J33" s="88">
        <f t="shared" si="6"/>
        <v>428000</v>
      </c>
    </row>
    <row r="34" spans="2:12" s="7" customFormat="1" x14ac:dyDescent="0.25">
      <c r="B34" s="22"/>
      <c r="C34" s="12" t="s">
        <v>16</v>
      </c>
      <c r="D34" s="69">
        <f>SUM(D30:D33)</f>
        <v>2000000</v>
      </c>
      <c r="E34" s="69">
        <f t="shared" ref="E34:H34" si="9">SUM(E30:E33)</f>
        <v>14689987.5</v>
      </c>
      <c r="F34" s="69">
        <f t="shared" si="9"/>
        <v>14261987.5</v>
      </c>
      <c r="G34" s="69">
        <f t="shared" si="9"/>
        <v>0</v>
      </c>
      <c r="H34" s="69">
        <f t="shared" si="9"/>
        <v>0</v>
      </c>
      <c r="I34" s="66"/>
      <c r="J34" s="69">
        <f t="shared" si="6"/>
        <v>30951975</v>
      </c>
    </row>
    <row r="35" spans="2:12" s="7" customFormat="1" x14ac:dyDescent="0.25">
      <c r="B35" s="22"/>
      <c r="C35" s="16" t="s">
        <v>38</v>
      </c>
      <c r="D35" s="15" t="s">
        <v>32</v>
      </c>
      <c r="E35" s="13"/>
      <c r="F35" s="13"/>
      <c r="G35" s="13"/>
      <c r="H35" s="13"/>
      <c r="I35" s="10"/>
      <c r="J35" s="17"/>
    </row>
    <row r="36" spans="2:12" s="7" customFormat="1" x14ac:dyDescent="0.25">
      <c r="B36" s="22"/>
      <c r="C36" s="25"/>
      <c r="D36" s="17"/>
      <c r="E36" s="17"/>
      <c r="F36" s="17"/>
      <c r="G36" s="17"/>
      <c r="H36" s="17"/>
      <c r="I36" s="31">
        <v>375000</v>
      </c>
      <c r="J36" s="17">
        <f t="shared" si="6"/>
        <v>0</v>
      </c>
    </row>
    <row r="37" spans="2:12" s="7" customFormat="1" x14ac:dyDescent="0.25">
      <c r="B37" s="22"/>
      <c r="C37" s="13"/>
      <c r="D37" s="17"/>
      <c r="E37" s="14"/>
      <c r="F37" s="14"/>
      <c r="G37" s="14"/>
      <c r="H37" s="14"/>
      <c r="I37" s="10"/>
      <c r="J37" s="17">
        <f t="shared" si="6"/>
        <v>0</v>
      </c>
    </row>
    <row r="38" spans="2:12" s="7" customFormat="1" x14ac:dyDescent="0.25">
      <c r="B38" s="24"/>
      <c r="C38" s="12" t="s">
        <v>17</v>
      </c>
      <c r="D38" s="69">
        <f>SUM(D36:D37)</f>
        <v>0</v>
      </c>
      <c r="E38" s="69">
        <f>SUM(E36:E37)</f>
        <v>0</v>
      </c>
      <c r="F38" s="69">
        <f>SUM(F36:F37)</f>
        <v>0</v>
      </c>
      <c r="G38" s="69">
        <f>SUM(G36:G37)</f>
        <v>0</v>
      </c>
      <c r="H38" s="69">
        <f>SUM(H36:H37)</f>
        <v>0</v>
      </c>
      <c r="I38" s="66"/>
      <c r="J38" s="69">
        <f t="shared" si="6"/>
        <v>0</v>
      </c>
    </row>
    <row r="39" spans="2:12" s="7" customFormat="1" x14ac:dyDescent="0.25">
      <c r="B39" s="24"/>
      <c r="C39" s="12" t="s">
        <v>18</v>
      </c>
      <c r="D39" s="69">
        <f>SUM(D38,D34,D28,D24,D20,D16,D11)</f>
        <v>2091519.32</v>
      </c>
      <c r="E39" s="69">
        <f>SUM(E38,E34,E28,E24,E20,E16,E11)</f>
        <v>15104937.9166</v>
      </c>
      <c r="F39" s="69">
        <f>SUM(F38,F34,F28,F24,F20,F16,F11)</f>
        <v>14702275.4406</v>
      </c>
      <c r="G39" s="69">
        <f>SUM(G38,G34,G28,G24,G20,G16,G11)</f>
        <v>464339.38620000001</v>
      </c>
      <c r="H39" s="69">
        <f>SUM(H38,H34,H28,H24,H20,H16,H11)</f>
        <v>477478.89020000002</v>
      </c>
      <c r="I39" s="66"/>
      <c r="J39" s="69">
        <f t="shared" si="6"/>
        <v>32840550.953600001</v>
      </c>
    </row>
    <row r="40" spans="2:12" s="7" customFormat="1" x14ac:dyDescent="0.25">
      <c r="B40" s="23"/>
      <c r="J40" s="7" t="s">
        <v>19</v>
      </c>
    </row>
    <row r="41" spans="2:12" s="7" customFormat="1" ht="30" x14ac:dyDescent="0.25">
      <c r="B41" s="62" t="s">
        <v>39</v>
      </c>
      <c r="C41" s="18" t="s">
        <v>39</v>
      </c>
      <c r="D41" s="19"/>
      <c r="E41" s="19"/>
      <c r="F41" s="19"/>
      <c r="G41" s="19"/>
      <c r="H41" s="19"/>
      <c r="J41" s="19" t="s">
        <v>19</v>
      </c>
    </row>
    <row r="42" spans="2:12" s="7" customFormat="1" x14ac:dyDescent="0.25">
      <c r="B42" s="22"/>
      <c r="C42" s="92" t="s">
        <v>124</v>
      </c>
      <c r="D42" s="88">
        <f>(D11+D16)*0.305</f>
        <v>27913.392600000003</v>
      </c>
      <c r="E42" s="88">
        <f>(E11+E16)*0.305</f>
        <v>126559.87706299999</v>
      </c>
      <c r="F42" s="88">
        <f>(F11+F16)*0.305</f>
        <v>134287.821883</v>
      </c>
      <c r="G42" s="88">
        <f>(G11+G16)*0.305</f>
        <v>139140.66029100001</v>
      </c>
      <c r="H42" s="88">
        <f>(H11+H16)*0.305</f>
        <v>143148.209011</v>
      </c>
      <c r="I42" s="89"/>
      <c r="J42" s="88">
        <f>SUM(D42:H42)</f>
        <v>571049.96084800002</v>
      </c>
    </row>
    <row r="43" spans="2:12" s="7" customFormat="1" x14ac:dyDescent="0.25">
      <c r="B43" s="22"/>
      <c r="C43" s="25"/>
      <c r="D43" s="15"/>
      <c r="E43" s="13"/>
      <c r="F43" s="13"/>
      <c r="G43" s="13"/>
      <c r="H43" s="13"/>
      <c r="I43" s="10"/>
      <c r="J43" s="17">
        <f t="shared" ref="J43:J44" si="10">SUM(D43:H43)</f>
        <v>0</v>
      </c>
    </row>
    <row r="44" spans="2:12" s="7" customFormat="1" x14ac:dyDescent="0.25">
      <c r="B44" s="24"/>
      <c r="C44" s="12" t="s">
        <v>20</v>
      </c>
      <c r="D44" s="69">
        <f>SUM(D42:D43)</f>
        <v>27913.392600000003</v>
      </c>
      <c r="E44" s="69">
        <f t="shared" ref="E44:H44" si="11">SUM(E42:E43)</f>
        <v>126559.87706299999</v>
      </c>
      <c r="F44" s="69">
        <f t="shared" si="11"/>
        <v>134287.821883</v>
      </c>
      <c r="G44" s="69">
        <f t="shared" si="11"/>
        <v>139140.66029100001</v>
      </c>
      <c r="H44" s="69">
        <f t="shared" si="11"/>
        <v>143148.209011</v>
      </c>
      <c r="I44" s="66"/>
      <c r="J44" s="69">
        <f t="shared" si="10"/>
        <v>571049.96084800002</v>
      </c>
    </row>
    <row r="45" spans="2:12" s="7" customFormat="1" ht="15.75" thickBot="1" x14ac:dyDescent="0.3">
      <c r="B45" s="23"/>
      <c r="J45" s="7" t="s">
        <v>19</v>
      </c>
    </row>
    <row r="46" spans="2:12" s="4" customFormat="1" ht="30.75" thickBot="1" x14ac:dyDescent="0.3">
      <c r="B46" s="20" t="s">
        <v>21</v>
      </c>
      <c r="C46" s="20"/>
      <c r="D46" s="74">
        <f>SUM(D44,D39)</f>
        <v>2119432.7126000002</v>
      </c>
      <c r="E46" s="74">
        <f t="shared" ref="E46:J46" si="12">SUM(E44,E39)</f>
        <v>15231497.793663001</v>
      </c>
      <c r="F46" s="74">
        <f t="shared" si="12"/>
        <v>14836563.262483001</v>
      </c>
      <c r="G46" s="74">
        <f t="shared" si="12"/>
        <v>603480.04649099999</v>
      </c>
      <c r="H46" s="74">
        <f t="shared" si="12"/>
        <v>620627.09921100002</v>
      </c>
      <c r="I46" s="66">
        <f>SUM(I44,I39)</f>
        <v>0</v>
      </c>
      <c r="J46" s="74">
        <f t="shared" si="12"/>
        <v>33411600.914448</v>
      </c>
      <c r="L46" s="129"/>
    </row>
    <row r="47" spans="2:12" x14ac:dyDescent="0.25">
      <c r="B47" s="9"/>
    </row>
    <row r="48" spans="2:12" x14ac:dyDescent="0.25">
      <c r="B48" s="9"/>
    </row>
    <row r="49" spans="2:2" x14ac:dyDescent="0.25">
      <c r="B49" s="9"/>
    </row>
    <row r="50" spans="2:2" x14ac:dyDescent="0.25">
      <c r="B50" s="9"/>
    </row>
    <row r="51" spans="2:2" x14ac:dyDescent="0.25">
      <c r="B51" s="9"/>
    </row>
    <row r="52" spans="2:2" x14ac:dyDescent="0.25">
      <c r="B52" s="9"/>
    </row>
    <row r="53" spans="2:2" x14ac:dyDescent="0.25">
      <c r="B53" s="9"/>
    </row>
    <row r="54" spans="2:2" x14ac:dyDescent="0.25">
      <c r="B54" s="9"/>
    </row>
    <row r="55" spans="2:2" x14ac:dyDescent="0.25">
      <c r="B55" s="9"/>
    </row>
    <row r="56" spans="2:2" x14ac:dyDescent="0.25">
      <c r="B56" s="9"/>
    </row>
    <row r="57" spans="2:2" x14ac:dyDescent="0.25">
      <c r="B57" s="9"/>
    </row>
  </sheetData>
  <pageMargins left="0.7" right="0.7" top="0.75" bottom="0.75" header="0.3" footer="0.3"/>
  <pageSetup scale="89" fitToHeight="0" orientation="landscape" r:id="rId1"/>
  <ignoredErrors>
    <ignoredError sqref="J36 J33 J26 J18:J19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65"/>
  <sheetViews>
    <sheetView showGridLines="0" zoomScale="85" zoomScaleNormal="85" workbookViewId="0">
      <pane xSplit="3" ySplit="6" topLeftCell="D18" activePane="bottomRight" state="frozen"/>
      <selection pane="topRight" activeCell="R20" sqref="R20:W20"/>
      <selection pane="bottomLeft" activeCell="R20" sqref="R20:W20"/>
      <selection pane="bottomRight" activeCell="C40" sqref="C40"/>
    </sheetView>
  </sheetViews>
  <sheetFormatPr defaultColWidth="9.28515625" defaultRowHeight="15" x14ac:dyDescent="0.25"/>
  <cols>
    <col min="1" max="1" width="3.28515625" style="6" customWidth="1"/>
    <col min="2" max="2" width="13.140625" style="6" customWidth="1"/>
    <col min="3" max="3" width="68.140625" style="6" customWidth="1"/>
    <col min="4" max="4" width="12.7109375" style="9" customWidth="1"/>
    <col min="5" max="5" width="12.42578125" style="3" customWidth="1"/>
    <col min="6" max="6" width="12.7109375" style="6" customWidth="1"/>
    <col min="7" max="7" width="12.42578125" style="6" customWidth="1"/>
    <col min="8" max="8" width="12.7109375" style="3" customWidth="1"/>
    <col min="9" max="9" width="0.7109375" style="10" customWidth="1"/>
    <col min="10" max="10" width="12.7109375" style="6" bestFit="1" customWidth="1"/>
    <col min="11" max="11" width="1.7109375" style="7" customWidth="1"/>
    <col min="12" max="14" width="9.28515625" style="6"/>
    <col min="15" max="15" width="11.5703125" style="6" bestFit="1" customWidth="1"/>
    <col min="16" max="16" width="10.5703125" style="6" bestFit="1" customWidth="1"/>
    <col min="17" max="16384" width="9.28515625" style="6"/>
  </cols>
  <sheetData>
    <row r="2" spans="2:39" ht="23.25" x14ac:dyDescent="0.35">
      <c r="B2" s="29" t="s">
        <v>29</v>
      </c>
    </row>
    <row r="3" spans="2:39" x14ac:dyDescent="0.25">
      <c r="B3" s="57"/>
    </row>
    <row r="4" spans="2:39" x14ac:dyDescent="0.25">
      <c r="B4" s="5"/>
    </row>
    <row r="5" spans="2:39" ht="18.75" x14ac:dyDescent="0.3">
      <c r="B5" s="32" t="s">
        <v>1</v>
      </c>
      <c r="C5" s="33"/>
      <c r="D5" s="33"/>
      <c r="E5" s="33"/>
      <c r="F5" s="33"/>
      <c r="G5" s="33"/>
      <c r="H5" s="33"/>
      <c r="I5" s="33"/>
      <c r="J5" s="34"/>
      <c r="K5" s="153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</row>
    <row r="6" spans="2:39" x14ac:dyDescent="0.25">
      <c r="B6" s="35" t="s">
        <v>2</v>
      </c>
      <c r="C6" s="35" t="s">
        <v>3</v>
      </c>
      <c r="D6" s="35" t="s">
        <v>4</v>
      </c>
      <c r="E6" s="36" t="s">
        <v>5</v>
      </c>
      <c r="F6" s="36" t="s">
        <v>6</v>
      </c>
      <c r="G6" s="36" t="s">
        <v>7</v>
      </c>
      <c r="H6" s="37" t="s">
        <v>8</v>
      </c>
      <c r="I6" s="38"/>
      <c r="J6" s="39" t="s">
        <v>9</v>
      </c>
      <c r="K6" s="152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</row>
    <row r="7" spans="2:39" s="8" customFormat="1" x14ac:dyDescent="0.25">
      <c r="B7" s="21" t="s">
        <v>10</v>
      </c>
      <c r="C7" s="26" t="s">
        <v>31</v>
      </c>
      <c r="D7" s="13" t="s">
        <v>32</v>
      </c>
      <c r="E7" s="13" t="s">
        <v>32</v>
      </c>
      <c r="F7" s="13" t="s">
        <v>32</v>
      </c>
      <c r="G7" s="13"/>
      <c r="H7" s="13" t="s">
        <v>32</v>
      </c>
      <c r="I7" s="10"/>
      <c r="J7" s="11" t="s">
        <v>32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2:39" s="8" customFormat="1" ht="30" x14ac:dyDescent="0.25">
      <c r="B8" s="78"/>
      <c r="C8" s="85" t="s">
        <v>103</v>
      </c>
      <c r="D8" s="86">
        <v>87550</v>
      </c>
      <c r="E8" s="86">
        <f>90849*1.03</f>
        <v>93574.47</v>
      </c>
      <c r="F8" s="86">
        <f>94002*1.03</f>
        <v>96822.06</v>
      </c>
      <c r="G8" s="86">
        <f>97760*1.03</f>
        <v>100692.8</v>
      </c>
      <c r="H8" s="86">
        <f>101289*1.03</f>
        <v>104327.67</v>
      </c>
      <c r="I8" s="89"/>
      <c r="J8" s="88">
        <f>SUM(D8:H8)</f>
        <v>482967</v>
      </c>
      <c r="K8" s="114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2:39" s="8" customFormat="1" x14ac:dyDescent="0.25">
      <c r="B9" s="78"/>
      <c r="C9" s="85" t="s">
        <v>47</v>
      </c>
      <c r="D9" s="86">
        <f>68298*1.5</f>
        <v>102447</v>
      </c>
      <c r="E9" s="86">
        <f>70783*1.03*1.5</f>
        <v>109359.73500000002</v>
      </c>
      <c r="F9" s="86">
        <f>73351*1.03*1.5</f>
        <v>113327.295</v>
      </c>
      <c r="G9" s="86">
        <f>75878*1.03*1.5</f>
        <v>117231.51</v>
      </c>
      <c r="H9" s="86">
        <f>78613*1.03*1.5</f>
        <v>121457.08499999999</v>
      </c>
      <c r="I9" s="89"/>
      <c r="J9" s="88">
        <f t="shared" ref="J9:J10" si="0">SUM(D9:H9)</f>
        <v>563822.625</v>
      </c>
      <c r="K9" s="114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</row>
    <row r="10" spans="2:39" s="8" customFormat="1" x14ac:dyDescent="0.25">
      <c r="B10" s="78"/>
      <c r="C10" s="96" t="s">
        <v>40</v>
      </c>
      <c r="D10" s="96" t="s">
        <v>40</v>
      </c>
      <c r="E10" s="96" t="s">
        <v>40</v>
      </c>
      <c r="F10" s="96" t="s">
        <v>40</v>
      </c>
      <c r="G10" s="96" t="s">
        <v>40</v>
      </c>
      <c r="H10" s="96" t="s">
        <v>40</v>
      </c>
      <c r="I10" s="89"/>
      <c r="J10" s="88">
        <f t="shared" si="0"/>
        <v>0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</row>
    <row r="11" spans="2:39" s="7" customFormat="1" x14ac:dyDescent="0.25">
      <c r="B11" s="22"/>
      <c r="C11" s="76" t="s">
        <v>11</v>
      </c>
      <c r="D11" s="69">
        <f>SUM(D8:D10)</f>
        <v>189997</v>
      </c>
      <c r="E11" s="69">
        <f>SUM(E8:E10)</f>
        <v>202934.20500000002</v>
      </c>
      <c r="F11" s="69">
        <f>SUM(F8:F10)</f>
        <v>210149.35499999998</v>
      </c>
      <c r="G11" s="69">
        <f>SUM(G8:G10)</f>
        <v>217924.31</v>
      </c>
      <c r="H11" s="69">
        <f>SUM(H8:H10)</f>
        <v>225784.755</v>
      </c>
      <c r="I11" s="66" t="e">
        <f>SUM(#REF!)</f>
        <v>#REF!</v>
      </c>
      <c r="J11" s="69">
        <f>SUM(J8:J10)</f>
        <v>1046789.625</v>
      </c>
    </row>
    <row r="12" spans="2:39" s="7" customFormat="1" x14ac:dyDescent="0.25">
      <c r="B12" s="22"/>
      <c r="C12" s="77" t="s">
        <v>33</v>
      </c>
      <c r="D12" s="70" t="s">
        <v>32</v>
      </c>
      <c r="E12" s="65"/>
      <c r="F12" s="65"/>
      <c r="G12" s="65"/>
      <c r="H12" s="65"/>
      <c r="I12" s="66"/>
      <c r="J12" s="67" t="s">
        <v>32</v>
      </c>
    </row>
    <row r="13" spans="2:39" s="7" customFormat="1" x14ac:dyDescent="0.25">
      <c r="B13" s="22"/>
      <c r="C13" s="85" t="s">
        <v>48</v>
      </c>
      <c r="D13" s="86">
        <f>D8*0.34</f>
        <v>29767.000000000004</v>
      </c>
      <c r="E13" s="86">
        <f t="shared" ref="E13:H14" si="1">E8*0.34</f>
        <v>31815.319800000001</v>
      </c>
      <c r="F13" s="86">
        <f t="shared" si="1"/>
        <v>32919.500400000004</v>
      </c>
      <c r="G13" s="86">
        <f t="shared" si="1"/>
        <v>34235.552000000003</v>
      </c>
      <c r="H13" s="86">
        <f t="shared" si="1"/>
        <v>35471.407800000001</v>
      </c>
      <c r="I13" s="89"/>
      <c r="J13" s="88">
        <f>SUM(D13:H13)</f>
        <v>164208.78000000003</v>
      </c>
    </row>
    <row r="14" spans="2:39" s="7" customFormat="1" x14ac:dyDescent="0.25">
      <c r="B14" s="22"/>
      <c r="C14" s="85" t="s">
        <v>45</v>
      </c>
      <c r="D14" s="86">
        <f>D9*0.34</f>
        <v>34831.980000000003</v>
      </c>
      <c r="E14" s="86">
        <f t="shared" si="1"/>
        <v>37182.309900000007</v>
      </c>
      <c r="F14" s="86">
        <f t="shared" si="1"/>
        <v>38531.280300000006</v>
      </c>
      <c r="G14" s="86">
        <f t="shared" si="1"/>
        <v>39858.713400000001</v>
      </c>
      <c r="H14" s="86">
        <f t="shared" si="1"/>
        <v>41295.408900000002</v>
      </c>
      <c r="I14" s="89"/>
      <c r="J14" s="88">
        <f t="shared" ref="J14:J15" si="2">SUM(D14:H14)</f>
        <v>191699.69250000003</v>
      </c>
    </row>
    <row r="15" spans="2:39" s="7" customFormat="1" x14ac:dyDescent="0.25">
      <c r="B15" s="22"/>
      <c r="C15" s="102"/>
      <c r="D15" s="95"/>
      <c r="E15" s="95"/>
      <c r="F15" s="95"/>
      <c r="G15" s="95"/>
      <c r="H15" s="95"/>
      <c r="I15" s="89"/>
      <c r="J15" s="88">
        <f t="shared" si="2"/>
        <v>0</v>
      </c>
    </row>
    <row r="16" spans="2:39" s="7" customFormat="1" x14ac:dyDescent="0.25">
      <c r="B16" s="22"/>
      <c r="C16" s="76" t="s">
        <v>12</v>
      </c>
      <c r="D16" s="69">
        <f>SUM(D13:D15)</f>
        <v>64598.98000000001</v>
      </c>
      <c r="E16" s="69">
        <f t="shared" ref="E16:J16" si="3">SUM(E13:E15)</f>
        <v>68997.629700000005</v>
      </c>
      <c r="F16" s="69">
        <f t="shared" si="3"/>
        <v>71450.780700000003</v>
      </c>
      <c r="G16" s="69">
        <f t="shared" si="3"/>
        <v>74094.265400000004</v>
      </c>
      <c r="H16" s="69">
        <f t="shared" si="3"/>
        <v>76766.816699999996</v>
      </c>
      <c r="I16" s="66">
        <f t="shared" si="3"/>
        <v>0</v>
      </c>
      <c r="J16" s="69">
        <f t="shared" si="3"/>
        <v>355908.47250000003</v>
      </c>
    </row>
    <row r="17" spans="2:16" s="7" customFormat="1" x14ac:dyDescent="0.25">
      <c r="B17" s="22"/>
      <c r="C17" s="77" t="s">
        <v>34</v>
      </c>
      <c r="D17" s="70" t="s">
        <v>32</v>
      </c>
      <c r="E17" s="65"/>
      <c r="F17" s="65"/>
      <c r="G17" s="65"/>
      <c r="H17" s="65"/>
      <c r="I17" s="66"/>
      <c r="J17" s="67" t="s">
        <v>32</v>
      </c>
    </row>
    <row r="18" spans="2:16" s="7" customFormat="1" x14ac:dyDescent="0.25">
      <c r="B18" s="22"/>
      <c r="C18" s="100" t="s">
        <v>40</v>
      </c>
      <c r="D18" s="97" t="s">
        <v>40</v>
      </c>
      <c r="E18" s="97" t="s">
        <v>40</v>
      </c>
      <c r="F18" s="97" t="s">
        <v>40</v>
      </c>
      <c r="G18" s="97" t="s">
        <v>40</v>
      </c>
      <c r="H18" s="86" t="s">
        <v>40</v>
      </c>
      <c r="I18" s="89"/>
      <c r="J18" s="88">
        <f t="shared" ref="J18:J19" si="4">SUM(D18:H18)</f>
        <v>0</v>
      </c>
    </row>
    <row r="19" spans="2:16" s="7" customFormat="1" x14ac:dyDescent="0.25">
      <c r="B19" s="22"/>
      <c r="C19" s="92"/>
      <c r="D19" s="88"/>
      <c r="E19" s="88"/>
      <c r="F19" s="88"/>
      <c r="G19" s="88"/>
      <c r="H19" s="88"/>
      <c r="I19" s="87">
        <v>1638</v>
      </c>
      <c r="J19" s="88">
        <f t="shared" si="4"/>
        <v>0</v>
      </c>
    </row>
    <row r="20" spans="2:16" s="7" customFormat="1" x14ac:dyDescent="0.25">
      <c r="B20" s="22"/>
      <c r="C20" s="76" t="s">
        <v>13</v>
      </c>
      <c r="D20" s="69">
        <f>SUM(D18:D19)</f>
        <v>0</v>
      </c>
      <c r="E20" s="69">
        <f>SUM(E18:E19)</f>
        <v>0</v>
      </c>
      <c r="F20" s="69">
        <f>SUM(F18:F19)</f>
        <v>0</v>
      </c>
      <c r="G20" s="69">
        <f>SUM(G18:G19)</f>
        <v>0</v>
      </c>
      <c r="H20" s="69">
        <f>SUM(H18:H19)</f>
        <v>0</v>
      </c>
      <c r="I20" s="66"/>
      <c r="J20" s="69">
        <f>SUM(D20:H20)</f>
        <v>0</v>
      </c>
    </row>
    <row r="21" spans="2:16" s="7" customFormat="1" x14ac:dyDescent="0.25">
      <c r="B21" s="22"/>
      <c r="C21" s="77" t="s">
        <v>35</v>
      </c>
      <c r="D21" s="68"/>
      <c r="E21" s="65"/>
      <c r="F21" s="65"/>
      <c r="G21" s="65"/>
      <c r="H21" s="65"/>
      <c r="I21" s="66"/>
      <c r="J21" s="68" t="s">
        <v>19</v>
      </c>
    </row>
    <row r="22" spans="2:16" s="7" customFormat="1" x14ac:dyDescent="0.25">
      <c r="B22" s="22"/>
      <c r="C22" s="92"/>
      <c r="D22" s="88"/>
      <c r="E22" s="90"/>
      <c r="F22" s="90"/>
      <c r="G22" s="90"/>
      <c r="H22" s="90"/>
      <c r="I22" s="89"/>
      <c r="J22" s="88">
        <f>SUM(D22:H22)</f>
        <v>0</v>
      </c>
    </row>
    <row r="23" spans="2:16" s="7" customFormat="1" x14ac:dyDescent="0.25">
      <c r="B23" s="22" t="s">
        <v>40</v>
      </c>
      <c r="C23" s="95" t="s">
        <v>40</v>
      </c>
      <c r="D23" s="91" t="s">
        <v>32</v>
      </c>
      <c r="E23" s="90"/>
      <c r="F23" s="90"/>
      <c r="G23" s="90"/>
      <c r="H23" s="90"/>
      <c r="I23" s="89"/>
      <c r="J23" s="88">
        <f t="shared" ref="J23:J45" si="5">SUM(D23:H23)</f>
        <v>0</v>
      </c>
    </row>
    <row r="24" spans="2:16" s="7" customFormat="1" x14ac:dyDescent="0.25">
      <c r="B24" s="22"/>
      <c r="C24" s="76" t="s">
        <v>14</v>
      </c>
      <c r="D24" s="71">
        <f>SUM(D22:D23)</f>
        <v>0</v>
      </c>
      <c r="E24" s="71">
        <f t="shared" ref="E24:H24" si="6">SUM(E22:E23)</f>
        <v>0</v>
      </c>
      <c r="F24" s="71">
        <f t="shared" si="6"/>
        <v>0</v>
      </c>
      <c r="G24" s="71">
        <f t="shared" si="6"/>
        <v>0</v>
      </c>
      <c r="H24" s="71">
        <f t="shared" si="6"/>
        <v>0</v>
      </c>
      <c r="I24" s="66"/>
      <c r="J24" s="69">
        <f t="shared" si="5"/>
        <v>0</v>
      </c>
    </row>
    <row r="25" spans="2:16" s="7" customFormat="1" x14ac:dyDescent="0.25">
      <c r="B25" s="22"/>
      <c r="C25" s="77" t="s">
        <v>36</v>
      </c>
      <c r="D25" s="70" t="s">
        <v>32</v>
      </c>
      <c r="E25" s="65"/>
      <c r="F25" s="65"/>
      <c r="G25" s="65"/>
      <c r="H25" s="65"/>
      <c r="I25" s="66"/>
      <c r="J25" s="68"/>
    </row>
    <row r="26" spans="2:16" s="7" customFormat="1" x14ac:dyDescent="0.25">
      <c r="B26" s="22"/>
      <c r="C26" s="92"/>
      <c r="D26" s="88"/>
      <c r="E26" s="88"/>
      <c r="F26" s="88"/>
      <c r="G26" s="88"/>
      <c r="H26" s="88"/>
      <c r="I26" s="87">
        <v>5000</v>
      </c>
      <c r="J26" s="88">
        <f t="shared" si="5"/>
        <v>0</v>
      </c>
    </row>
    <row r="27" spans="2:16" s="7" customFormat="1" x14ac:dyDescent="0.25">
      <c r="B27" s="22"/>
      <c r="C27" s="92"/>
      <c r="D27" s="88"/>
      <c r="E27" s="55"/>
      <c r="F27" s="55"/>
      <c r="G27" s="55"/>
      <c r="H27" s="55"/>
      <c r="I27" s="89"/>
      <c r="J27" s="88">
        <f t="shared" si="5"/>
        <v>0</v>
      </c>
    </row>
    <row r="28" spans="2:16" s="7" customFormat="1" x14ac:dyDescent="0.25">
      <c r="B28" s="22"/>
      <c r="C28" s="76" t="s">
        <v>15</v>
      </c>
      <c r="D28" s="69">
        <f>SUM(D26:D27)</f>
        <v>0</v>
      </c>
      <c r="E28" s="69">
        <f t="shared" ref="E28:H28" si="7">SUM(E26:E27)</f>
        <v>0</v>
      </c>
      <c r="F28" s="69">
        <f t="shared" si="7"/>
        <v>0</v>
      </c>
      <c r="G28" s="69">
        <f t="shared" si="7"/>
        <v>0</v>
      </c>
      <c r="H28" s="69">
        <f t="shared" si="7"/>
        <v>0</v>
      </c>
      <c r="I28" s="66"/>
      <c r="J28" s="69">
        <f t="shared" si="5"/>
        <v>0</v>
      </c>
    </row>
    <row r="29" spans="2:16" s="7" customFormat="1" x14ac:dyDescent="0.25">
      <c r="B29" s="22"/>
      <c r="C29" s="77" t="s">
        <v>37</v>
      </c>
      <c r="D29" s="70" t="s">
        <v>32</v>
      </c>
      <c r="E29" s="65"/>
      <c r="F29" s="65"/>
      <c r="G29" s="65"/>
      <c r="H29" s="65"/>
      <c r="I29" s="66"/>
      <c r="J29" s="68"/>
    </row>
    <row r="30" spans="2:16" s="7" customFormat="1" ht="30" x14ac:dyDescent="0.25">
      <c r="B30" s="22"/>
      <c r="C30" s="85" t="s">
        <v>126</v>
      </c>
      <c r="D30" s="86">
        <v>0</v>
      </c>
      <c r="E30" s="86">
        <v>7500000</v>
      </c>
      <c r="F30" s="86">
        <v>7500000</v>
      </c>
      <c r="G30" s="86">
        <v>0</v>
      </c>
      <c r="H30" s="86">
        <v>0</v>
      </c>
      <c r="I30" s="104">
        <v>5106000</v>
      </c>
      <c r="J30" s="103">
        <f t="shared" si="5"/>
        <v>15000000</v>
      </c>
    </row>
    <row r="31" spans="2:16" s="7" customFormat="1" ht="30" x14ac:dyDescent="0.25">
      <c r="B31" s="22"/>
      <c r="C31" s="85" t="s">
        <v>127</v>
      </c>
      <c r="D31" s="86">
        <v>0</v>
      </c>
      <c r="E31" s="86">
        <v>5000000</v>
      </c>
      <c r="F31" s="86">
        <v>10000000</v>
      </c>
      <c r="G31" s="86">
        <v>0</v>
      </c>
      <c r="H31" s="86">
        <v>0</v>
      </c>
      <c r="I31" s="104"/>
      <c r="J31" s="103">
        <f t="shared" si="5"/>
        <v>15000000</v>
      </c>
      <c r="O31" s="131"/>
      <c r="P31" s="114"/>
    </row>
    <row r="32" spans="2:16" s="7" customFormat="1" x14ac:dyDescent="0.25">
      <c r="B32" s="22"/>
      <c r="C32" s="115"/>
      <c r="D32" s="86"/>
      <c r="E32" s="86"/>
      <c r="F32" s="86"/>
      <c r="G32" s="86"/>
      <c r="H32" s="86"/>
      <c r="I32" s="104"/>
      <c r="J32" s="103">
        <f t="shared" si="5"/>
        <v>0</v>
      </c>
    </row>
    <row r="33" spans="2:11" s="7" customFormat="1" x14ac:dyDescent="0.25">
      <c r="B33" s="22"/>
      <c r="C33" s="76" t="s">
        <v>49</v>
      </c>
      <c r="D33" s="69">
        <f>SUM(D30:D32)</f>
        <v>0</v>
      </c>
      <c r="E33" s="69">
        <f>SUM(E30:E32)</f>
        <v>12500000</v>
      </c>
      <c r="F33" s="69">
        <f>SUM(F30:F32)</f>
        <v>17500000</v>
      </c>
      <c r="G33" s="69">
        <f>SUM(G30:G32)</f>
        <v>0</v>
      </c>
      <c r="H33" s="69">
        <f>SUM(H30:H32)</f>
        <v>0</v>
      </c>
      <c r="I33" s="66"/>
      <c r="J33" s="69">
        <f>SUM(D33:H33)</f>
        <v>30000000</v>
      </c>
    </row>
    <row r="34" spans="2:11" s="7" customFormat="1" x14ac:dyDescent="0.25">
      <c r="B34" s="22"/>
      <c r="C34" s="77" t="s">
        <v>50</v>
      </c>
      <c r="D34" s="70" t="s">
        <v>32</v>
      </c>
      <c r="E34" s="65"/>
      <c r="F34" s="65"/>
      <c r="G34" s="65"/>
      <c r="H34" s="65"/>
      <c r="I34" s="66"/>
      <c r="J34" s="68"/>
    </row>
    <row r="35" spans="2:11" s="7" customFormat="1" ht="30" x14ac:dyDescent="0.25">
      <c r="B35" s="22"/>
      <c r="C35" s="157" t="s">
        <v>54</v>
      </c>
      <c r="D35" s="151">
        <f>SUM(D36:D42)</f>
        <v>945760.42560000008</v>
      </c>
      <c r="E35" s="151">
        <f t="shared" ref="E35:H35" si="8">SUM(E36:E42)</f>
        <v>1028296.406848</v>
      </c>
      <c r="F35" s="151">
        <f t="shared" si="8"/>
        <v>681133.85881599993</v>
      </c>
      <c r="G35" s="151">
        <f t="shared" si="8"/>
        <v>38956.248</v>
      </c>
      <c r="H35" s="151">
        <f t="shared" si="8"/>
        <v>40424.171040000001</v>
      </c>
      <c r="I35" s="68"/>
      <c r="J35" s="151">
        <f>SUM(D35:H35)</f>
        <v>2734571.1103039999</v>
      </c>
    </row>
    <row r="36" spans="2:11" s="7" customFormat="1" ht="72.599999999999994" customHeight="1" x14ac:dyDescent="0.25">
      <c r="B36" s="22"/>
      <c r="C36" s="176" t="s">
        <v>134</v>
      </c>
      <c r="D36" s="173">
        <v>157610.20000000001</v>
      </c>
      <c r="E36" s="173">
        <v>203805.79100000003</v>
      </c>
      <c r="F36" s="173">
        <v>211234.872</v>
      </c>
      <c r="G36" s="173">
        <v>22544.125</v>
      </c>
      <c r="H36" s="173">
        <v>23393.6175</v>
      </c>
      <c r="I36" s="166"/>
      <c r="J36" s="173">
        <f>SUM(D36:H36)</f>
        <v>618588.60550000006</v>
      </c>
    </row>
    <row r="37" spans="2:11" s="7" customFormat="1" x14ac:dyDescent="0.25">
      <c r="B37" s="22"/>
      <c r="C37" s="176" t="s">
        <v>128</v>
      </c>
      <c r="D37" s="173">
        <f>D36*0.35</f>
        <v>55163.57</v>
      </c>
      <c r="E37" s="173">
        <f t="shared" ref="E37:H37" si="9">E36*0.35</f>
        <v>71332.026850000009</v>
      </c>
      <c r="F37" s="173">
        <f t="shared" si="9"/>
        <v>73932.205199999997</v>
      </c>
      <c r="G37" s="173">
        <f t="shared" si="9"/>
        <v>7890.4437499999995</v>
      </c>
      <c r="H37" s="173">
        <f t="shared" si="9"/>
        <v>8187.7661249999992</v>
      </c>
      <c r="I37" s="166"/>
      <c r="J37" s="173">
        <f t="shared" ref="J37:J43" si="10">SUM(D37:H37)</f>
        <v>216506.011925</v>
      </c>
      <c r="K37" s="114"/>
    </row>
    <row r="38" spans="2:11" s="7" customFormat="1" ht="45" x14ac:dyDescent="0.25">
      <c r="B38" s="22"/>
      <c r="C38" s="176" t="s">
        <v>129</v>
      </c>
      <c r="D38" s="173">
        <v>0</v>
      </c>
      <c r="E38" s="173">
        <v>7710</v>
      </c>
      <c r="F38" s="173">
        <v>7710</v>
      </c>
      <c r="G38" s="173">
        <v>0</v>
      </c>
      <c r="H38" s="173">
        <v>0</v>
      </c>
      <c r="I38" s="166"/>
      <c r="J38" s="172">
        <f t="shared" si="10"/>
        <v>15420</v>
      </c>
      <c r="K38" s="114"/>
    </row>
    <row r="39" spans="2:11" s="7" customFormat="1" ht="30" x14ac:dyDescent="0.25">
      <c r="B39" s="22"/>
      <c r="C39" s="176" t="s">
        <v>130</v>
      </c>
      <c r="D39" s="173">
        <v>0</v>
      </c>
      <c r="E39" s="173">
        <f>25*10*10</f>
        <v>2500</v>
      </c>
      <c r="F39" s="173">
        <f>25*10*10</f>
        <v>2500</v>
      </c>
      <c r="G39" s="173">
        <v>0</v>
      </c>
      <c r="H39" s="173">
        <v>0</v>
      </c>
      <c r="I39" s="166"/>
      <c r="J39" s="172">
        <f t="shared" si="10"/>
        <v>5000</v>
      </c>
      <c r="K39" s="114"/>
    </row>
    <row r="40" spans="2:11" s="7" customFormat="1" ht="75" x14ac:dyDescent="0.25">
      <c r="B40" s="22"/>
      <c r="C40" s="176" t="s">
        <v>131</v>
      </c>
      <c r="D40" s="173">
        <f>622710+7500</f>
        <v>630210</v>
      </c>
      <c r="E40" s="173">
        <v>622710</v>
      </c>
      <c r="F40" s="173">
        <v>262710</v>
      </c>
      <c r="G40" s="173">
        <v>0</v>
      </c>
      <c r="H40" s="173">
        <v>0</v>
      </c>
      <c r="I40" s="166"/>
      <c r="J40" s="172">
        <f t="shared" si="10"/>
        <v>1515630</v>
      </c>
      <c r="K40" s="114"/>
    </row>
    <row r="41" spans="2:11" s="7" customFormat="1" ht="30" x14ac:dyDescent="0.25">
      <c r="B41" s="22"/>
      <c r="C41" s="175" t="s">
        <v>132</v>
      </c>
      <c r="D41" s="173">
        <f>50*48*3*6</f>
        <v>43200</v>
      </c>
      <c r="E41" s="173">
        <f t="shared" ref="E41:F41" si="11">50*48*3*6</f>
        <v>43200</v>
      </c>
      <c r="F41" s="173">
        <f t="shared" si="11"/>
        <v>43200</v>
      </c>
      <c r="G41" s="173">
        <v>0</v>
      </c>
      <c r="H41" s="173">
        <v>0</v>
      </c>
      <c r="I41" s="166"/>
      <c r="J41" s="172">
        <f t="shared" si="10"/>
        <v>129600</v>
      </c>
      <c r="K41" s="114"/>
    </row>
    <row r="42" spans="2:11" s="7" customFormat="1" x14ac:dyDescent="0.25">
      <c r="B42" s="22"/>
      <c r="C42" s="176" t="s">
        <v>133</v>
      </c>
      <c r="D42" s="173">
        <f>SUM(D36:D37)*0.28</f>
        <v>59576.655600000013</v>
      </c>
      <c r="E42" s="173">
        <f>SUM(E36:E37)*0.28</f>
        <v>77038.588998000021</v>
      </c>
      <c r="F42" s="173">
        <f>SUM(F36:F37)*0.28</f>
        <v>79846.781616000007</v>
      </c>
      <c r="G42" s="173">
        <f>SUM(G36:G37)*0.28</f>
        <v>8521.679250000001</v>
      </c>
      <c r="H42" s="173">
        <f>SUM(H36:H37)*0.28</f>
        <v>8842.7874150000007</v>
      </c>
      <c r="I42" s="166"/>
      <c r="J42" s="172">
        <f t="shared" si="10"/>
        <v>233826.492879</v>
      </c>
      <c r="K42" s="114"/>
    </row>
    <row r="43" spans="2:11" s="7" customFormat="1" ht="30" x14ac:dyDescent="0.25">
      <c r="B43" s="22"/>
      <c r="C43" s="180" t="s">
        <v>55</v>
      </c>
      <c r="D43" s="88"/>
      <c r="E43" s="55"/>
      <c r="F43" s="55"/>
      <c r="G43" s="55"/>
      <c r="H43" s="55"/>
      <c r="I43" s="89"/>
      <c r="J43" s="113">
        <f t="shared" si="10"/>
        <v>0</v>
      </c>
      <c r="K43" s="114"/>
    </row>
    <row r="44" spans="2:11" s="7" customFormat="1" x14ac:dyDescent="0.25">
      <c r="B44" s="24"/>
      <c r="C44" s="76" t="s">
        <v>17</v>
      </c>
      <c r="D44" s="69">
        <f>D35</f>
        <v>945760.42560000008</v>
      </c>
      <c r="E44" s="69">
        <f t="shared" ref="E44:H44" si="12">E35</f>
        <v>1028296.406848</v>
      </c>
      <c r="F44" s="69">
        <f t="shared" si="12"/>
        <v>681133.85881599993</v>
      </c>
      <c r="G44" s="69">
        <f t="shared" si="12"/>
        <v>38956.248</v>
      </c>
      <c r="H44" s="69">
        <f t="shared" si="12"/>
        <v>40424.171040000001</v>
      </c>
      <c r="I44" s="66"/>
      <c r="J44" s="69">
        <f>SUM(D44:H44)</f>
        <v>2734571.1103039999</v>
      </c>
      <c r="K44" s="114"/>
    </row>
    <row r="45" spans="2:11" s="7" customFormat="1" x14ac:dyDescent="0.25">
      <c r="B45" s="24"/>
      <c r="C45" s="76" t="s">
        <v>18</v>
      </c>
      <c r="D45" s="69">
        <f>SUM(D44,D33,D28,D24,D20,D16,D11)</f>
        <v>1200356.4056000002</v>
      </c>
      <c r="E45" s="69">
        <f>SUM(E44,E33,E28,E24,E20,E16,E11)</f>
        <v>13800228.241548</v>
      </c>
      <c r="F45" s="69">
        <f>SUM(F44,F33,F28,F24,F20,F16,F11)</f>
        <v>18462733.994516004</v>
      </c>
      <c r="G45" s="69">
        <f>SUM(G44,G33,G28,G24,G20,G16,G11)</f>
        <v>330974.82339999999</v>
      </c>
      <c r="H45" s="69">
        <f>SUM(H44,H33,H28,H24,H20,H16,H11)</f>
        <v>342975.74274000002</v>
      </c>
      <c r="I45" s="66"/>
      <c r="J45" s="69">
        <f t="shared" si="5"/>
        <v>34137269.207804002</v>
      </c>
      <c r="K45" s="114"/>
    </row>
    <row r="46" spans="2:11" s="7" customFormat="1" x14ac:dyDescent="0.25">
      <c r="B46" s="23"/>
      <c r="C46" s="72"/>
      <c r="D46" s="72"/>
      <c r="E46" s="72"/>
      <c r="F46" s="72"/>
      <c r="G46" s="72"/>
      <c r="H46" s="72"/>
      <c r="I46" s="72"/>
      <c r="J46" s="72" t="s">
        <v>19</v>
      </c>
      <c r="K46" s="114"/>
    </row>
    <row r="47" spans="2:11" s="7" customFormat="1" x14ac:dyDescent="0.25">
      <c r="B47" s="62" t="s">
        <v>39</v>
      </c>
      <c r="C47" s="79" t="s">
        <v>39</v>
      </c>
      <c r="D47" s="73"/>
      <c r="E47" s="73"/>
      <c r="F47" s="73"/>
      <c r="G47" s="73"/>
      <c r="H47" s="73"/>
      <c r="I47" s="72"/>
      <c r="J47" s="73" t="s">
        <v>19</v>
      </c>
      <c r="K47" s="114"/>
    </row>
    <row r="48" spans="2:11" s="7" customFormat="1" x14ac:dyDescent="0.25">
      <c r="B48" s="22"/>
      <c r="C48" s="98" t="s">
        <v>51</v>
      </c>
      <c r="D48" s="99">
        <f>SUM(D11+D16)*0.305</f>
        <v>77651.7739</v>
      </c>
      <c r="E48" s="99">
        <f>SUM(E11+E16)*0.305</f>
        <v>82939.209583500007</v>
      </c>
      <c r="F48" s="99">
        <f>SUM(F11+F16)*0.305</f>
        <v>85888.041388499987</v>
      </c>
      <c r="G48" s="99">
        <f>SUM(G11+G16)*0.305</f>
        <v>89065.665496999995</v>
      </c>
      <c r="H48" s="88">
        <f>SUM(H11+H16)*0.305</f>
        <v>92278.22936849999</v>
      </c>
      <c r="I48" s="89"/>
      <c r="J48" s="88">
        <f>SUM(D48:H48)</f>
        <v>427822.91973750002</v>
      </c>
      <c r="K48" s="114"/>
    </row>
    <row r="49" spans="2:11" s="7" customFormat="1" x14ac:dyDescent="0.25">
      <c r="B49" s="22"/>
      <c r="C49" s="98"/>
      <c r="D49" s="97"/>
      <c r="E49" s="97"/>
      <c r="F49" s="97"/>
      <c r="G49" s="97"/>
      <c r="H49" s="86"/>
      <c r="I49" s="89"/>
      <c r="J49" s="88">
        <f t="shared" ref="J49:J50" si="13">SUM(D49:H49)</f>
        <v>0</v>
      </c>
    </row>
    <row r="50" spans="2:11" s="7" customFormat="1" x14ac:dyDescent="0.25">
      <c r="B50" s="24"/>
      <c r="C50" s="76" t="s">
        <v>20</v>
      </c>
      <c r="D50" s="69">
        <f>SUM(D48:D49)</f>
        <v>77651.7739</v>
      </c>
      <c r="E50" s="69">
        <f t="shared" ref="E50:H50" si="14">SUM(E48:E49)</f>
        <v>82939.209583500007</v>
      </c>
      <c r="F50" s="69">
        <f t="shared" si="14"/>
        <v>85888.041388499987</v>
      </c>
      <c r="G50" s="69">
        <f t="shared" si="14"/>
        <v>89065.665496999995</v>
      </c>
      <c r="H50" s="69">
        <f t="shared" si="14"/>
        <v>92278.22936849999</v>
      </c>
      <c r="I50" s="66"/>
      <c r="J50" s="69">
        <f t="shared" si="13"/>
        <v>427822.91973750002</v>
      </c>
    </row>
    <row r="51" spans="2:11" s="7" customFormat="1" ht="15.75" thickBot="1" x14ac:dyDescent="0.3">
      <c r="B51" s="23"/>
      <c r="C51" s="72"/>
      <c r="D51" s="72"/>
      <c r="E51" s="72"/>
      <c r="F51" s="72"/>
      <c r="G51" s="72"/>
      <c r="H51" s="72"/>
      <c r="I51" s="72"/>
      <c r="J51" s="72" t="s">
        <v>19</v>
      </c>
    </row>
    <row r="52" spans="2:11" s="4" customFormat="1" ht="30.75" thickBot="1" x14ac:dyDescent="0.3">
      <c r="B52" s="20" t="s">
        <v>21</v>
      </c>
      <c r="C52" s="80"/>
      <c r="D52" s="74">
        <f>SUM(D50,D45)</f>
        <v>1278008.1795000001</v>
      </c>
      <c r="E52" s="74">
        <f t="shared" ref="E52:J52" si="15">SUM(E50,E45)</f>
        <v>13883167.4511315</v>
      </c>
      <c r="F52" s="74">
        <f t="shared" si="15"/>
        <v>18548622.035904504</v>
      </c>
      <c r="G52" s="74">
        <f t="shared" si="15"/>
        <v>420040.48889699997</v>
      </c>
      <c r="H52" s="74">
        <f t="shared" si="15"/>
        <v>435253.97210850002</v>
      </c>
      <c r="I52" s="66">
        <f>SUM(I50,I45)</f>
        <v>0</v>
      </c>
      <c r="J52" s="74">
        <f t="shared" si="15"/>
        <v>34565092.127541505</v>
      </c>
      <c r="K52" s="116"/>
    </row>
    <row r="53" spans="2:11" x14ac:dyDescent="0.25">
      <c r="B53" s="9"/>
      <c r="J53" s="7"/>
    </row>
    <row r="54" spans="2:11" x14ac:dyDescent="0.25">
      <c r="B54" s="9"/>
    </row>
    <row r="55" spans="2:11" x14ac:dyDescent="0.25">
      <c r="B55" s="9"/>
    </row>
    <row r="56" spans="2:11" x14ac:dyDescent="0.25">
      <c r="B56" s="9"/>
    </row>
    <row r="57" spans="2:11" x14ac:dyDescent="0.25">
      <c r="B57" s="9"/>
    </row>
    <row r="58" spans="2:11" x14ac:dyDescent="0.25">
      <c r="B58" s="9"/>
    </row>
    <row r="59" spans="2:11" x14ac:dyDescent="0.25">
      <c r="B59" s="9"/>
    </row>
    <row r="60" spans="2:11" x14ac:dyDescent="0.25">
      <c r="B60" s="9"/>
    </row>
    <row r="61" spans="2:11" x14ac:dyDescent="0.25">
      <c r="B61" s="9"/>
    </row>
    <row r="62" spans="2:11" x14ac:dyDescent="0.25">
      <c r="B62" s="9"/>
    </row>
    <row r="63" spans="2:11" x14ac:dyDescent="0.25">
      <c r="B63" s="9"/>
    </row>
    <row r="64" spans="2:11" x14ac:dyDescent="0.25">
      <c r="B64" s="9"/>
    </row>
    <row r="65" spans="2:2" x14ac:dyDescent="0.25">
      <c r="B65" s="9"/>
    </row>
  </sheetData>
  <pageMargins left="0.7" right="0.7" top="0.75" bottom="0.75" header="0.3" footer="0.3"/>
  <pageSetup scale="89" fitToHeight="0" orientation="landscape" r:id="rId1"/>
  <ignoredErrors>
    <ignoredError sqref="J19 J26 J30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E9481-CB78-4EF6-ADF9-AC56AE7B65AF}">
  <sheetPr>
    <tabColor theme="9" tint="0.39997558519241921"/>
    <pageSetUpPr fitToPage="1"/>
  </sheetPr>
  <dimension ref="B2:AM50"/>
  <sheetViews>
    <sheetView showGridLines="0" zoomScale="85" zoomScaleNormal="85" workbookViewId="0">
      <pane xSplit="3" ySplit="6" topLeftCell="D21" activePane="bottomRight" state="frozen"/>
      <selection pane="topRight" activeCell="R20" sqref="R20:W20"/>
      <selection pane="bottomLeft" activeCell="R20" sqref="R20:W20"/>
      <selection pane="bottomRight" activeCell="J40" sqref="J40"/>
    </sheetView>
  </sheetViews>
  <sheetFormatPr defaultColWidth="9.28515625" defaultRowHeight="15" x14ac:dyDescent="0.25"/>
  <cols>
    <col min="1" max="1" width="3.28515625" customWidth="1"/>
    <col min="2" max="2" width="11.28515625" customWidth="1"/>
    <col min="3" max="3" width="55.140625" customWidth="1"/>
    <col min="4" max="4" width="13.28515625" style="40" customWidth="1"/>
    <col min="5" max="5" width="13.28515625" style="3" customWidth="1"/>
    <col min="6" max="7" width="13.28515625" customWidth="1"/>
    <col min="8" max="8" width="12.7109375" style="3" customWidth="1"/>
    <col min="9" max="9" width="0.7109375" style="41" customWidth="1"/>
    <col min="10" max="10" width="14.5703125" style="237" customWidth="1"/>
    <col min="11" max="11" width="14.42578125" customWidth="1"/>
    <col min="12" max="12" width="11" bestFit="1" customWidth="1"/>
  </cols>
  <sheetData>
    <row r="2" spans="2:39" ht="23.25" x14ac:dyDescent="0.35">
      <c r="B2" s="29" t="s">
        <v>29</v>
      </c>
    </row>
    <row r="3" spans="2:39" x14ac:dyDescent="0.25">
      <c r="B3" s="57" t="s">
        <v>30</v>
      </c>
    </row>
    <row r="4" spans="2:39" x14ac:dyDescent="0.25">
      <c r="B4" s="5"/>
    </row>
    <row r="5" spans="2:39" ht="18.75" x14ac:dyDescent="0.3">
      <c r="B5" s="119" t="s">
        <v>1</v>
      </c>
      <c r="C5" s="33"/>
      <c r="D5" s="33"/>
      <c r="E5" s="33"/>
      <c r="F5" s="33"/>
      <c r="G5" s="33"/>
      <c r="H5" s="33"/>
      <c r="I5" s="33"/>
      <c r="J5" s="193"/>
    </row>
    <row r="6" spans="2:39" x14ac:dyDescent="0.25">
      <c r="B6" s="35" t="s">
        <v>2</v>
      </c>
      <c r="C6" s="35" t="s">
        <v>3</v>
      </c>
      <c r="D6" s="35" t="s">
        <v>4</v>
      </c>
      <c r="E6" s="36" t="s">
        <v>5</v>
      </c>
      <c r="F6" s="36" t="s">
        <v>6</v>
      </c>
      <c r="G6" s="36" t="s">
        <v>7</v>
      </c>
      <c r="H6" s="37" t="s">
        <v>8</v>
      </c>
      <c r="I6" s="38"/>
      <c r="J6" s="238" t="s">
        <v>9</v>
      </c>
    </row>
    <row r="7" spans="2:39" s="5" customFormat="1" x14ac:dyDescent="0.25">
      <c r="B7" s="47" t="s">
        <v>10</v>
      </c>
      <c r="C7" s="120" t="s">
        <v>31</v>
      </c>
      <c r="D7" s="83" t="s">
        <v>32</v>
      </c>
      <c r="E7" s="83" t="s">
        <v>32</v>
      </c>
      <c r="F7" s="83" t="s">
        <v>32</v>
      </c>
      <c r="G7" s="83"/>
      <c r="H7" s="83" t="s">
        <v>32</v>
      </c>
      <c r="I7" s="41"/>
      <c r="J7" s="239" t="s">
        <v>32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8.15" customHeight="1" x14ac:dyDescent="0.25">
      <c r="B8" s="49"/>
      <c r="C8" s="92" t="s">
        <v>104</v>
      </c>
      <c r="D8" s="86">
        <v>87550</v>
      </c>
      <c r="E8" s="86">
        <f>90849*1.03</f>
        <v>93574.47</v>
      </c>
      <c r="F8" s="86">
        <f>94002*1.03</f>
        <v>96822.06</v>
      </c>
      <c r="G8" s="86">
        <f>97760*1.03</f>
        <v>100692.8</v>
      </c>
      <c r="H8" s="86">
        <f>101289*1.03</f>
        <v>104327.67</v>
      </c>
      <c r="I8" s="158">
        <v>450000</v>
      </c>
      <c r="J8" s="196">
        <f>SUM(D8:H8)</f>
        <v>482967</v>
      </c>
    </row>
    <row r="9" spans="2:39" x14ac:dyDescent="0.25">
      <c r="B9" s="49"/>
      <c r="C9" s="85" t="s">
        <v>64</v>
      </c>
      <c r="D9" s="86">
        <f>68298/2</f>
        <v>34149</v>
      </c>
      <c r="E9" s="86">
        <f>70783*1.03/2</f>
        <v>36453.245000000003</v>
      </c>
      <c r="F9" s="86">
        <f>73351*1.03/2</f>
        <v>37775.764999999999</v>
      </c>
      <c r="G9" s="86">
        <f>75878*1.03/2</f>
        <v>39077.17</v>
      </c>
      <c r="H9" s="86">
        <f>78613*1.03/2</f>
        <v>40485.695</v>
      </c>
      <c r="I9" s="93"/>
      <c r="J9" s="159">
        <f>SUM(D9:H9)</f>
        <v>187940.875</v>
      </c>
    </row>
    <row r="10" spans="2:39" x14ac:dyDescent="0.25">
      <c r="B10" s="49"/>
      <c r="C10" s="85" t="s">
        <v>52</v>
      </c>
      <c r="D10" s="86">
        <v>97217</v>
      </c>
      <c r="E10" s="86">
        <f>100934*1.03</f>
        <v>103962.02</v>
      </c>
      <c r="F10" s="86">
        <f>104421*1.03</f>
        <v>107553.63</v>
      </c>
      <c r="G10" s="86">
        <f>108221*1.03</f>
        <v>111467.63</v>
      </c>
      <c r="H10" s="86">
        <f>112084*1.03</f>
        <v>115446.52</v>
      </c>
      <c r="I10" s="93"/>
      <c r="J10" s="159">
        <f>SUM(D10:H10)</f>
        <v>535646.80000000005</v>
      </c>
    </row>
    <row r="11" spans="2:39" x14ac:dyDescent="0.25">
      <c r="B11" s="49"/>
      <c r="C11" s="85"/>
      <c r="D11" s="86"/>
      <c r="E11" s="86"/>
      <c r="F11" s="86"/>
      <c r="G11" s="86"/>
      <c r="H11" s="86"/>
      <c r="I11" s="93"/>
      <c r="J11" s="159">
        <f>SUM(D11:H11)</f>
        <v>0</v>
      </c>
    </row>
    <row r="12" spans="2:39" x14ac:dyDescent="0.25">
      <c r="B12" s="49"/>
      <c r="C12" s="12" t="s">
        <v>11</v>
      </c>
      <c r="D12" s="69">
        <f t="shared" ref="D12:J12" si="0">SUM(D8:D11)</f>
        <v>218916</v>
      </c>
      <c r="E12" s="69">
        <f t="shared" si="0"/>
        <v>233989.73499999999</v>
      </c>
      <c r="F12" s="69">
        <f t="shared" si="0"/>
        <v>242151.45500000002</v>
      </c>
      <c r="G12" s="69">
        <f t="shared" si="0"/>
        <v>251237.6</v>
      </c>
      <c r="H12" s="69">
        <f t="shared" si="0"/>
        <v>260259.88500000001</v>
      </c>
      <c r="I12" s="137">
        <f t="shared" si="0"/>
        <v>450000</v>
      </c>
      <c r="J12" s="197">
        <f t="shared" si="0"/>
        <v>1206554.675</v>
      </c>
      <c r="K12" s="236"/>
    </row>
    <row r="13" spans="2:39" x14ac:dyDescent="0.25">
      <c r="B13" s="49"/>
      <c r="C13" s="121" t="s">
        <v>33</v>
      </c>
      <c r="D13" s="56" t="s">
        <v>32</v>
      </c>
      <c r="E13" s="83"/>
      <c r="F13" s="83"/>
      <c r="G13" s="83"/>
      <c r="H13" s="83"/>
      <c r="J13" s="239" t="s">
        <v>32</v>
      </c>
    </row>
    <row r="14" spans="2:39" x14ac:dyDescent="0.25">
      <c r="B14" s="49"/>
      <c r="C14" s="85" t="s">
        <v>44</v>
      </c>
      <c r="D14" s="86">
        <f t="shared" ref="D14:H16" si="1">D8*0.34</f>
        <v>29767.000000000004</v>
      </c>
      <c r="E14" s="86">
        <f t="shared" si="1"/>
        <v>31815.319800000001</v>
      </c>
      <c r="F14" s="86">
        <f t="shared" si="1"/>
        <v>32919.500400000004</v>
      </c>
      <c r="G14" s="86">
        <f t="shared" si="1"/>
        <v>34235.552000000003</v>
      </c>
      <c r="H14" s="86">
        <f t="shared" si="1"/>
        <v>35471.407800000001</v>
      </c>
      <c r="I14" s="93"/>
      <c r="J14" s="159">
        <f>SUM(D14:H14)</f>
        <v>164208.78000000003</v>
      </c>
    </row>
    <row r="15" spans="2:39" x14ac:dyDescent="0.25">
      <c r="B15" s="49"/>
      <c r="C15" s="85" t="s">
        <v>69</v>
      </c>
      <c r="D15" s="86">
        <f t="shared" si="1"/>
        <v>11610.660000000002</v>
      </c>
      <c r="E15" s="86">
        <f t="shared" si="1"/>
        <v>12394.103300000002</v>
      </c>
      <c r="F15" s="86">
        <f t="shared" si="1"/>
        <v>12843.760100000001</v>
      </c>
      <c r="G15" s="86">
        <f t="shared" si="1"/>
        <v>13286.237800000001</v>
      </c>
      <c r="H15" s="86">
        <f t="shared" si="1"/>
        <v>13765.1363</v>
      </c>
      <c r="I15" s="93"/>
      <c r="J15" s="159">
        <f t="shared" ref="J15:J18" si="2">SUM(D15:H15)</f>
        <v>63899.897500000006</v>
      </c>
    </row>
    <row r="16" spans="2:39" x14ac:dyDescent="0.25">
      <c r="B16" s="49"/>
      <c r="C16" s="85" t="s">
        <v>68</v>
      </c>
      <c r="D16" s="86">
        <f t="shared" si="1"/>
        <v>33053.78</v>
      </c>
      <c r="E16" s="86">
        <f t="shared" si="1"/>
        <v>35347.086800000005</v>
      </c>
      <c r="F16" s="86">
        <f t="shared" si="1"/>
        <v>36568.234200000006</v>
      </c>
      <c r="G16" s="86">
        <f t="shared" si="1"/>
        <v>37898.994200000001</v>
      </c>
      <c r="H16" s="86">
        <f t="shared" si="1"/>
        <v>39251.816800000008</v>
      </c>
      <c r="I16" s="93"/>
      <c r="J16" s="159">
        <f t="shared" si="2"/>
        <v>182119.91200000001</v>
      </c>
    </row>
    <row r="17" spans="2:11" x14ac:dyDescent="0.25">
      <c r="B17" s="49"/>
      <c r="C17" s="85"/>
      <c r="D17" s="86"/>
      <c r="E17" s="86"/>
      <c r="F17" s="86"/>
      <c r="G17" s="86"/>
      <c r="H17" s="86"/>
      <c r="I17" s="93"/>
      <c r="J17" s="159">
        <f t="shared" si="2"/>
        <v>0</v>
      </c>
    </row>
    <row r="18" spans="2:11" x14ac:dyDescent="0.25">
      <c r="B18" s="49"/>
      <c r="C18" s="85"/>
      <c r="D18" s="86"/>
      <c r="E18" s="86"/>
      <c r="F18" s="86"/>
      <c r="G18" s="86"/>
      <c r="H18" s="86"/>
      <c r="I18" s="93"/>
      <c r="J18" s="159">
        <f t="shared" si="2"/>
        <v>0</v>
      </c>
    </row>
    <row r="19" spans="2:11" x14ac:dyDescent="0.25">
      <c r="B19" s="49"/>
      <c r="C19" s="12" t="s">
        <v>12</v>
      </c>
      <c r="D19" s="69">
        <f>SUM(D14:D18)</f>
        <v>74431.44</v>
      </c>
      <c r="E19" s="69">
        <f t="shared" ref="E19:J19" si="3">SUM(E14:E18)</f>
        <v>79556.509900000005</v>
      </c>
      <c r="F19" s="69">
        <f t="shared" si="3"/>
        <v>82331.49470000001</v>
      </c>
      <c r="G19" s="69">
        <f t="shared" si="3"/>
        <v>85420.784000000014</v>
      </c>
      <c r="H19" s="69">
        <f t="shared" si="3"/>
        <v>88488.3609</v>
      </c>
      <c r="I19" s="137">
        <f t="shared" si="3"/>
        <v>0</v>
      </c>
      <c r="J19" s="197">
        <f t="shared" si="3"/>
        <v>410228.58950000006</v>
      </c>
      <c r="K19" s="236"/>
    </row>
    <row r="20" spans="2:11" x14ac:dyDescent="0.25">
      <c r="B20" s="49"/>
      <c r="C20" s="121" t="s">
        <v>34</v>
      </c>
      <c r="D20" s="56" t="s">
        <v>32</v>
      </c>
      <c r="E20" s="83"/>
      <c r="F20" s="83"/>
      <c r="G20" s="83"/>
      <c r="H20" s="83"/>
      <c r="J20" s="239" t="s">
        <v>32</v>
      </c>
    </row>
    <row r="21" spans="2:11" x14ac:dyDescent="0.25">
      <c r="B21" s="49"/>
      <c r="C21" s="25"/>
      <c r="D21" s="15"/>
      <c r="E21" s="13"/>
      <c r="F21" s="13"/>
      <c r="G21" s="13"/>
      <c r="H21" s="13"/>
      <c r="I21" s="130"/>
      <c r="J21" s="240"/>
    </row>
    <row r="22" spans="2:11" x14ac:dyDescent="0.25">
      <c r="B22" s="49"/>
      <c r="C22" s="123"/>
      <c r="D22" s="113"/>
      <c r="E22" s="113"/>
      <c r="F22" s="113"/>
      <c r="G22" s="113"/>
      <c r="H22" s="113"/>
      <c r="I22" s="124"/>
      <c r="J22" s="241"/>
      <c r="K22" s="122"/>
    </row>
    <row r="23" spans="2:11" x14ac:dyDescent="0.25">
      <c r="B23" s="49"/>
      <c r="C23" s="12" t="s">
        <v>13</v>
      </c>
      <c r="D23" s="69">
        <f>SUM(D22:D22)</f>
        <v>0</v>
      </c>
      <c r="E23" s="69">
        <f>SUM(E22:E22)</f>
        <v>0</v>
      </c>
      <c r="F23" s="69">
        <f>SUM(F22:F22)</f>
        <v>0</v>
      </c>
      <c r="G23" s="69">
        <f>SUM(G22:G22)</f>
        <v>0</v>
      </c>
      <c r="H23" s="69">
        <f>SUM(H22:H22)</f>
        <v>0</v>
      </c>
      <c r="I23" s="137"/>
      <c r="J23" s="197">
        <f>SUM(D23:H23)</f>
        <v>0</v>
      </c>
    </row>
    <row r="24" spans="2:11" x14ac:dyDescent="0.25">
      <c r="B24" s="49"/>
      <c r="C24" s="121" t="s">
        <v>35</v>
      </c>
      <c r="D24" s="113"/>
      <c r="E24" s="83"/>
      <c r="F24" s="83"/>
      <c r="G24" s="83"/>
      <c r="H24" s="83"/>
      <c r="J24" s="241" t="s">
        <v>19</v>
      </c>
    </row>
    <row r="25" spans="2:11" x14ac:dyDescent="0.25">
      <c r="B25" s="49"/>
      <c r="C25" s="112"/>
      <c r="D25" s="113"/>
      <c r="E25" s="83"/>
      <c r="F25" s="83"/>
      <c r="G25" s="83"/>
      <c r="H25" s="83"/>
      <c r="J25" s="159">
        <f>SUM(D25:H25)</f>
        <v>0</v>
      </c>
    </row>
    <row r="26" spans="2:11" x14ac:dyDescent="0.25">
      <c r="B26" s="49" t="s">
        <v>40</v>
      </c>
      <c r="C26" s="27" t="s">
        <v>40</v>
      </c>
      <c r="D26" s="56" t="s">
        <v>32</v>
      </c>
      <c r="E26" s="83"/>
      <c r="F26" s="83"/>
      <c r="G26" s="83"/>
      <c r="H26" s="83"/>
      <c r="J26" s="159">
        <f t="shared" ref="J26:J39" si="4">SUM(D26:H26)</f>
        <v>0</v>
      </c>
    </row>
    <row r="27" spans="2:11" x14ac:dyDescent="0.25">
      <c r="B27" s="49"/>
      <c r="C27" s="12" t="s">
        <v>14</v>
      </c>
      <c r="D27" s="71">
        <f>SUM(D25:D26)</f>
        <v>0</v>
      </c>
      <c r="E27" s="71">
        <f t="shared" ref="E27:H27" si="5">SUM(E25:E26)</f>
        <v>0</v>
      </c>
      <c r="F27" s="71">
        <f t="shared" si="5"/>
        <v>0</v>
      </c>
      <c r="G27" s="71">
        <f t="shared" si="5"/>
        <v>0</v>
      </c>
      <c r="H27" s="71">
        <f t="shared" si="5"/>
        <v>0</v>
      </c>
      <c r="I27" s="137"/>
      <c r="J27" s="197">
        <f t="shared" si="4"/>
        <v>0</v>
      </c>
    </row>
    <row r="28" spans="2:11" x14ac:dyDescent="0.25">
      <c r="B28" s="49"/>
      <c r="C28" s="121" t="s">
        <v>36</v>
      </c>
      <c r="D28" s="56" t="s">
        <v>32</v>
      </c>
      <c r="E28" s="83"/>
      <c r="F28" s="83"/>
      <c r="G28" s="83"/>
      <c r="H28" s="83"/>
      <c r="J28" s="241"/>
    </row>
    <row r="29" spans="2:11" x14ac:dyDescent="0.25">
      <c r="B29" s="49"/>
      <c r="C29" s="112"/>
      <c r="D29" s="113"/>
      <c r="E29" s="113"/>
      <c r="F29" s="113"/>
      <c r="G29" s="113"/>
      <c r="H29" s="113"/>
      <c r="I29" s="124">
        <v>5000</v>
      </c>
      <c r="J29" s="159">
        <f t="shared" si="4"/>
        <v>0</v>
      </c>
    </row>
    <row r="30" spans="2:11" x14ac:dyDescent="0.25">
      <c r="B30" s="49"/>
      <c r="C30" s="112"/>
      <c r="D30" s="113"/>
      <c r="E30" s="125"/>
      <c r="F30" s="125"/>
      <c r="G30" s="125"/>
      <c r="H30" s="125"/>
      <c r="J30" s="159">
        <f t="shared" si="4"/>
        <v>0</v>
      </c>
    </row>
    <row r="31" spans="2:11" x14ac:dyDescent="0.25">
      <c r="B31" s="49"/>
      <c r="C31" s="12" t="s">
        <v>15</v>
      </c>
      <c r="D31" s="69">
        <f>SUM(D29:D30)</f>
        <v>0</v>
      </c>
      <c r="E31" s="69">
        <f t="shared" ref="E31:H31" si="6">SUM(E29:E30)</f>
        <v>0</v>
      </c>
      <c r="F31" s="69">
        <f t="shared" si="6"/>
        <v>0</v>
      </c>
      <c r="G31" s="69">
        <f t="shared" si="6"/>
        <v>0</v>
      </c>
      <c r="H31" s="69">
        <f t="shared" si="6"/>
        <v>0</v>
      </c>
      <c r="I31" s="137"/>
      <c r="J31" s="197">
        <f t="shared" si="4"/>
        <v>0</v>
      </c>
    </row>
    <row r="32" spans="2:11" x14ac:dyDescent="0.25">
      <c r="B32" s="49"/>
      <c r="C32" s="121" t="s">
        <v>37</v>
      </c>
      <c r="D32" s="56" t="s">
        <v>32</v>
      </c>
      <c r="E32" s="83"/>
      <c r="F32" s="83"/>
      <c r="G32" s="83"/>
      <c r="H32" s="83"/>
      <c r="J32" s="241"/>
    </row>
    <row r="33" spans="2:12" x14ac:dyDescent="0.25">
      <c r="B33" s="49"/>
      <c r="C33" s="112"/>
      <c r="D33" s="113"/>
      <c r="E33" s="113"/>
      <c r="F33" s="113"/>
      <c r="G33" s="113"/>
      <c r="H33" s="113"/>
      <c r="I33" s="124">
        <v>5106000</v>
      </c>
      <c r="J33" s="159">
        <f t="shared" si="4"/>
        <v>0</v>
      </c>
    </row>
    <row r="34" spans="2:12" x14ac:dyDescent="0.25">
      <c r="B34" s="49"/>
      <c r="C34" s="112"/>
      <c r="D34" s="113"/>
      <c r="E34" s="125"/>
      <c r="F34" s="125"/>
      <c r="G34" s="125"/>
      <c r="H34" s="125"/>
      <c r="J34" s="159">
        <f t="shared" si="4"/>
        <v>0</v>
      </c>
    </row>
    <row r="35" spans="2:12" x14ac:dyDescent="0.25">
      <c r="B35" s="49"/>
      <c r="C35" s="12" t="s">
        <v>16</v>
      </c>
      <c r="D35" s="69">
        <f>SUM(D33:D34)</f>
        <v>0</v>
      </c>
      <c r="E35" s="69">
        <f>SUM(E33:E34)</f>
        <v>0</v>
      </c>
      <c r="F35" s="69">
        <f>SUM(F33:F34)</f>
        <v>0</v>
      </c>
      <c r="G35" s="69">
        <f>SUM(G33:G34)</f>
        <v>0</v>
      </c>
      <c r="H35" s="69">
        <f>SUM(H33:H34)</f>
        <v>0</v>
      </c>
      <c r="I35" s="137"/>
      <c r="J35" s="197">
        <f t="shared" si="4"/>
        <v>0</v>
      </c>
    </row>
    <row r="36" spans="2:12" x14ac:dyDescent="0.25">
      <c r="B36" s="49"/>
      <c r="C36" s="121" t="s">
        <v>38</v>
      </c>
      <c r="D36" s="56" t="s">
        <v>32</v>
      </c>
      <c r="E36" s="83"/>
      <c r="F36" s="83"/>
      <c r="G36" s="83"/>
      <c r="H36" s="83"/>
      <c r="J36" s="241"/>
    </row>
    <row r="37" spans="2:12" x14ac:dyDescent="0.25">
      <c r="B37" s="49"/>
      <c r="C37" s="112"/>
      <c r="D37" s="113"/>
      <c r="E37" s="113"/>
      <c r="F37" s="113"/>
      <c r="G37" s="113"/>
      <c r="H37" s="113"/>
      <c r="I37" s="124">
        <v>375000</v>
      </c>
      <c r="J37" s="159">
        <f t="shared" si="4"/>
        <v>0</v>
      </c>
    </row>
    <row r="38" spans="2:12" x14ac:dyDescent="0.25">
      <c r="B38" s="49"/>
      <c r="C38" s="83"/>
      <c r="D38" s="113"/>
      <c r="E38" s="125"/>
      <c r="F38" s="125"/>
      <c r="G38" s="125"/>
      <c r="H38" s="125"/>
      <c r="J38" s="159">
        <f t="shared" si="4"/>
        <v>0</v>
      </c>
    </row>
    <row r="39" spans="2:12" x14ac:dyDescent="0.25">
      <c r="B39" s="50"/>
      <c r="C39" s="12" t="s">
        <v>17</v>
      </c>
      <c r="D39" s="69">
        <f>SUM(D37:D38)</f>
        <v>0</v>
      </c>
      <c r="E39" s="69">
        <f>SUM(E37:E38)</f>
        <v>0</v>
      </c>
      <c r="F39" s="69">
        <f>SUM(F37:F38)</f>
        <v>0</v>
      </c>
      <c r="G39" s="69">
        <f>SUM(G37:G38)</f>
        <v>0</v>
      </c>
      <c r="H39" s="69">
        <f>SUM(H37:H38)</f>
        <v>0</v>
      </c>
      <c r="I39" s="137"/>
      <c r="J39" s="197">
        <f t="shared" si="4"/>
        <v>0</v>
      </c>
      <c r="L39" s="30"/>
    </row>
    <row r="40" spans="2:12" x14ac:dyDescent="0.25">
      <c r="B40" s="50"/>
      <c r="C40" s="12" t="s">
        <v>18</v>
      </c>
      <c r="D40" s="69">
        <f>SUM(D39,D35,D31,D27,D23,D19,D12)</f>
        <v>293347.44</v>
      </c>
      <c r="E40" s="69">
        <f>SUM(E39,E35,E31,E27,E23,E19,E12)</f>
        <v>313546.24489999999</v>
      </c>
      <c r="F40" s="69">
        <f>SUM(F39,F35,F31,F27,F23,F19,F12)</f>
        <v>324482.9497</v>
      </c>
      <c r="G40" s="69">
        <f>SUM(G39,G35,G31,G27,G23,G19,G12)</f>
        <v>336658.38400000002</v>
      </c>
      <c r="H40" s="69">
        <f>SUM(H39,H35,H31,H27,H23,H19,H12)</f>
        <v>348748.24589999998</v>
      </c>
      <c r="I40" s="137"/>
      <c r="J40" s="197">
        <f>SUM(D40:H40)</f>
        <v>1616783.2645</v>
      </c>
    </row>
    <row r="41" spans="2:12" x14ac:dyDescent="0.25">
      <c r="B41" s="40"/>
      <c r="D41"/>
      <c r="E41"/>
      <c r="H41"/>
      <c r="I41"/>
      <c r="J41" s="237" t="s">
        <v>19</v>
      </c>
    </row>
    <row r="42" spans="2:12" ht="30" x14ac:dyDescent="0.25">
      <c r="B42" s="126" t="s">
        <v>39</v>
      </c>
      <c r="C42" s="118" t="s">
        <v>39</v>
      </c>
      <c r="D42" s="60"/>
      <c r="E42" s="60"/>
      <c r="F42" s="60"/>
      <c r="G42" s="60"/>
      <c r="H42" s="60"/>
      <c r="I42"/>
      <c r="J42" s="242" t="s">
        <v>19</v>
      </c>
    </row>
    <row r="43" spans="2:12" x14ac:dyDescent="0.25">
      <c r="B43" s="127"/>
      <c r="C43" s="85" t="s">
        <v>66</v>
      </c>
      <c r="D43" s="86">
        <f t="shared" ref="D43:H45" si="7">(D8+D14)*0.305</f>
        <v>35781.684999999998</v>
      </c>
      <c r="E43" s="86">
        <f t="shared" si="7"/>
        <v>38243.885888999997</v>
      </c>
      <c r="F43" s="86">
        <f t="shared" si="7"/>
        <v>39571.175922000002</v>
      </c>
      <c r="G43" s="86">
        <f t="shared" si="7"/>
        <v>41153.147360000003</v>
      </c>
      <c r="H43" s="86">
        <f t="shared" si="7"/>
        <v>42638.718729</v>
      </c>
      <c r="I43" s="93"/>
      <c r="J43" s="159">
        <f t="shared" ref="J43:J44" si="8">SUM(D43:H43)</f>
        <v>197388.61290000001</v>
      </c>
    </row>
    <row r="44" spans="2:12" ht="30" x14ac:dyDescent="0.25">
      <c r="B44" s="127"/>
      <c r="C44" s="85" t="s">
        <v>65</v>
      </c>
      <c r="D44" s="86">
        <f t="shared" si="7"/>
        <v>13956.696300000001</v>
      </c>
      <c r="E44" s="86">
        <f t="shared" si="7"/>
        <v>14898.441231500001</v>
      </c>
      <c r="F44" s="86">
        <f t="shared" si="7"/>
        <v>15438.9551555</v>
      </c>
      <c r="G44" s="86">
        <f t="shared" si="7"/>
        <v>15970.839378999999</v>
      </c>
      <c r="H44" s="86">
        <f t="shared" si="7"/>
        <v>16546.5035465</v>
      </c>
      <c r="I44" s="93"/>
      <c r="J44" s="159">
        <f t="shared" si="8"/>
        <v>76811.435612500005</v>
      </c>
    </row>
    <row r="45" spans="2:12" x14ac:dyDescent="0.25">
      <c r="B45" s="49"/>
      <c r="C45" s="85" t="s">
        <v>67</v>
      </c>
      <c r="D45" s="86">
        <f t="shared" si="7"/>
        <v>39732.587899999999</v>
      </c>
      <c r="E45" s="86">
        <f t="shared" si="7"/>
        <v>42489.277574</v>
      </c>
      <c r="F45" s="86">
        <f t="shared" si="7"/>
        <v>43957.168581000005</v>
      </c>
      <c r="G45" s="86">
        <f t="shared" si="7"/>
        <v>45556.820381000005</v>
      </c>
      <c r="H45" s="86">
        <f t="shared" si="7"/>
        <v>47182.992724000003</v>
      </c>
      <c r="I45" s="93"/>
      <c r="J45" s="159">
        <f>SUM(D45:H45)</f>
        <v>218918.84716</v>
      </c>
    </row>
    <row r="46" spans="2:12" x14ac:dyDescent="0.25">
      <c r="B46" s="49"/>
      <c r="C46" s="112"/>
      <c r="D46" s="113"/>
      <c r="E46" s="113"/>
      <c r="F46" s="113"/>
      <c r="G46" s="113"/>
      <c r="H46" s="113"/>
      <c r="J46" s="159">
        <f>SUM(D46:H46)</f>
        <v>0</v>
      </c>
    </row>
    <row r="47" spans="2:12" x14ac:dyDescent="0.25">
      <c r="B47" s="50"/>
      <c r="C47" s="12" t="s">
        <v>20</v>
      </c>
      <c r="D47" s="69">
        <f t="shared" ref="D47:I47" si="9">SUM(D43:D46)</f>
        <v>89470.969199999992</v>
      </c>
      <c r="E47" s="69">
        <f t="shared" si="9"/>
        <v>95631.604694499998</v>
      </c>
      <c r="F47" s="69">
        <f t="shared" si="9"/>
        <v>98967.299658500007</v>
      </c>
      <c r="G47" s="69">
        <f t="shared" si="9"/>
        <v>102680.80712000001</v>
      </c>
      <c r="H47" s="69">
        <f t="shared" si="9"/>
        <v>106368.21499949999</v>
      </c>
      <c r="I47" s="69">
        <f t="shared" si="9"/>
        <v>0</v>
      </c>
      <c r="J47" s="197">
        <f>SUM(D47:H47)</f>
        <v>493118.89567250002</v>
      </c>
      <c r="K47" s="236"/>
    </row>
    <row r="48" spans="2:12" ht="15.75" thickBot="1" x14ac:dyDescent="0.3">
      <c r="B48" s="40"/>
      <c r="D48"/>
      <c r="E48"/>
      <c r="H48"/>
      <c r="I48"/>
      <c r="J48" s="237" t="s">
        <v>19</v>
      </c>
      <c r="K48" s="236"/>
    </row>
    <row r="49" spans="2:10" s="1" customFormat="1" ht="30.75" thickBot="1" x14ac:dyDescent="0.3">
      <c r="B49" s="51" t="s">
        <v>21</v>
      </c>
      <c r="C49" s="51"/>
      <c r="D49" s="138">
        <f t="shared" ref="D49:I49" si="10">SUM(D47,D40)</f>
        <v>382818.40919999999</v>
      </c>
      <c r="E49" s="138">
        <f t="shared" si="10"/>
        <v>409177.84959449997</v>
      </c>
      <c r="F49" s="138">
        <f t="shared" si="10"/>
        <v>423450.2493585</v>
      </c>
      <c r="G49" s="138">
        <f t="shared" si="10"/>
        <v>439339.19112000003</v>
      </c>
      <c r="H49" s="138">
        <f t="shared" si="10"/>
        <v>455116.46089949994</v>
      </c>
      <c r="I49" s="137">
        <f t="shared" si="10"/>
        <v>0</v>
      </c>
      <c r="J49" s="243">
        <f>SUM(J47,J40)</f>
        <v>2109902.1601725002</v>
      </c>
    </row>
    <row r="50" spans="2:10" x14ac:dyDescent="0.25">
      <c r="B50" s="40"/>
    </row>
  </sheetData>
  <pageMargins left="0.7" right="0.7" top="0.75" bottom="0.75" header="0.3" footer="0.3"/>
  <pageSetup scale="8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0D2EA9A8A154E40BBC1BB9DE7159EDB" ma:contentTypeVersion="16" ma:contentTypeDescription="Create a new document." ma:contentTypeScope="" ma:versionID="38e6b6caa0c425c529134a6e1c3a83e7">
  <xsd:schema xmlns:xsd="http://www.w3.org/2001/XMLSchema" xmlns:xs="http://www.w3.org/2001/XMLSchema" xmlns:p="http://schemas.microsoft.com/office/2006/metadata/properties" xmlns:ns2="04578738-faab-47b7-9e39-a6397e718d03" xmlns:ns3="153b5481-df89-4c1c-9ae0-f8270f220dcd" targetNamespace="http://schemas.microsoft.com/office/2006/metadata/properties" ma:root="true" ma:fieldsID="3e572e4002324207b7d5abf9bd8e7b14" ns2:_="" ns3:_="">
    <xsd:import namespace="04578738-faab-47b7-9e39-a6397e718d03"/>
    <xsd:import namespace="153b5481-df89-4c1c-9ae0-f8270f220d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578738-faab-47b7-9e39-a6397e718d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219cb8a3-2c43-49ff-bdd4-56a41dc47c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3b5481-df89-4c1c-9ae0-f8270f220dc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1285bbbf-e03b-4461-bd62-f1c6b8bc0bf2}" ma:internalName="TaxCatchAll" ma:showField="CatchAllData" ma:web="153b5481-df89-4c1c-9ae0-f8270f220d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153b5481-df89-4c1c-9ae0-f8270f220dcd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04578738-faab-47b7-9e39-a6397e718d03">
      <Terms xmlns="http://schemas.microsoft.com/office/infopath/2007/PartnerControls"/>
    </lcf76f155ced4ddcb4097134ff3c332f>
    <TaxCatchAll xmlns="153b5481-df89-4c1c-9ae0-f8270f220dc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Props1.xml><?xml version="1.0" encoding="utf-8"?>
<ds:datastoreItem xmlns:ds="http://schemas.openxmlformats.org/officeDocument/2006/customXml" ds:itemID="{112AC5AA-183D-4912-A587-41A7CDD0BB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578738-faab-47b7-9e39-a6397e718d03"/>
    <ds:schemaRef ds:uri="153b5481-df89-4c1c-9ae0-f8270f220d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153b5481-df89-4c1c-9ae0-f8270f220dcd"/>
    <ds:schemaRef ds:uri="04578738-faab-47b7-9e39-a6397e718d03"/>
  </ds:schemaRefs>
</ds:datastoreItem>
</file>

<file path=customXml/itemProps3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docMetadata/LabelInfo.xml><?xml version="1.0" encoding="utf-8"?>
<clbl:labelList xmlns:clbl="http://schemas.microsoft.com/office/2020/mipLabelMetadata">
  <clbl:label id="{eb14b046-24c4-4519-8f26-b89c2159828c}" enabled="0" method="" siteId="{eb14b046-24c4-4519-8f26-b89c2159828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Consolidated Budget</vt:lpstr>
      <vt:lpstr>Measure 1 Peatlands</vt:lpstr>
      <vt:lpstr>Measure 2 Ag lands</vt:lpstr>
      <vt:lpstr>Measure 3 Industrial</vt:lpstr>
      <vt:lpstr>Measure 4 Refrigerants</vt:lpstr>
      <vt:lpstr>Measure 5 Vehicles</vt:lpstr>
      <vt:lpstr>Measure 6 PWF organics</vt:lpstr>
      <vt:lpstr>Measure 7 Food sov+local grants</vt:lpstr>
      <vt:lpstr>Grant admin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2024-03-26T19:19:36Z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0x01010010D2EA9A8A154E40BBC1BB9DE7159EDB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