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Agency Grants Coordinator Role\GSU\Grants\2024\CPRG\Single Entity\Project Narrative Files\"/>
    </mc:Choice>
  </mc:AlternateContent>
  <xr:revisionPtr revIDLastSave="0" documentId="8_{FF3543DB-1EEA-44EA-8831-8EAC7621702E}" xr6:coauthVersionLast="47" xr6:coauthVersionMax="47" xr10:uidLastSave="{00000000-0000-0000-0000-000000000000}"/>
  <bookViews>
    <workbookView xWindow="-28920" yWindow="-120" windowWidth="29040" windowHeight="15840" xr2:uid="{658C1099-426D-4B6A-918A-BF71530F9B84}"/>
  </bookViews>
  <sheets>
    <sheet name="Contents" sheetId="2" r:id="rId1"/>
    <sheet name="Constants" sheetId="3" r:id="rId2"/>
    <sheet name="Electricity emission rates" sheetId="4" r:id="rId3"/>
    <sheet name="1 Peatlands" sheetId="6" r:id="rId4"/>
    <sheet name="2 Ag" sheetId="7" r:id="rId5"/>
    <sheet name="3 Industrial" sheetId="9" r:id="rId6"/>
    <sheet name="4 Refrigerants" sheetId="10" r:id="rId7"/>
    <sheet name="5 Vehicles and equip" sheetId="11" r:id="rId8"/>
    <sheet name="6 Organics" sheetId="8" r:id="rId9"/>
    <sheet name="7 Tribal and local food" sheetId="5" r:id="rId10"/>
  </sheets>
  <definedNames>
    <definedName name="_xlnm._FilterDatabase" localSheetId="9" hidden="1">'7 Tribal and local food'!$A$54:$O$54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4" i="7" l="1"/>
  <c r="Q14" i="7"/>
  <c r="R13" i="7"/>
  <c r="Q13" i="7"/>
  <c r="B14" i="8"/>
  <c r="B15" i="8"/>
  <c r="B16" i="8"/>
  <c r="B17" i="8"/>
  <c r="B13" i="8"/>
  <c r="B9" i="8"/>
  <c r="B10" i="8"/>
  <c r="B11" i="8"/>
  <c r="B12" i="8"/>
  <c r="B8" i="8"/>
  <c r="B4" i="8"/>
  <c r="J13" i="8"/>
  <c r="E13" i="8"/>
  <c r="F13" i="8"/>
  <c r="Q13" i="11"/>
  <c r="F6" i="11"/>
  <c r="F4" i="11"/>
  <c r="F2" i="11"/>
  <c r="E6" i="11"/>
  <c r="E4" i="11"/>
  <c r="E2" i="11"/>
  <c r="P4" i="11"/>
  <c r="Q4" i="11"/>
  <c r="P6" i="11" l="1"/>
  <c r="P8" i="11" s="1"/>
  <c r="P9" i="11" s="1"/>
  <c r="P13" i="11" s="1"/>
  <c r="Q6" i="11"/>
  <c r="Q8" i="11" s="1"/>
  <c r="Q9" i="11" s="1"/>
  <c r="Q2" i="11"/>
  <c r="P2" i="11"/>
  <c r="B103" i="10" l="1"/>
  <c r="C103" i="10"/>
  <c r="B40" i="10"/>
  <c r="D157" i="9"/>
  <c r="D156" i="9"/>
  <c r="C157" i="9"/>
  <c r="C156" i="9"/>
  <c r="J41" i="9"/>
  <c r="J17" i="9"/>
  <c r="F8" i="6"/>
  <c r="F7" i="6"/>
  <c r="F6" i="6"/>
  <c r="F5" i="6"/>
  <c r="E5" i="6"/>
  <c r="E6" i="6"/>
  <c r="E7" i="6"/>
  <c r="E8" i="6"/>
  <c r="C103" i="4"/>
  <c r="Q103" i="10" l="1"/>
  <c r="P103" i="10"/>
  <c r="H103" i="10"/>
  <c r="O103" i="10"/>
  <c r="G103" i="10"/>
  <c r="I103" i="10"/>
  <c r="N103" i="10"/>
  <c r="F103" i="10"/>
  <c r="U103" i="10"/>
  <c r="T103" i="10"/>
  <c r="S103" i="10"/>
  <c r="M103" i="10"/>
  <c r="E103" i="10"/>
  <c r="L103" i="10"/>
  <c r="D103" i="10"/>
  <c r="B106" i="10" s="1"/>
  <c r="K103" i="10"/>
  <c r="R103" i="10"/>
  <c r="J103" i="10"/>
  <c r="Q40" i="10"/>
  <c r="G40" i="10"/>
  <c r="N40" i="10"/>
  <c r="F40" i="10"/>
  <c r="I40" i="10"/>
  <c r="T40" i="10"/>
  <c r="H40" i="10"/>
  <c r="R40" i="10"/>
  <c r="O40" i="10"/>
  <c r="M40" i="10"/>
  <c r="E40" i="10"/>
  <c r="U40" i="10"/>
  <c r="S40" i="10"/>
  <c r="L40" i="10"/>
  <c r="D40" i="10"/>
  <c r="P40" i="10"/>
  <c r="K40" i="10"/>
  <c r="C40" i="10"/>
  <c r="B43" i="10" s="1"/>
  <c r="J40" i="10"/>
  <c r="F156" i="9"/>
  <c r="F157" i="9"/>
  <c r="G157" i="9" s="1"/>
  <c r="J157" i="9" s="1"/>
  <c r="G156" i="9"/>
  <c r="J156" i="9" s="1"/>
  <c r="K156" i="9" s="1"/>
  <c r="I85" i="9"/>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15" i="5"/>
  <c r="B198" i="9"/>
  <c r="B199" i="9"/>
  <c r="B200" i="9"/>
  <c r="B201" i="9"/>
  <c r="B202" i="9"/>
  <c r="B203" i="9"/>
  <c r="B204" i="9"/>
  <c r="B205" i="9"/>
  <c r="B182" i="9"/>
  <c r="B183" i="9"/>
  <c r="B184" i="9"/>
  <c r="B185" i="9"/>
  <c r="B186" i="9"/>
  <c r="B187" i="9"/>
  <c r="B188" i="9"/>
  <c r="B189" i="9"/>
  <c r="B190" i="9"/>
  <c r="B191" i="9"/>
  <c r="B192" i="9"/>
  <c r="B193" i="9"/>
  <c r="B194" i="9"/>
  <c r="B195" i="9"/>
  <c r="B196" i="9"/>
  <c r="B197" i="9"/>
  <c r="B181" i="9"/>
  <c r="C179" i="9"/>
  <c r="B57" i="4"/>
  <c r="C176" i="9"/>
  <c r="E176" i="9" s="1"/>
  <c r="C32" i="4"/>
  <c r="C33" i="4"/>
  <c r="C34" i="4"/>
  <c r="C35" i="4"/>
  <c r="C36" i="4"/>
  <c r="C37" i="4"/>
  <c r="C38" i="4"/>
  <c r="C39" i="4"/>
  <c r="C40" i="4"/>
  <c r="C41" i="4"/>
  <c r="C42" i="4"/>
  <c r="C43" i="4"/>
  <c r="C44" i="4"/>
  <c r="C45" i="4"/>
  <c r="C46" i="4"/>
  <c r="C47" i="4"/>
  <c r="C48" i="4"/>
  <c r="C49" i="4"/>
  <c r="C50" i="4"/>
  <c r="C51" i="4"/>
  <c r="C52" i="4"/>
  <c r="C53" i="4"/>
  <c r="C54" i="4"/>
  <c r="C55" i="4"/>
  <c r="C56" i="4"/>
  <c r="C57" i="4"/>
  <c r="C31" i="4"/>
  <c r="S18" i="4"/>
  <c r="S19" i="4" s="1"/>
  <c r="T18" i="4"/>
  <c r="T19" i="4" s="1"/>
  <c r="U18" i="4"/>
  <c r="U19" i="4" s="1"/>
  <c r="V18" i="4"/>
  <c r="V19" i="4" s="1"/>
  <c r="W18" i="4"/>
  <c r="W19" i="4" s="1"/>
  <c r="X18" i="4"/>
  <c r="X19" i="4" s="1"/>
  <c r="Y18" i="4"/>
  <c r="Y19" i="4" s="1"/>
  <c r="R18" i="4"/>
  <c r="R19" i="4" s="1"/>
  <c r="K18" i="4"/>
  <c r="K19" i="4" s="1"/>
  <c r="L18" i="4"/>
  <c r="L19" i="4" s="1"/>
  <c r="M18" i="4"/>
  <c r="M19" i="4" s="1"/>
  <c r="N18" i="4"/>
  <c r="N19" i="4" s="1"/>
  <c r="O18" i="4"/>
  <c r="O19" i="4" s="1"/>
  <c r="P18" i="4"/>
  <c r="P19" i="4" s="1"/>
  <c r="Q18" i="4"/>
  <c r="Q19" i="4" s="1"/>
  <c r="J18" i="4"/>
  <c r="J19" i="4" s="1"/>
  <c r="C18" i="4"/>
  <c r="C19" i="4" s="1"/>
  <c r="C26" i="4" s="1"/>
  <c r="C27" i="4" s="1"/>
  <c r="B55" i="4" s="1"/>
  <c r="D18" i="4"/>
  <c r="D19" i="4" s="1"/>
  <c r="D26" i="4" s="1"/>
  <c r="D27" i="4" s="1"/>
  <c r="B53" i="4" s="1"/>
  <c r="E18" i="4"/>
  <c r="E19" i="4" s="1"/>
  <c r="E26" i="4" s="1"/>
  <c r="E27" i="4" s="1"/>
  <c r="B51" i="4" s="1"/>
  <c r="F18" i="4"/>
  <c r="F19" i="4" s="1"/>
  <c r="F26" i="4" s="1"/>
  <c r="F27" i="4" s="1"/>
  <c r="B46" i="4" s="1"/>
  <c r="G18" i="4"/>
  <c r="G19" i="4" s="1"/>
  <c r="G26" i="4" s="1"/>
  <c r="G27" i="4" s="1"/>
  <c r="B41" i="4" s="1"/>
  <c r="H18" i="4"/>
  <c r="H19" i="4" s="1"/>
  <c r="I18" i="4"/>
  <c r="I19" i="4" s="1"/>
  <c r="B18" i="4"/>
  <c r="B19" i="4" s="1"/>
  <c r="B104" i="10" l="1"/>
  <c r="B107" i="10"/>
  <c r="B41" i="10"/>
  <c r="L156" i="9"/>
  <c r="K157" i="9"/>
  <c r="K158" i="9" s="1"/>
  <c r="B162" i="9" s="1"/>
  <c r="L157" i="9"/>
  <c r="J158" i="9"/>
  <c r="C181" i="9"/>
  <c r="G176" i="9"/>
  <c r="F176" i="9"/>
  <c r="C201" i="9"/>
  <c r="H26" i="4"/>
  <c r="H27" i="4" s="1"/>
  <c r="B36" i="4" s="1"/>
  <c r="B26" i="4"/>
  <c r="B27" i="4" s="1"/>
  <c r="I26" i="4"/>
  <c r="I27" i="4" s="1"/>
  <c r="B31" i="4" s="1"/>
  <c r="L158" i="9" l="1"/>
  <c r="C162" i="9" s="1"/>
  <c r="A209" i="9"/>
  <c r="B7" i="9" s="1"/>
  <c r="B209" i="9"/>
  <c r="C7" i="9" s="1"/>
  <c r="C37" i="5"/>
  <c r="C38" i="5" s="1"/>
  <c r="I5" i="8"/>
  <c r="I6" i="8"/>
  <c r="I7" i="8"/>
  <c r="I8" i="8"/>
  <c r="J8" i="8" s="1"/>
  <c r="I9" i="8"/>
  <c r="J9" i="8" s="1"/>
  <c r="I10" i="8"/>
  <c r="J10" i="8" s="1"/>
  <c r="I11" i="8"/>
  <c r="J11" i="8" s="1"/>
  <c r="I12" i="8"/>
  <c r="J12" i="8" s="1"/>
  <c r="E5" i="8"/>
  <c r="F5" i="8" s="1"/>
  <c r="E6" i="8"/>
  <c r="F6" i="8" s="1"/>
  <c r="E7" i="8"/>
  <c r="E8" i="8"/>
  <c r="F8" i="8" s="1"/>
  <c r="I4" i="8"/>
  <c r="J4" i="8" s="1"/>
  <c r="E4" i="8"/>
  <c r="F4" i="8" s="1"/>
  <c r="C7" i="8"/>
  <c r="P82" i="5"/>
  <c r="Q82" i="5"/>
  <c r="P83" i="5"/>
  <c r="Q83" i="5"/>
  <c r="P84" i="5"/>
  <c r="Q84" i="5"/>
  <c r="P85" i="5"/>
  <c r="Q85" i="5"/>
  <c r="P86" i="5"/>
  <c r="Q86" i="5"/>
  <c r="P87" i="5"/>
  <c r="Q87" i="5"/>
  <c r="P88" i="5"/>
  <c r="Q88" i="5"/>
  <c r="P89" i="5"/>
  <c r="Q89" i="5"/>
  <c r="P90" i="5"/>
  <c r="Q90" i="5"/>
  <c r="P91" i="5"/>
  <c r="Q91" i="5"/>
  <c r="P92" i="5"/>
  <c r="Q92" i="5"/>
  <c r="P93" i="5"/>
  <c r="Q93" i="5"/>
  <c r="P94" i="5"/>
  <c r="Q94" i="5"/>
  <c r="P95" i="5"/>
  <c r="Q95" i="5"/>
  <c r="P96" i="5"/>
  <c r="Q96" i="5"/>
  <c r="P72" i="5"/>
  <c r="Q72" i="5"/>
  <c r="P73" i="5"/>
  <c r="Q73" i="5"/>
  <c r="P74" i="5"/>
  <c r="Q74" i="5"/>
  <c r="P75" i="5"/>
  <c r="Q75" i="5"/>
  <c r="P76" i="5"/>
  <c r="Q76" i="5"/>
  <c r="P77" i="5"/>
  <c r="Q77" i="5"/>
  <c r="P78" i="5"/>
  <c r="Q78" i="5"/>
  <c r="P79" i="5"/>
  <c r="Q79" i="5"/>
  <c r="P80" i="5"/>
  <c r="Q80" i="5"/>
  <c r="P81" i="5"/>
  <c r="Q81" i="5"/>
  <c r="P63" i="5"/>
  <c r="Q63" i="5"/>
  <c r="P64" i="5"/>
  <c r="Q64" i="5"/>
  <c r="P65" i="5"/>
  <c r="Q65" i="5"/>
  <c r="P66" i="5"/>
  <c r="Q66" i="5"/>
  <c r="P67" i="5"/>
  <c r="Q67" i="5"/>
  <c r="P68" i="5"/>
  <c r="Q68" i="5"/>
  <c r="P69" i="5"/>
  <c r="Q69" i="5"/>
  <c r="P70" i="5"/>
  <c r="Q70" i="5"/>
  <c r="P71" i="5"/>
  <c r="Q71" i="5"/>
  <c r="P59" i="5"/>
  <c r="Q59" i="5"/>
  <c r="P60" i="5"/>
  <c r="Q60" i="5"/>
  <c r="P61" i="5"/>
  <c r="Q61" i="5"/>
  <c r="P62" i="5"/>
  <c r="Q62" i="5"/>
  <c r="P55" i="5"/>
  <c r="P56" i="5"/>
  <c r="Q56" i="5"/>
  <c r="P57" i="5"/>
  <c r="Q57" i="5"/>
  <c r="P58" i="5"/>
  <c r="Q58" i="5"/>
  <c r="Q55" i="5"/>
  <c r="N55" i="5"/>
  <c r="C17" i="5"/>
  <c r="M5" i="7"/>
  <c r="M6" i="7"/>
  <c r="M7" i="7"/>
  <c r="M8" i="7"/>
  <c r="M9" i="7"/>
  <c r="M10" i="7"/>
  <c r="M11" i="7"/>
  <c r="M4" i="7"/>
  <c r="C126" i="9"/>
  <c r="C127" i="9"/>
  <c r="C128" i="9"/>
  <c r="C129" i="9"/>
  <c r="C130" i="9"/>
  <c r="C131" i="9"/>
  <c r="C132" i="9"/>
  <c r="C133" i="9"/>
  <c r="C134" i="9"/>
  <c r="C135" i="9"/>
  <c r="C136" i="9"/>
  <c r="C137" i="9"/>
  <c r="C138" i="9"/>
  <c r="C139" i="9"/>
  <c r="C140" i="9"/>
  <c r="C141" i="9"/>
  <c r="C142" i="9"/>
  <c r="C143" i="9"/>
  <c r="C144" i="9"/>
  <c r="C145" i="9"/>
  <c r="C146" i="9"/>
  <c r="C147" i="9"/>
  <c r="C148" i="9"/>
  <c r="C149" i="9"/>
  <c r="C125" i="9"/>
  <c r="B126" i="9"/>
  <c r="B127" i="9"/>
  <c r="B128" i="9"/>
  <c r="B129" i="9"/>
  <c r="B125" i="9"/>
  <c r="F125" i="9"/>
  <c r="F126" i="9" s="1"/>
  <c r="F127" i="9" s="1"/>
  <c r="E85" i="9"/>
  <c r="C82" i="9"/>
  <c r="D82" i="9" s="1"/>
  <c r="A69" i="9"/>
  <c r="C62" i="9"/>
  <c r="A48" i="9"/>
  <c r="F41" i="9"/>
  <c r="G41" i="9" s="1"/>
  <c r="B23" i="9"/>
  <c r="A27" i="9"/>
  <c r="J20" i="9"/>
  <c r="I20" i="9"/>
  <c r="C20" i="9"/>
  <c r="E20" i="9" s="1"/>
  <c r="G20" i="9" s="1"/>
  <c r="I17" i="9"/>
  <c r="C17" i="9"/>
  <c r="E17" i="9" s="1"/>
  <c r="G17" i="9" s="1"/>
  <c r="J14" i="9"/>
  <c r="C14" i="9"/>
  <c r="E14" i="9" s="1"/>
  <c r="G14" i="9" s="1"/>
  <c r="I14" i="9"/>
  <c r="O55" i="5"/>
  <c r="C13" i="5"/>
  <c r="A141" i="5"/>
  <c r="A142" i="5"/>
  <c r="A143" i="5"/>
  <c r="A121" i="5"/>
  <c r="A122" i="5"/>
  <c r="A123" i="5"/>
  <c r="A124" i="5"/>
  <c r="A125" i="5"/>
  <c r="A126" i="5"/>
  <c r="A127" i="5"/>
  <c r="A128" i="5"/>
  <c r="A129" i="5"/>
  <c r="A130" i="5"/>
  <c r="A131" i="5"/>
  <c r="A132" i="5"/>
  <c r="A133" i="5"/>
  <c r="A134" i="5"/>
  <c r="A135" i="5"/>
  <c r="A136" i="5"/>
  <c r="A137" i="5"/>
  <c r="A138" i="5"/>
  <c r="A139" i="5"/>
  <c r="A140" i="5"/>
  <c r="A115" i="5"/>
  <c r="A116" i="5"/>
  <c r="A117" i="5"/>
  <c r="A118" i="5"/>
  <c r="A119" i="5"/>
  <c r="A120" i="5"/>
  <c r="A114" i="5"/>
  <c r="B114" i="5"/>
  <c r="D107" i="5"/>
  <c r="D106" i="5" s="1"/>
  <c r="C34" i="5"/>
  <c r="G24" i="5"/>
  <c r="C25" i="5"/>
  <c r="H17" i="5"/>
  <c r="N64" i="5"/>
  <c r="D6" i="5" s="1"/>
  <c r="O56" i="5"/>
  <c r="O64" i="5"/>
  <c r="E6" i="5" s="1"/>
  <c r="F6" i="5" s="1"/>
  <c r="O71" i="5"/>
  <c r="O72" i="5"/>
  <c r="O77" i="5"/>
  <c r="E32" i="5" s="1"/>
  <c r="F32" i="5" s="1"/>
  <c r="O84" i="5"/>
  <c r="O86" i="5"/>
  <c r="O93" i="5"/>
  <c r="O96" i="5"/>
  <c r="O57" i="5"/>
  <c r="O63" i="5"/>
  <c r="E24" i="5" s="1"/>
  <c r="F24" i="5" s="1"/>
  <c r="O79" i="5"/>
  <c r="O80" i="5"/>
  <c r="E16" i="5" s="1"/>
  <c r="F16" i="5" s="1"/>
  <c r="O85" i="5"/>
  <c r="O87" i="5"/>
  <c r="O89" i="5"/>
  <c r="O91" i="5"/>
  <c r="O92" i="5"/>
  <c r="O95" i="5"/>
  <c r="O59" i="5"/>
  <c r="O60" i="5"/>
  <c r="O61" i="5"/>
  <c r="O62" i="5"/>
  <c r="E22" i="5" s="1"/>
  <c r="F22" i="5" s="1"/>
  <c r="O75" i="5"/>
  <c r="E23" i="5" s="1"/>
  <c r="F23" i="5" s="1"/>
  <c r="O81" i="5"/>
  <c r="O66" i="5"/>
  <c r="E8" i="5" s="1"/>
  <c r="F8" i="5" s="1"/>
  <c r="O67" i="5"/>
  <c r="E9" i="5" s="1"/>
  <c r="F9" i="5" s="1"/>
  <c r="O68" i="5"/>
  <c r="E12" i="5" s="1"/>
  <c r="O69" i="5"/>
  <c r="E11" i="5" s="1"/>
  <c r="F11" i="5" s="1"/>
  <c r="O70" i="5"/>
  <c r="E10" i="5" s="1"/>
  <c r="O73" i="5"/>
  <c r="O78" i="5"/>
  <c r="E31" i="5" s="1"/>
  <c r="F31" i="5" s="1"/>
  <c r="O90" i="5"/>
  <c r="O94" i="5"/>
  <c r="O82" i="5"/>
  <c r="O83" i="5"/>
  <c r="O58" i="5"/>
  <c r="O74" i="5"/>
  <c r="O76" i="5"/>
  <c r="E7" i="5" s="1"/>
  <c r="F7" i="5" s="1"/>
  <c r="O88" i="5"/>
  <c r="O65" i="5"/>
  <c r="E30" i="5" s="1"/>
  <c r="F30" i="5" s="1"/>
  <c r="N83" i="5"/>
  <c r="N58" i="5"/>
  <c r="N74" i="5"/>
  <c r="N76" i="5"/>
  <c r="D7" i="5" s="1"/>
  <c r="N88" i="5"/>
  <c r="N56" i="5"/>
  <c r="N71" i="5"/>
  <c r="N72" i="5"/>
  <c r="N77" i="5"/>
  <c r="D32" i="5" s="1"/>
  <c r="N84" i="5"/>
  <c r="N86" i="5"/>
  <c r="N93" i="5"/>
  <c r="N96" i="5"/>
  <c r="N57" i="5"/>
  <c r="N63" i="5"/>
  <c r="D24" i="5" s="1"/>
  <c r="N79" i="5"/>
  <c r="N80" i="5"/>
  <c r="D16" i="5" s="1"/>
  <c r="N85" i="5"/>
  <c r="N87" i="5"/>
  <c r="N89" i="5"/>
  <c r="N91" i="5"/>
  <c r="N92" i="5"/>
  <c r="N95" i="5"/>
  <c r="N59" i="5"/>
  <c r="N60" i="5"/>
  <c r="N61" i="5"/>
  <c r="N62" i="5"/>
  <c r="D22" i="5" s="1"/>
  <c r="N75" i="5"/>
  <c r="D23" i="5" s="1"/>
  <c r="N81" i="5"/>
  <c r="N66" i="5"/>
  <c r="D8" i="5" s="1"/>
  <c r="N67" i="5"/>
  <c r="D9" i="5" s="1"/>
  <c r="N68" i="5"/>
  <c r="D12" i="5" s="1"/>
  <c r="N69" i="5"/>
  <c r="D11" i="5" s="1"/>
  <c r="N70" i="5"/>
  <c r="D10" i="5" s="1"/>
  <c r="N73" i="5"/>
  <c r="N78" i="5"/>
  <c r="D31" i="5" s="1"/>
  <c r="N90" i="5"/>
  <c r="N94" i="5"/>
  <c r="N82" i="5"/>
  <c r="N65" i="5"/>
  <c r="D30" i="5" s="1"/>
  <c r="M13" i="7" l="1"/>
  <c r="R4" i="7"/>
  <c r="Q4" i="7"/>
  <c r="Q11" i="7"/>
  <c r="R11" i="7"/>
  <c r="Q10" i="7"/>
  <c r="R10" i="7"/>
  <c r="Q9" i="7"/>
  <c r="R9" i="7"/>
  <c r="Q8" i="7"/>
  <c r="R8" i="7"/>
  <c r="Q7" i="7"/>
  <c r="R7" i="7"/>
  <c r="Q6" i="7"/>
  <c r="R6" i="7"/>
  <c r="Q5" i="7"/>
  <c r="R5" i="7"/>
  <c r="H41" i="9"/>
  <c r="I41" i="9" s="1"/>
  <c r="K14" i="9"/>
  <c r="L14" i="9" s="1"/>
  <c r="N14" i="9" s="1"/>
  <c r="B150" i="9"/>
  <c r="B161" i="9" s="1"/>
  <c r="B163" i="9" s="1"/>
  <c r="B164" i="9" s="1"/>
  <c r="B6" i="9" s="1"/>
  <c r="C150" i="9"/>
  <c r="C161" i="9" s="1"/>
  <c r="C163" i="9" s="1"/>
  <c r="C164" i="9" s="1"/>
  <c r="C6" i="9" s="1"/>
  <c r="C44" i="5"/>
  <c r="A73" i="9"/>
  <c r="C4" i="9" s="1"/>
  <c r="K17" i="9"/>
  <c r="L17" i="9" s="1"/>
  <c r="N17" i="9" s="1"/>
  <c r="O17" i="9" s="1"/>
  <c r="K20" i="9"/>
  <c r="L20" i="9" s="1"/>
  <c r="N20" i="9" s="1"/>
  <c r="O20" i="9" s="1"/>
  <c r="A52" i="9"/>
  <c r="C3" i="9" s="1"/>
  <c r="I9" i="5"/>
  <c r="G9" i="5" s="1"/>
  <c r="I24" i="5"/>
  <c r="I11" i="5"/>
  <c r="H11" i="5" s="1"/>
  <c r="I16" i="5"/>
  <c r="G16" i="5" s="1"/>
  <c r="G17" i="5" s="1"/>
  <c r="I32" i="5"/>
  <c r="G32" i="5" s="1"/>
  <c r="H24" i="5"/>
  <c r="I6" i="5"/>
  <c r="G6" i="5" s="1"/>
  <c r="H9" i="5"/>
  <c r="I8" i="5"/>
  <c r="I31" i="5"/>
  <c r="I23" i="5"/>
  <c r="I7" i="5"/>
  <c r="I22" i="5"/>
  <c r="H22" i="5" s="1"/>
  <c r="H25" i="5" s="1"/>
  <c r="J6" i="8"/>
  <c r="J5" i="8"/>
  <c r="I21" i="8" s="1"/>
  <c r="E21" i="8"/>
  <c r="F7" i="8"/>
  <c r="E19" i="8" s="1"/>
  <c r="J7" i="8"/>
  <c r="I30" i="5"/>
  <c r="G30" i="5" s="1"/>
  <c r="F34" i="5"/>
  <c r="F10" i="5"/>
  <c r="I10" i="5" s="1"/>
  <c r="F12" i="5"/>
  <c r="I12" i="5" s="1"/>
  <c r="E82" i="9"/>
  <c r="F82" i="9" s="1"/>
  <c r="C93" i="9" s="1"/>
  <c r="F93" i="9" s="1"/>
  <c r="E62" i="9"/>
  <c r="B27" i="9"/>
  <c r="G25" i="5"/>
  <c r="E107" i="5"/>
  <c r="F107" i="5" s="1"/>
  <c r="B148" i="5" s="1"/>
  <c r="E106" i="5"/>
  <c r="F106" i="5" s="1"/>
  <c r="B147" i="5" s="1"/>
  <c r="F25" i="5"/>
  <c r="F17" i="5"/>
  <c r="A50" i="9" l="1"/>
  <c r="B3" i="9" s="1"/>
  <c r="E3" i="9" s="1"/>
  <c r="C111" i="9"/>
  <c r="F111" i="9" s="1"/>
  <c r="C108" i="9"/>
  <c r="F108" i="9" s="1"/>
  <c r="C106" i="9"/>
  <c r="F106" i="9" s="1"/>
  <c r="C99" i="9"/>
  <c r="F99" i="9" s="1"/>
  <c r="C98" i="9"/>
  <c r="F98" i="9" s="1"/>
  <c r="B87" i="9"/>
  <c r="E87" i="9" s="1"/>
  <c r="C96" i="9"/>
  <c r="F96" i="9" s="1"/>
  <c r="C87" i="9"/>
  <c r="F87" i="9" s="1"/>
  <c r="B90" i="9"/>
  <c r="E90" i="9" s="1"/>
  <c r="C88" i="9"/>
  <c r="F88" i="9" s="1"/>
  <c r="C103" i="9"/>
  <c r="F103" i="9" s="1"/>
  <c r="B88" i="9"/>
  <c r="E88" i="9" s="1"/>
  <c r="C100" i="9"/>
  <c r="F100" i="9" s="1"/>
  <c r="C91" i="9"/>
  <c r="F91" i="9" s="1"/>
  <c r="C107" i="9"/>
  <c r="F107" i="9" s="1"/>
  <c r="C97" i="9"/>
  <c r="F97" i="9" s="1"/>
  <c r="C89" i="9"/>
  <c r="F89" i="9" s="1"/>
  <c r="C105" i="9"/>
  <c r="F105" i="9" s="1"/>
  <c r="C92" i="9"/>
  <c r="F92" i="9" s="1"/>
  <c r="B89" i="9"/>
  <c r="E89" i="9" s="1"/>
  <c r="C104" i="9"/>
  <c r="F104" i="9" s="1"/>
  <c r="I19" i="8"/>
  <c r="I23" i="8" s="1"/>
  <c r="A31" i="9"/>
  <c r="A29" i="9"/>
  <c r="C95" i="9"/>
  <c r="F95" i="9" s="1"/>
  <c r="B91" i="9"/>
  <c r="E91" i="9" s="1"/>
  <c r="C110" i="9"/>
  <c r="F110" i="9" s="1"/>
  <c r="C102" i="9"/>
  <c r="F102" i="9" s="1"/>
  <c r="C94" i="9"/>
  <c r="F94" i="9" s="1"/>
  <c r="C90" i="9"/>
  <c r="F90" i="9" s="1"/>
  <c r="C109" i="9"/>
  <c r="F109" i="9" s="1"/>
  <c r="C101" i="9"/>
  <c r="F101" i="9" s="1"/>
  <c r="I17" i="5"/>
  <c r="G11" i="5"/>
  <c r="I25" i="5"/>
  <c r="I34" i="5"/>
  <c r="I13" i="5"/>
  <c r="H10" i="5"/>
  <c r="G10" i="5"/>
  <c r="H8" i="5"/>
  <c r="G8" i="5"/>
  <c r="G31" i="5"/>
  <c r="G34" i="5" s="1"/>
  <c r="H31" i="5"/>
  <c r="H34" i="5" s="1"/>
  <c r="G7" i="5"/>
  <c r="H7" i="5"/>
  <c r="G12" i="5"/>
  <c r="H12" i="5"/>
  <c r="E23" i="8"/>
  <c r="B152" i="5"/>
  <c r="F13" i="5"/>
  <c r="F44" i="5" s="1"/>
  <c r="A71" i="9"/>
  <c r="G107" i="5"/>
  <c r="G106" i="5"/>
  <c r="A54" i="9" l="1"/>
  <c r="F112" i="9"/>
  <c r="C5" i="9" s="1"/>
  <c r="C112" i="9"/>
  <c r="B29" i="9"/>
  <c r="B31" i="9"/>
  <c r="C2" i="9" s="1"/>
  <c r="A33" i="9"/>
  <c r="E112" i="9"/>
  <c r="E113" i="9" s="1"/>
  <c r="B112" i="9"/>
  <c r="B114" i="9" s="1"/>
  <c r="I44" i="5"/>
  <c r="H13" i="5"/>
  <c r="H44" i="5" s="1"/>
  <c r="H45" i="5" s="1"/>
  <c r="G13" i="5"/>
  <c r="G44" i="5" s="1"/>
  <c r="E6" i="9"/>
  <c r="A75" i="9"/>
  <c r="B4" i="9"/>
  <c r="D137" i="5"/>
  <c r="D122" i="5"/>
  <c r="D130" i="5"/>
  <c r="D138" i="5"/>
  <c r="D123" i="5"/>
  <c r="D131" i="5"/>
  <c r="D139" i="5"/>
  <c r="D116" i="5"/>
  <c r="D124" i="5"/>
  <c r="D132" i="5"/>
  <c r="D140" i="5"/>
  <c r="D117" i="5"/>
  <c r="D125" i="5"/>
  <c r="D133" i="5"/>
  <c r="D141" i="5"/>
  <c r="D136" i="5"/>
  <c r="D129" i="5"/>
  <c r="D118" i="5"/>
  <c r="D126" i="5"/>
  <c r="D134" i="5"/>
  <c r="D142" i="5"/>
  <c r="D119" i="5"/>
  <c r="D127" i="5"/>
  <c r="D135" i="5"/>
  <c r="D143" i="5"/>
  <c r="D120" i="5"/>
  <c r="D128" i="5"/>
  <c r="D115" i="5"/>
  <c r="D121" i="5"/>
  <c r="C148" i="5"/>
  <c r="C147" i="5"/>
  <c r="E117" i="5"/>
  <c r="E119" i="5"/>
  <c r="E127" i="5"/>
  <c r="E135" i="5"/>
  <c r="E143" i="5"/>
  <c r="E120" i="5"/>
  <c r="E128" i="5"/>
  <c r="E136" i="5"/>
  <c r="E115" i="5"/>
  <c r="E126" i="5"/>
  <c r="E121" i="5"/>
  <c r="E129" i="5"/>
  <c r="E137" i="5"/>
  <c r="E122" i="5"/>
  <c r="E130" i="5"/>
  <c r="E138" i="5"/>
  <c r="E125" i="5"/>
  <c r="E134" i="5"/>
  <c r="E142" i="5"/>
  <c r="E123" i="5"/>
  <c r="E131" i="5"/>
  <c r="E139" i="5"/>
  <c r="E116" i="5"/>
  <c r="E124" i="5"/>
  <c r="E132" i="5"/>
  <c r="E140" i="5"/>
  <c r="E133" i="5"/>
  <c r="E141" i="5"/>
  <c r="E118" i="5"/>
  <c r="C8" i="9" l="1"/>
  <c r="B33" i="9"/>
  <c r="B2" i="9"/>
  <c r="B5" i="9"/>
  <c r="E5" i="9" s="1"/>
  <c r="H46" i="5"/>
  <c r="G46" i="5"/>
  <c r="G45" i="5"/>
  <c r="B150" i="5"/>
  <c r="B153" i="5" s="1"/>
  <c r="F45" i="5" s="1"/>
  <c r="B149" i="5"/>
  <c r="E4" i="9"/>
  <c r="C152" i="5"/>
  <c r="C149" i="5"/>
  <c r="C150" i="5"/>
  <c r="C153" i="5" s="1"/>
  <c r="E2" i="9" l="1"/>
  <c r="B8" i="9"/>
  <c r="E8" i="9" s="1"/>
  <c r="F46" i="5"/>
  <c r="F48" i="5" s="1"/>
  <c r="F4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tc={A1486A45-926E-4EF8-94DF-9547290C4DF8}</author>
  </authors>
  <commentList>
    <comment ref="E66" authorId="0" shapeId="0" xr:uid="{A1486A45-926E-4EF8-94DF-9547290C4DF8}">
      <text>
        <t>[Threaded comment]
Your version of Excel allows you to read this threaded comment; however, any edits to it will get removed if the file is opened in a newer version of Excel. Learn more: https://go.microsoft.com/fwlink/?linkid=870924
Comment:
    CO2/generation includes generation for on-site use and line loss, so is the best representation of the actual generation that occurs to meet demand.</t>
      </text>
    </comment>
  </commentList>
</comments>
</file>

<file path=xl/sharedStrings.xml><?xml version="1.0" encoding="utf-8"?>
<sst xmlns="http://schemas.openxmlformats.org/spreadsheetml/2006/main" count="1229" uniqueCount="758">
  <si>
    <t>Tab</t>
  </si>
  <si>
    <t>Contents</t>
  </si>
  <si>
    <t>Constants</t>
  </si>
  <si>
    <t>unit conversions, GWPs</t>
  </si>
  <si>
    <t>Electricity emission rates</t>
  </si>
  <si>
    <t>Emission rates calculated from NREL Cambium scenario and EIA AEO generation projections for MISO West region</t>
  </si>
  <si>
    <t>1 Peatlands</t>
  </si>
  <si>
    <t>Measure 1: Peatland Restoration</t>
  </si>
  <si>
    <t>2 Ag</t>
  </si>
  <si>
    <t>Measure 2: Climate-friendly agricultural practices</t>
  </si>
  <si>
    <t>3 Industrial</t>
  </si>
  <si>
    <t>Measure 3: Industrial innovation and decarbonization</t>
  </si>
  <si>
    <t>4 Refrigerants</t>
  </si>
  <si>
    <t xml:space="preserve">Measure 4: Low-GWP refrigerants </t>
  </si>
  <si>
    <t>5 Vehicles and equip</t>
  </si>
  <si>
    <t>Measure 5: Vehicle and equipment replacement</t>
  </si>
  <si>
    <t>6 Organics</t>
  </si>
  <si>
    <t>Measure 6: Preventing wasted food and organics management</t>
  </si>
  <si>
    <t>7 Tribal and local food</t>
  </si>
  <si>
    <t>Measure 7: Food sovereignty and local food economies</t>
  </si>
  <si>
    <t>Unit conversions</t>
  </si>
  <si>
    <t>Short tons to metric tons</t>
  </si>
  <si>
    <t>pounds per short ton</t>
  </si>
  <si>
    <t>Natural gas lbCO2/MMBtu</t>
  </si>
  <si>
    <t>MMBtu to MWh</t>
  </si>
  <si>
    <t>IPCC AR5 100-year GWPs</t>
  </si>
  <si>
    <t>Indicator</t>
  </si>
  <si>
    <t>GHG</t>
  </si>
  <si>
    <t>GWP kgCO2e/kg GHG</t>
  </si>
  <si>
    <t>AR5-100</t>
  </si>
  <si>
    <t>Carbon dioxide</t>
  </si>
  <si>
    <t>Methane</t>
  </si>
  <si>
    <t>Nitrous oxide</t>
  </si>
  <si>
    <t>Sulfur hexafluoride</t>
  </si>
  <si>
    <t>(E)-HFC-1225ye</t>
  </si>
  <si>
    <t>(Z)-1,1,1,4,4,4-Hexafluoro-2-butene</t>
  </si>
  <si>
    <t>1,1,1,3,3,3-Hexafluoro-2-propanol</t>
  </si>
  <si>
    <t>1,1,1,3,3,3-Hexafluoropropan-2-yl formate</t>
  </si>
  <si>
    <t>1,1,1-Trichloroethane</t>
  </si>
  <si>
    <t>1,1,2,2-Tetrafluoro-1-methoxyethane</t>
  </si>
  <si>
    <t>1,1,2,2-Tetrafluoro-3-methoxy-propane</t>
  </si>
  <si>
    <t>1,1,2-Trifluoro-2-(trifluoromethoxy)-ethane</t>
  </si>
  <si>
    <t>1,1,3,3,4,4,6,6,7,7,9,9,10,10,12,12,13,13,15,15-eicosafluoro-2,5,8,11,14-Pentaoxapentadecane</t>
  </si>
  <si>
    <t>1,1-Difluoroethyl 2,2,2-trifluoroacetate</t>
  </si>
  <si>
    <t>1,1-Difluoroethyl carbonofluoridate</t>
  </si>
  <si>
    <t>1,2,2,2-Tetrafluoroethyl formate</t>
  </si>
  <si>
    <t>1,2-Dibromo-1,1,2,2-tetrafluoroethane</t>
  </si>
  <si>
    <t>1,2-Dichloroethane</t>
  </si>
  <si>
    <t>1-Butanol, 2,2,3,3,4,4,4-heptafluoro-</t>
  </si>
  <si>
    <t>1-Ethoxy-1,1,2,2,3,3,3-heptafluoropropane</t>
  </si>
  <si>
    <t>1-Ethoxy-1,1,2,3,3,3-hexafluoropropane</t>
  </si>
  <si>
    <t>1-Hexene, 3,3,4,4,5,5,6,6,6-nonafluoro-</t>
  </si>
  <si>
    <t>1-Octene, 3,3,4,4,5,5,6,6,7,7,8,8,8-tridecafluoro-</t>
  </si>
  <si>
    <t>1-Propanol, 2,2,3,3,3-pentafluoro-</t>
  </si>
  <si>
    <t>1-Propanol, 2,2,3,3-tetrafluoro-</t>
  </si>
  <si>
    <t>1-Propene, 1,2,3,3,3-pentafluoro-, (1Z)-</t>
  </si>
  <si>
    <t>1-Propene, 1,3,3,3-tetrafluoro-, (1Z)-</t>
  </si>
  <si>
    <t>1-Propene, 1-chloro-3,3,3-trifluoro-, (1E)-</t>
  </si>
  <si>
    <t>1-Propene, 2,3,3,3-tetrafluoro-</t>
  </si>
  <si>
    <t>1H,1H,3H-Perfluorobutanol</t>
  </si>
  <si>
    <t>1H-Heptafluoropropane</t>
  </si>
  <si>
    <t>2,2,2-Trifluoroethanol</t>
  </si>
  <si>
    <t>2,2,2-Trifluoroethyl 2,2,2-trifluoroacetate</t>
  </si>
  <si>
    <t>2,2,2-Trifluoroethyl formate</t>
  </si>
  <si>
    <t>2,2,2-Trifluoroethyl trifluoromethyl ether</t>
  </si>
  <si>
    <t>2,2-Difluoroethanol</t>
  </si>
  <si>
    <t>2-Bromo-1,1,1,2-tetrafluoroethane</t>
  </si>
  <si>
    <t>2-Bromo-1,1,1-trifluoroethane</t>
  </si>
  <si>
    <t>2-Chloro-1,1,2-trifluoro-1-methoxyethane</t>
  </si>
  <si>
    <t>2-Ethoxy-3,3,4,4,5-pentafluorotetrahydro-2,5-bis[1,2,2,2-tetrafluoro-1-(trifluoromethyl)ethyl]-furan</t>
  </si>
  <si>
    <t>2-Fluoroethanol</t>
  </si>
  <si>
    <t>3,3,3-Trifluoro-1-propene</t>
  </si>
  <si>
    <t>3,3,3-Trifluoropropan-1-ol</t>
  </si>
  <si>
    <t>3,3,3-Trifluoropropyl formate</t>
  </si>
  <si>
    <t>3,3,4,4,5,5,6,6,7,7,7-Undecafluoroheptan-1-ol</t>
  </si>
  <si>
    <t>3,3,4,4,5,5,6,6,7,7,8,8,9,9,10,10,11,11,11-Nonadecafluoroundecan-1-ol</t>
  </si>
  <si>
    <t>3,3,4,4,5,5,6,6,7,7,8,8,9,9,9-Pentadecafluorononan-1-ol</t>
  </si>
  <si>
    <t>3-Pentanone, 1,1,1,2,2,4,5,5,5-nonafluoro-4-(trifluoromethyl)-</t>
  </si>
  <si>
    <t>4,4,4-Trifluorobutan-1-ol</t>
  </si>
  <si>
    <t>Acetic acid, trifluoro-, methyl ester</t>
  </si>
  <si>
    <t>Bromodifluoromethane</t>
  </si>
  <si>
    <t>Butane, 1,1,1,2,2,3,3,4,4-nonafluoro-4-methoxy-</t>
  </si>
  <si>
    <t>CFC-11</t>
  </si>
  <si>
    <t>CFC-113</t>
  </si>
  <si>
    <t>CFC-114</t>
  </si>
  <si>
    <t>CFC-115</t>
  </si>
  <si>
    <t>CFC-12</t>
  </si>
  <si>
    <t>CFC-13</t>
  </si>
  <si>
    <t>Carbon tetrachloride</t>
  </si>
  <si>
    <t>Carbon tetrafluoride</t>
  </si>
  <si>
    <t>Chlorofluorocarbons</t>
  </si>
  <si>
    <t>Chloroform</t>
  </si>
  <si>
    <t>Chloromethane</t>
  </si>
  <si>
    <t>Dibromodifluoromethane</t>
  </si>
  <si>
    <t>Dibromomethane</t>
  </si>
  <si>
    <t>Difluoro(fluoromethoxy)methane</t>
  </si>
  <si>
    <t>Difluoro(methoxy)methane</t>
  </si>
  <si>
    <t>Difluoromethyl 2,2,2-trifluoroacetate</t>
  </si>
  <si>
    <t>Dimethyldifluoromethane</t>
  </si>
  <si>
    <t>Enflurane</t>
  </si>
  <si>
    <t>Ethane, (trifluoromethoxy)-</t>
  </si>
  <si>
    <t>Ethane, 1,1,1,2,2-pentafluoro-2-methoxy-</t>
  </si>
  <si>
    <t>Ethane, 1,1,1,2-tetrafluoro-2-(trifluoromethoxy)-</t>
  </si>
  <si>
    <t>Ethane, 1,1,1-trifluoro-2-methoxy-</t>
  </si>
  <si>
    <t>Ethane, 1,1,2,2-tetrafluoro-1-(fluoromethoxy)-</t>
  </si>
  <si>
    <t>Ethane, 1,1-dichloro-1,2-difluoro-</t>
  </si>
  <si>
    <t>Ethane, 1,1-difluoro-2-(trifluoromethoxy)-</t>
  </si>
  <si>
    <t>Ethane, 1-(difluoromethoxy)-1,1,2,2-tetrafluoro-</t>
  </si>
  <si>
    <t>Ethane, 1-ethoxy-1,1,2,2-tetrafluoro-</t>
  </si>
  <si>
    <t>Ethane, 2-(difluoromethoxy)-1,1,1,2-tetrafluoro-, (+-)-</t>
  </si>
  <si>
    <t>Ethane, 2-(difluoromethoxy)-1,1,1-trifluoro-</t>
  </si>
  <si>
    <t>Ethene, (2,2,2-trifluoroethoxy)-</t>
  </si>
  <si>
    <t>Ethyl nonafluorobutyl ether</t>
  </si>
  <si>
    <t>Ethyl trifluoroacetate</t>
  </si>
  <si>
    <t>Fluoro(fluoromethoxy)methane</t>
  </si>
  <si>
    <t>Fluoro(methoxy)methane</t>
  </si>
  <si>
    <t>HCFC-122</t>
  </si>
  <si>
    <t>HCFC-122a</t>
  </si>
  <si>
    <t>HCFC-123</t>
  </si>
  <si>
    <t>HCFC-123a</t>
  </si>
  <si>
    <t>HCFC-124</t>
  </si>
  <si>
    <t>HCFC-141b</t>
  </si>
  <si>
    <t>HCFC-142b</t>
  </si>
  <si>
    <t>HCFC-21</t>
  </si>
  <si>
    <t>HCFC-22</t>
  </si>
  <si>
    <t>HCFC-225ca</t>
  </si>
  <si>
    <t>HCFC-225cb</t>
  </si>
  <si>
    <t>HFC-1234ze(E)</t>
  </si>
  <si>
    <t>HFC-125</t>
  </si>
  <si>
    <t>HFC-134</t>
  </si>
  <si>
    <t>HFC-1345zfc</t>
  </si>
  <si>
    <t>HFC-134a</t>
  </si>
  <si>
    <t>HFC-143</t>
  </si>
  <si>
    <t>HFC-143a</t>
  </si>
  <si>
    <t>HFC-152</t>
  </si>
  <si>
    <t>HFC-152a</t>
  </si>
  <si>
    <t>HFC-161</t>
  </si>
  <si>
    <t>HFC-227ea</t>
  </si>
  <si>
    <t>HFC-23</t>
  </si>
  <si>
    <t>HFC-236cb</t>
  </si>
  <si>
    <t>HFC-236ea</t>
  </si>
  <si>
    <t>HFC-236fa</t>
  </si>
  <si>
    <t>HFC-245ca</t>
  </si>
  <si>
    <t>HFC-245cb</t>
  </si>
  <si>
    <t>HFC-245ea</t>
  </si>
  <si>
    <t>HFC-245eb</t>
  </si>
  <si>
    <t>HFC-245fa</t>
  </si>
  <si>
    <t>HFC-32</t>
  </si>
  <si>
    <t>HFC-329p</t>
  </si>
  <si>
    <t>HFC-365mfc</t>
  </si>
  <si>
    <t>HFC-41</t>
  </si>
  <si>
    <t>HFC-4310mee</t>
  </si>
  <si>
    <t>HFE-329mcc2</t>
  </si>
  <si>
    <t>HFE-329me3</t>
  </si>
  <si>
    <t>HFE-338mcf2</t>
  </si>
  <si>
    <t>HFE-338mmz1</t>
  </si>
  <si>
    <t>HFE-338pcc13 (HG-01)</t>
  </si>
  <si>
    <t>HFE-347mcf2</t>
  </si>
  <si>
    <t>HFE-347mmy1</t>
  </si>
  <si>
    <t>HFE-347pcf2</t>
  </si>
  <si>
    <t>HFE-356mec3</t>
  </si>
  <si>
    <t>HFE-356mff2</t>
  </si>
  <si>
    <t>HFE-356mmz1</t>
  </si>
  <si>
    <t>HFE-356pcc3</t>
  </si>
  <si>
    <t>HFE-356pcf2</t>
  </si>
  <si>
    <t>HFE-356pcf3</t>
  </si>
  <si>
    <t>HFE-365mcf2</t>
  </si>
  <si>
    <t>HFE-365mcf3</t>
  </si>
  <si>
    <t>HG'-02</t>
  </si>
  <si>
    <t>HG'-03</t>
  </si>
  <si>
    <t>HG-02</t>
  </si>
  <si>
    <t>HG-03</t>
  </si>
  <si>
    <t>HG-20</t>
  </si>
  <si>
    <t>HG-21</t>
  </si>
  <si>
    <t>HG-30</t>
  </si>
  <si>
    <t>Halon 1211</t>
  </si>
  <si>
    <t>Halon 1301</t>
  </si>
  <si>
    <t>Halothane</t>
  </si>
  <si>
    <t>Hexafluoro-1,3-butadiene</t>
  </si>
  <si>
    <t>Hexafluoroethane</t>
  </si>
  <si>
    <t>Hexafluoropropene</t>
  </si>
  <si>
    <t>Hydrochlorofluorocarbons</t>
  </si>
  <si>
    <t>Hydrofluorocarbons</t>
  </si>
  <si>
    <t>Isoflurane</t>
  </si>
  <si>
    <t>Methane, (difluoromethoxy)trifluoro-</t>
  </si>
  <si>
    <t>Methane, bis(difluoromethoxy)difluoro-</t>
  </si>
  <si>
    <t>Methane, oxybis[difluoro-</t>
  </si>
  <si>
    <t>Methane, trifluoromethoxy-</t>
  </si>
  <si>
    <t>Methyl 2,2-difluoroacetate</t>
  </si>
  <si>
    <t>Methyl bromide</t>
  </si>
  <si>
    <t>Methyl carbonofluoridate</t>
  </si>
  <si>
    <t>Methylene chloride</t>
  </si>
  <si>
    <t>Nitrogen trifluoride</t>
  </si>
  <si>
    <t>Octafluorocyclopentene</t>
  </si>
  <si>
    <t>Octane, octadecafluoro-</t>
  </si>
  <si>
    <t>Perfluorobut-1-ene</t>
  </si>
  <si>
    <t>Perfluorobut-2-ene</t>
  </si>
  <si>
    <t>Perfluorobutane</t>
  </si>
  <si>
    <t>Perfluorobutyl acetate</t>
  </si>
  <si>
    <t>Perfluorobutyl formate</t>
  </si>
  <si>
    <t>Perfluorocyclobutane</t>
  </si>
  <si>
    <t>Perfluorodecalin</t>
  </si>
  <si>
    <t>Perfluorodecalin (cis)</t>
  </si>
  <si>
    <t>Perfluorodecalin (trans)</t>
  </si>
  <si>
    <t>Perfluoroethyl acetate</t>
  </si>
  <si>
    <t>Perfluoroethyl formate</t>
  </si>
  <si>
    <t>Perfluoroheptane</t>
  </si>
  <si>
    <t>Perfluorohexane</t>
  </si>
  <si>
    <t>Perfluoropentane</t>
  </si>
  <si>
    <t>Perfluoropropane</t>
  </si>
  <si>
    <t>Perfluoropropyl acetate</t>
  </si>
  <si>
    <t>Perfluoropropyl formate</t>
  </si>
  <si>
    <t>Propanal, 3,3,3-trifluoro-</t>
  </si>
  <si>
    <t>Propane, 1,1,1,2,2,3,3-heptafluoro-3-(1,2,2,2-tetrafluoroethoxy)-</t>
  </si>
  <si>
    <t>Propane, 1,1,1,2,2,3,3-heptafluoro-3-methoxy-</t>
  </si>
  <si>
    <t>Propane, 1,1,1-trifluoro-</t>
  </si>
  <si>
    <t>Sevoflurane</t>
  </si>
  <si>
    <t>Sulfuryl fluoride</t>
  </si>
  <si>
    <t>Tetrafluoroethene</t>
  </si>
  <si>
    <t>Trifluoro(fluoromethoxy)methane</t>
  </si>
  <si>
    <t>Trifluoro(trifluoromethoxy)ethylene</t>
  </si>
  <si>
    <t>Trifluoromethyl acetate</t>
  </si>
  <si>
    <t>Trifluoromethyl formate</t>
  </si>
  <si>
    <t>Trifluoromethyl sulfur pentafluoride</t>
  </si>
  <si>
    <t>Vinyl fluoride</t>
  </si>
  <si>
    <t>Vinylidene fluoride</t>
  </si>
  <si>
    <t>NREL Cambium Data - Long-Run Marginal Emission Rate (LRMER)</t>
  </si>
  <si>
    <t xml:space="preserve">USE FOR AVOIDED ELECTRICITY USE </t>
  </si>
  <si>
    <t>Gagnon, Pieter, Brady Cowiestoll, and Marty Schwarz. 2023. "Long-run Marginal Emission Rates for Electricity - Workbooks for 2022 Cambium Data." NREL Data Catalog. Golden, CO: National Renewable Energy Laboratory. Last updated: December 12, 2023. DOI: 10.7799/1909373.</t>
  </si>
  <si>
    <t>https://data.nrel.gov/submissions/206</t>
  </si>
  <si>
    <t>Accessed: 3/11/2024</t>
  </si>
  <si>
    <t>What is a long-run marginal emission rate?</t>
  </si>
  <si>
    <r>
      <t xml:space="preserve">The long-run marginal emission rate is an estimate of the rate of emissions that would be either induced or avoided by a change in electric demand, taking into account how the change could influence both the operation as well as the structure of the grid (i.e., the building and retiring of capital assets, such as generators and transmission lines). It is therefore distinct from the more-commonly-known short-run marginal, which treat grid assets as fixed. Long-run marginal emissions rates are generally appropriate to use when trying to comprehensively estimate the impact of a long-lived (i.e., more than several years) intervention. For a more thorough discussion of long-run, short-run, and average emissions metrics, see </t>
    </r>
    <r>
      <rPr>
        <i/>
        <sz val="10"/>
        <color rgb="FF333333"/>
        <rFont val="Calibri"/>
        <family val="2"/>
        <scheme val="minor"/>
      </rPr>
      <t>Planning for the evolution of the electric grid with a long-run marginal emission rate</t>
    </r>
    <r>
      <rPr>
        <sz val="10"/>
        <color rgb="FF333333"/>
        <rFont val="Calibri"/>
        <family val="2"/>
        <scheme val="minor"/>
      </rPr>
      <t xml:space="preserve">, Gagnon and Cole 2022, iScience. </t>
    </r>
  </si>
  <si>
    <r>
      <rPr>
        <b/>
        <u/>
        <sz val="10"/>
        <color rgb="FF000000"/>
        <rFont val="Calibri"/>
        <family val="2"/>
        <scheme val="minor"/>
      </rPr>
      <t>Mid-case:</t>
    </r>
    <r>
      <rPr>
        <sz val="10"/>
        <color rgb="FF000000"/>
        <rFont val="Calibri"/>
        <family val="2"/>
        <scheme val="minor"/>
      </rPr>
      <t xml:space="preserve"> central estimates for inputs such as technology costs, fuel prices, and demand growth. No nascent technologies. Electric sector policies as they existed in September 2022. IRA’s PTC and ITC are assumed to not phase out.</t>
    </r>
  </si>
  <si>
    <r>
      <rPr>
        <b/>
        <u/>
        <sz val="10"/>
        <color rgb="FF000000"/>
        <rFont val="Calibri"/>
        <family val="2"/>
        <scheme val="minor"/>
      </rPr>
      <t>Mid-case with 95% Decarbonization by 2050:</t>
    </r>
    <r>
      <rPr>
        <sz val="10"/>
        <color rgb="FF000000"/>
        <rFont val="Calibri"/>
        <family val="2"/>
        <scheme val="minor"/>
      </rPr>
      <t xml:space="preserve"> the same set of base assumptions as the first scenario, but nascent technologies are included and there is a national electricity sector decarbonization constraint that linearly declines to 5% of 2005 emissions on net by 2050. IRA’s PTC and ITC are assumed to not phase out.</t>
    </r>
  </si>
  <si>
    <t>Unlevelized, year-over-year data</t>
  </si>
  <si>
    <t>CO2 from Direct Combustion (kg per MWh of end-use demand)</t>
  </si>
  <si>
    <t>CH4 from Direct Combustion (g per MWh of end-use demand)</t>
  </si>
  <si>
    <t>N2O from Direct Combustion (g per MWh of end-use demand)</t>
  </si>
  <si>
    <t>95% Decarbonization by 2050</t>
  </si>
  <si>
    <t>MN</t>
  </si>
  <si>
    <t>MN - CO2e - diff. units</t>
  </si>
  <si>
    <t>MN - CO2e - Kg/MWH</t>
  </si>
  <si>
    <t xml:space="preserve">CO2e from Direct Combustion </t>
  </si>
  <si>
    <t>MN - CO2e - Metric Ton/MWH</t>
  </si>
  <si>
    <t>Year</t>
  </si>
  <si>
    <t>MN - CO2e - Metric Ton/MWH - modeled annual rate</t>
  </si>
  <si>
    <t>Mode: normal x,y analysis</t>
  </si>
  <si>
    <t>Generated table</t>
  </si>
  <si>
    <t>Polynomial degree 7, 8 x,y data pairs.</t>
  </si>
  <si>
    <t>x</t>
  </si>
  <si>
    <t>y</t>
  </si>
  <si>
    <t>%</t>
  </si>
  <si>
    <t>Data for polynomial function</t>
  </si>
  <si>
    <t>Correlation coefficient = 0.9429347669921283</t>
  </si>
  <si>
    <t>Standard error = 0.017239927165475472</t>
  </si>
  <si>
    <t>Copyright (c) 2019, P. Lutus -- http://arachnoid.com. All Rights Reserved.</t>
  </si>
  <si>
    <t>Output form: mathematical function:</t>
  </si>
  <si>
    <t>f(x) =  7.0645821503595071e+004 * x^0</t>
  </si>
  <si>
    <t xml:space="preserve">     + -4.1246846522524862e+001 * x^1</t>
  </si>
  <si>
    <t xml:space="preserve">     + -3.2440874152115245e-003 * x^2</t>
  </si>
  <si>
    <t xml:space="preserve">     + -5.2711049403247092e-006 * x^3</t>
  </si>
  <si>
    <t xml:space="preserve">     +  2.6013816240322542e-009 * x^4</t>
  </si>
  <si>
    <t xml:space="preserve">     +  1.3025937101099779e-012 * x^5</t>
  </si>
  <si>
    <t xml:space="preserve">     +  4.1118899483955394e-016 * x^6</t>
  </si>
  <si>
    <t xml:space="preserve">     + -3.3300535386369352e-019 * x^7</t>
  </si>
  <si>
    <t>WE ARE  UING THE AEO2023 PROJECTION BELOW FOR ADDED SOURCES OF ELECTRICITY USE - EPA Q&amp;A CITES NREL LRMER FOR ELECTRICITY PROJECTION FOR AVOIDED EMISSIONS</t>
  </si>
  <si>
    <t>These are average emissions rates. Above are marginal emissions rates.</t>
  </si>
  <si>
    <t>Electricity: Midcontinent / West: High Uptake of Inflation Reduction Act (MMst) MMst</t>
  </si>
  <si>
    <t>https://www.eia.gov/outlooks/aeo/data/browser/#/?id=62-AEO2023&amp;region=5-3&amp;cases=ref2023~lowZTC~highupIRA&amp;start=2021&amp;end=2050&amp;f=A&amp;linechart=~~~ref2023-d020623a.156-62-AEO2023.5-3~lowZTC-d020623a.156-62-AEO2023.5-3~highupIRA-d020623a.156-62-AEO2023.5-3~ref2023-d020623a.108-62-AEO2023.5-3~lowZTC-d020623a.108-62-AEO2023.5-3~highupIRA-d020623a.108-62-AEO2023.5-3&amp;map=&amp;sid=&amp;sourcekey=0</t>
  </si>
  <si>
    <t>Data source: U.S. Energy Information Administration - Annual Energy Outlook 2023 Data Browser</t>
  </si>
  <si>
    <t>million short tons</t>
  </si>
  <si>
    <t>1 BkWh = 1000 GWh = 1 TWh</t>
  </si>
  <si>
    <t>converts short to metric tons</t>
  </si>
  <si>
    <t>Emissions: Carbon Dioxide: Midcontinent / West: High Uptake of Inflation Reduction Act (MMst) MMst</t>
  </si>
  <si>
    <t>Total Electricity Generation: Midcontinent / West: High Uptake of Inflation Reduction Act (BkWh) BkWh</t>
  </si>
  <si>
    <t>Emissions: Carbon Dioxide MMT (Million Metric Tons)</t>
  </si>
  <si>
    <t>CO2 per generation (MMT/TWh = 1 Metric Ton / MWh)</t>
  </si>
  <si>
    <t>% emissions per generation compared to 2022</t>
  </si>
  <si>
    <t>percent change</t>
  </si>
  <si>
    <t>AVERT data - midwest region, uniform EE</t>
  </si>
  <si>
    <t>lb/MWh</t>
  </si>
  <si>
    <t>metric tons / MWh</t>
  </si>
  <si>
    <t>Adding renewable electricity displaces fossil fuel at this rate</t>
  </si>
  <si>
    <t>assumes acres established and accruing benefits by the beginning of 2029, so two years of benefit before the end of 2030</t>
  </si>
  <si>
    <t>values are from Ciborowski 2022 and references therein</t>
  </si>
  <si>
    <t>https://www.pca.state.mn.us/sites/default/files/p-gen4-21.pdf</t>
  </si>
  <si>
    <t>cohort restored year</t>
  </si>
  <si>
    <t>acres</t>
  </si>
  <si>
    <t>counterfactual</t>
  </si>
  <si>
    <t>emission factor - Metric tons per acre per year</t>
  </si>
  <si>
    <t>crop</t>
  </si>
  <si>
    <t>pasture</t>
  </si>
  <si>
    <t>partially drained</t>
  </si>
  <si>
    <r>
      <rPr>
        <b/>
        <sz val="12"/>
        <color rgb="FF000000"/>
        <rFont val="Calibri"/>
        <family val="2"/>
      </rPr>
      <t>Emissions-avoided from Agricultural Practices (metric tons CO</t>
    </r>
    <r>
      <rPr>
        <b/>
        <vertAlign val="subscript"/>
        <sz val="12"/>
        <color rgb="FF000000"/>
        <rFont val="Calibri"/>
        <family val="2"/>
      </rPr>
      <t>2</t>
    </r>
    <r>
      <rPr>
        <b/>
        <sz val="12"/>
        <color rgb="FF000000"/>
        <rFont val="Calibri"/>
        <family val="2"/>
      </rPr>
      <t>-e tons acre per year), converted from AR4 to AR5 for CPRG. Modified from Ciborowski 2022</t>
    </r>
  </si>
  <si>
    <t>practice</t>
  </si>
  <si>
    <r>
      <t>N</t>
    </r>
    <r>
      <rPr>
        <b/>
        <vertAlign val="subscript"/>
        <sz val="12"/>
        <rFont val="Arial"/>
        <family val="2"/>
      </rPr>
      <t>2</t>
    </r>
    <r>
      <rPr>
        <b/>
        <sz val="12"/>
        <rFont val="Arial"/>
        <family val="2"/>
      </rPr>
      <t>O-direct</t>
    </r>
  </si>
  <si>
    <r>
      <t>N</t>
    </r>
    <r>
      <rPr>
        <b/>
        <vertAlign val="subscript"/>
        <sz val="12"/>
        <rFont val="Arial"/>
        <family val="2"/>
      </rPr>
      <t>2</t>
    </r>
    <r>
      <rPr>
        <b/>
        <sz val="12"/>
        <rFont val="Arial"/>
        <family val="2"/>
      </rPr>
      <t>O-indirect volatilization</t>
    </r>
  </si>
  <si>
    <r>
      <t>N</t>
    </r>
    <r>
      <rPr>
        <b/>
        <vertAlign val="subscript"/>
        <sz val="12"/>
        <rFont val="Arial"/>
        <family val="2"/>
      </rPr>
      <t>2</t>
    </r>
    <r>
      <rPr>
        <b/>
        <sz val="12"/>
        <rFont val="Arial"/>
        <family val="2"/>
      </rPr>
      <t>O-indirect leaching</t>
    </r>
  </si>
  <si>
    <r>
      <t>CH</t>
    </r>
    <r>
      <rPr>
        <b/>
        <vertAlign val="subscript"/>
        <sz val="12"/>
        <rFont val="Arial"/>
        <family val="2"/>
      </rPr>
      <t>4</t>
    </r>
  </si>
  <si>
    <r>
      <t>CO</t>
    </r>
    <r>
      <rPr>
        <b/>
        <vertAlign val="subscript"/>
        <sz val="12"/>
        <rFont val="Arial"/>
        <family val="2"/>
      </rPr>
      <t>2</t>
    </r>
    <r>
      <rPr>
        <b/>
        <sz val="12"/>
        <rFont val="Arial"/>
        <family val="2"/>
      </rPr>
      <t>-carbon sequestration</t>
    </r>
  </si>
  <si>
    <r>
      <t>CO</t>
    </r>
    <r>
      <rPr>
        <b/>
        <vertAlign val="subscript"/>
        <sz val="12"/>
        <rFont val="Arial"/>
        <family val="2"/>
      </rPr>
      <t>2-</t>
    </r>
    <r>
      <rPr>
        <b/>
        <sz val="12"/>
        <rFont val="Arial"/>
        <family val="2"/>
      </rPr>
      <t>urea, liming</t>
    </r>
  </si>
  <si>
    <t>GHGs-energy</t>
  </si>
  <si>
    <t>Out-of-State Upstream GHGs</t>
  </si>
  <si>
    <t>In-State Upstream GHGs</t>
  </si>
  <si>
    <t xml:space="preserve"> Total </t>
  </si>
  <si>
    <t>CPRG ag acres</t>
  </si>
  <si>
    <t>per year reductions</t>
  </si>
  <si>
    <t>funding group</t>
  </si>
  <si>
    <t>established by</t>
  </si>
  <si>
    <t>GHG change by 2030</t>
  </si>
  <si>
    <t>GHG change by 2050</t>
  </si>
  <si>
    <t>Land Retirement/Long-term Idling: Grassland Restoration</t>
  </si>
  <si>
    <t>MAWQCP</t>
  </si>
  <si>
    <t>Cropland to Hayland</t>
  </si>
  <si>
    <t>unknown</t>
  </si>
  <si>
    <t>soil health equipment grants</t>
  </si>
  <si>
    <t>Add a Perennial Grass to Crop Rotation</t>
  </si>
  <si>
    <t>Winter Cover Crops/Catch Crops</t>
  </si>
  <si>
    <t>No-Till Tillage</t>
  </si>
  <si>
    <t>Reduced Tillage</t>
  </si>
  <si>
    <t>Nitrification Inhibitors</t>
  </si>
  <si>
    <t>Controlled Release Fertilizers</t>
  </si>
  <si>
    <t>annual change</t>
  </si>
  <si>
    <t>2030 reductions</t>
  </si>
  <si>
    <t>2050 reductions</t>
  </si>
  <si>
    <r>
      <t>a</t>
    </r>
    <r>
      <rPr>
        <sz val="9"/>
        <rFont val="Arial"/>
        <family val="2"/>
      </rPr>
      <t xml:space="preserve"> positive = emissions increase, negative = emissions reduction</t>
    </r>
  </si>
  <si>
    <t>total funding</t>
  </si>
  <si>
    <t>Industrial totals</t>
  </si>
  <si>
    <t>budget</t>
  </si>
  <si>
    <t>2030 cost eff</t>
  </si>
  <si>
    <t>industrial heat pumps</t>
  </si>
  <si>
    <t>heat recov, condensing econ</t>
  </si>
  <si>
    <t>CHP</t>
  </si>
  <si>
    <t>biochar prod</t>
  </si>
  <si>
    <t>demo AD+biochar</t>
  </si>
  <si>
    <t>Planning grants</t>
  </si>
  <si>
    <t>Heat pumps</t>
  </si>
  <si>
    <t>Replacing natural gas (0.0529 MT/MMBTU) boiler produced heat with heat pumps, based on real examples. Replacing fuel oil (0.0741MMT) or coal (0.0959 MMT) would yield more mitigation, but these are based on natural gas</t>
  </si>
  <si>
    <t>https://nylethermal.com/wp-content/uploads/2024/01/AA-Series-Submittal-Package.pdf</t>
  </si>
  <si>
    <t>heat pump kw equiv</t>
  </si>
  <si>
    <t>80% effic boiler btu hr replaced</t>
  </si>
  <si>
    <t>cost, incl install</t>
  </si>
  <si>
    <t>therms/hr</t>
  </si>
  <si>
    <t>mtco2e/therm avoided</t>
  </si>
  <si>
    <t>mt avoided per hour</t>
  </si>
  <si>
    <t>coeff of production (COP)</t>
  </si>
  <si>
    <t>kwh used</t>
  </si>
  <si>
    <t>MN egrid MT co2e/kwh 2022</t>
  </si>
  <si>
    <t>electricity co2e 2022</t>
  </si>
  <si>
    <t>hourly savings, negative indicates savings</t>
  </si>
  <si>
    <t>annual hours</t>
  </si>
  <si>
    <t>annual savings, MT</t>
  </si>
  <si>
    <t>2022 electricity</t>
  </si>
  <si>
    <t>MN MT co2e/kwh 2025-2030</t>
  </si>
  <si>
    <t>electricity co2e 2025-30</t>
  </si>
  <si>
    <t>2030 savings</t>
  </si>
  <si>
    <t>2025-2030 electricity</t>
  </si>
  <si>
    <t>MN egrid MT co2e/kwh 2025-2050</t>
  </si>
  <si>
    <t>electricity co2e 2025-50</t>
  </si>
  <si>
    <t>2050 savings</t>
  </si>
  <si>
    <t>2025-2050 electricity</t>
  </si>
  <si>
    <t>per $1M</t>
  </si>
  <si>
    <t>per 10m</t>
  </si>
  <si>
    <t>proportion funded</t>
  </si>
  <si>
    <t>through 2030, #proj</t>
  </si>
  <si>
    <t>GHG by 2030</t>
  </si>
  <si>
    <t>GHG by 2050</t>
  </si>
  <si>
    <t>cost effectiveness</t>
  </si>
  <si>
    <t>condensing heat economizer example - expected to be easiest and most popular among these projects. Many other boiler efficiency projects could be proposed as well</t>
  </si>
  <si>
    <t>real US (not MN) example from a private company not to be named</t>
  </si>
  <si>
    <t>https://www.energy.gov/sites/prod/files/2014/05/f16/steam26a_condensing.pdf</t>
  </si>
  <si>
    <t>single project, real example</t>
  </si>
  <si>
    <t>hours per year</t>
  </si>
  <si>
    <t>therms per hour reclaimed</t>
  </si>
  <si>
    <t>MT per rtherm</t>
  </si>
  <si>
    <t>cost</t>
  </si>
  <si>
    <t>$/MT/year</t>
  </si>
  <si>
    <t>2030 savings, MT</t>
  </si>
  <si>
    <t>$/ton 2030</t>
  </si>
  <si>
    <t>therms per year</t>
  </si>
  <si>
    <t>private example</t>
  </si>
  <si>
    <t>per $10M</t>
  </si>
  <si>
    <t>proportion of total cost funded</t>
  </si>
  <si>
    <t>cost effectiveness 2030</t>
  </si>
  <si>
    <t>Combined heat and power</t>
  </si>
  <si>
    <t>https://www.epa.gov/chp/forms/download-chp-energy-and-emissions-savings-calculator</t>
  </si>
  <si>
    <t>Based on conversations with food industry experts, equipment and installation costs are widely variable, but are typically about $1,000,000 per facility. Project costs are generally in the $500-600 for a single year’s worth of reduction of 1 MT CO2e. We assumed an equipment plus installation cost of $550/annual metric ton and that installations occur in 2025, yielding 5 years and 25 years of benefits by 2030 and 2050, respectively. A hypothetical $15,000,000 investment would yield approximately 15 projects and 27,272 MT in CO2e reductions per year.</t>
  </si>
  <si>
    <t>number of projects</t>
  </si>
  <si>
    <t>biochar production and beneficial land application</t>
  </si>
  <si>
    <t>these calcs are on a per acre basis, following ciborowski 2022</t>
  </si>
  <si>
    <t>facility cost</t>
  </si>
  <si>
    <t>tons wood waste per year handled</t>
  </si>
  <si>
    <t>MT tons wood waste</t>
  </si>
  <si>
    <t>mt biochar produced</t>
  </si>
  <si>
    <t>hectares covered, applied at 1 MT/hectare</t>
  </si>
  <si>
    <t>per acre immediate benefit</t>
  </si>
  <si>
    <t>per year benefit</t>
  </si>
  <si>
    <t>2030 ghgs</t>
  </si>
  <si>
    <t>If we spend 10M at 40% of project costs, we could fund 25 projects</t>
  </si>
  <si>
    <t>if we spend 7.61M, we could fund 19 projects</t>
  </si>
  <si>
    <t>single site</t>
  </si>
  <si>
    <t>total</t>
  </si>
  <si>
    <t xml:space="preserve">$/ton = </t>
  </si>
  <si>
    <t>$/MT for demo site at $400k</t>
  </si>
  <si>
    <t>demonstration project: AD+biochar</t>
  </si>
  <si>
    <t>washington-ramsey R&amp;E: 10,000 short tons biochar produced and land applied</t>
  </si>
  <si>
    <t>year generated</t>
  </si>
  <si>
    <t>benefits accrued by</t>
  </si>
  <si>
    <t>short tons biochar</t>
  </si>
  <si>
    <t>mt biochar</t>
  </si>
  <si>
    <t>hectares applied</t>
  </si>
  <si>
    <t>acres applied</t>
  </si>
  <si>
    <t>AD</t>
  </si>
  <si>
    <t>AD emissions: dry with curing, but subtract land application and N2O after land application</t>
  </si>
  <si>
    <t>short tons input</t>
  </si>
  <si>
    <t>n2o land app if land applied, MT CO2e</t>
  </si>
  <si>
    <t>soil carbon storage if land applied, MT CO2e</t>
  </si>
  <si>
    <t>AD base rate including all fluxes</t>
  </si>
  <si>
    <t>tons ghg AD/ton input material</t>
  </si>
  <si>
    <t>tons GHG total per material, total tons input</t>
  </si>
  <si>
    <t>landfilling counterfactual, total input tons (from WARM)</t>
  </si>
  <si>
    <t>compostingcounterfactual, total input tons (from WARM)</t>
  </si>
  <si>
    <t>change, annual</t>
  </si>
  <si>
    <t>food waste</t>
  </si>
  <si>
    <t>yard trimmings</t>
  </si>
  <si>
    <t>tons avoided</t>
  </si>
  <si>
    <t>biochar</t>
  </si>
  <si>
    <t>total tons avoided</t>
  </si>
  <si>
    <t>scaled tons avoided if CPRG is 25% of total state and fed funding</t>
  </si>
  <si>
    <t>expect to give 73 grants at just under $100k a piece</t>
  </si>
  <si>
    <t>scope 1 - natural gas, propane, fuel oil, coal, etc</t>
  </si>
  <si>
    <t>scope 2 - electricity</t>
  </si>
  <si>
    <t>Department of Energy’s Office of Manufacturing and Energy Supply Chain’s (MESC) Industrial Assessment Center database</t>
  </si>
  <si>
    <t>https://iac.university/statistics?center=&amp;state=&amp;yearThen=gt&amp;year=2003&amp;SIC=&amp;NAICS=311</t>
  </si>
  <si>
    <t>Natural gas</t>
  </si>
  <si>
    <t>planning grants</t>
  </si>
  <si>
    <t>MMBTU saved per site</t>
  </si>
  <si>
    <t>therms</t>
  </si>
  <si>
    <t>CO2e per therm</t>
  </si>
  <si>
    <t>MT_total_annual</t>
  </si>
  <si>
    <t>through 2030</t>
  </si>
  <si>
    <t>through 2050</t>
  </si>
  <si>
    <t>Electricity</t>
  </si>
  <si>
    <t>kWh avoided per site</t>
  </si>
  <si>
    <t>mwh avoided per site</t>
  </si>
  <si>
    <t>MT avoided per year</t>
  </si>
  <si>
    <t>CO2e avoided through 2050 from electricity</t>
  </si>
  <si>
    <t>CO2e avoided through 2030 from electricity</t>
  </si>
  <si>
    <t>avoided emissions from electricity + natural gas</t>
  </si>
  <si>
    <t>The sites in IAC's database are "small to medium" in size, which suggests their energy use and savings would be either appropriate or low for the types of sites we are targetting (medium to large)</t>
  </si>
  <si>
    <t>Therefore, this seems like a conservative estimate of implementation that would result from these planning grants, given that facilities tend to only fund projects that pay for themselves in energy savings</t>
  </si>
  <si>
    <t>Assuming planning grants and energy audits will be completed by Jan 1 2026</t>
  </si>
  <si>
    <t>Project Summary</t>
  </si>
  <si>
    <t>Total $ Request</t>
  </si>
  <si>
    <t>Sub-award amount</t>
  </si>
  <si>
    <t>Projects</t>
  </si>
  <si>
    <t>Total reductions (tons CO2e)</t>
  </si>
  <si>
    <t>GHG Reduction 2025-2030 (MT CO2e)  </t>
  </si>
  <si>
    <t>GHG Reduction 2025-2050 (MT CO2e)  </t>
  </si>
  <si>
    <t xml:space="preserve">Install ultra-low global warming potential (GWP) commercial food refrigeration systems at businesses, government, and institutions. </t>
  </si>
  <si>
    <t>$250,000 - $750,000 (Used award amount of $500,000 to estimate # of projects)</t>
  </si>
  <si>
    <t xml:space="preserve">Small commercial refrigeration </t>
  </si>
  <si>
    <t xml:space="preserve">Personnel, Fringe, &amp; Indirect </t>
  </si>
  <si>
    <t>NA</t>
  </si>
  <si>
    <t>TOTAL</t>
  </si>
  <si>
    <t xml:space="preserve">Cost effectiveness total funding ($/MT C02e) </t>
  </si>
  <si>
    <t xml:space="preserve">Cost effectiveness- ultra low (2025-2030) </t>
  </si>
  <si>
    <t xml:space="preserve">Cost effectiveness- small commercial (2025-2030) </t>
  </si>
  <si>
    <t>Cost effectiveness- both projects ((2025-2030)</t>
  </si>
  <si>
    <t xml:space="preserve">Cost effectiveness- ultra low (2025-2050)  </t>
  </si>
  <si>
    <t xml:space="preserve">Cost effectiveness- small commercial (2025-2050) </t>
  </si>
  <si>
    <t xml:space="preserve">Cost effectiveness- both projects (2025-2050) </t>
  </si>
  <si>
    <t>EMISSION REDUCTIONS (MTCO2e), INSTALLING LOW GWP REFRIGERATION</t>
  </si>
  <si>
    <t>Project 1</t>
  </si>
  <si>
    <t>Project 2</t>
  </si>
  <si>
    <t>Project 3</t>
  </si>
  <si>
    <t>Project 4</t>
  </si>
  <si>
    <t>Project 5</t>
  </si>
  <si>
    <t>Project 6</t>
  </si>
  <si>
    <t>Project 7</t>
  </si>
  <si>
    <t>Project 8</t>
  </si>
  <si>
    <t>Project 9</t>
  </si>
  <si>
    <t>Project 10</t>
  </si>
  <si>
    <t>Project 11</t>
  </si>
  <si>
    <t>Project 12</t>
  </si>
  <si>
    <t>Project 13</t>
  </si>
  <si>
    <t>Project 14</t>
  </si>
  <si>
    <t>Project 15</t>
  </si>
  <si>
    <t>Project 16</t>
  </si>
  <si>
    <t>Project 17</t>
  </si>
  <si>
    <t>Project 18</t>
  </si>
  <si>
    <t>Project 19</t>
  </si>
  <si>
    <t>Project 20</t>
  </si>
  <si>
    <t xml:space="preserve">Annual Reduction (MTCO2e) </t>
  </si>
  <si>
    <t>Total project reduction (MT CO2e)</t>
  </si>
  <si>
    <t xml:space="preserve">2025-2030 Reduction (MT CO2e) </t>
  </si>
  <si>
    <t>Grant funds available starting Oct 2024, last 5 years</t>
  </si>
  <si>
    <t xml:space="preserve">Assumptions </t>
  </si>
  <si>
    <t xml:space="preserve">This reduction estimate is based on one hypothetical project's emission reductions for a large refrigeration system as described in California Air Resources Board User Guide and Quantification Methodology for the California Energy Commission  F-Gas Reduction Incentive Program. </t>
  </si>
  <si>
    <t xml:space="preserve">The baseline system includes two systems using R-507A with a total refrigerant charge of 1,800 lbs. They are replaced with 4 condensing units that use R-744 (carbon dioxide) with a total charge of 600 lbs and 25 self-contained cases using R-290 with a total charge of 8.25 lbs. Also included in the calculation is annual and end of life leakage rates and annual electricity usage for baseline and new systems. </t>
  </si>
  <si>
    <t xml:space="preserve">Quantification period is 15 years is based on IPCC </t>
  </si>
  <si>
    <t>EMISSION REDUCTIONS (ton CO2e), INSTALLING LOW GWP REFRIGERATION</t>
  </si>
  <si>
    <t>Project 21</t>
  </si>
  <si>
    <t>Project 22</t>
  </si>
  <si>
    <t>Project 23</t>
  </si>
  <si>
    <t>Project 24</t>
  </si>
  <si>
    <t>Project 25</t>
  </si>
  <si>
    <t>Project 26</t>
  </si>
  <si>
    <t>Project 27</t>
  </si>
  <si>
    <t>Project 28</t>
  </si>
  <si>
    <t>Project 29</t>
  </si>
  <si>
    <t>Project 30</t>
  </si>
  <si>
    <t>Project 31</t>
  </si>
  <si>
    <t>Project 32</t>
  </si>
  <si>
    <t>Project 33</t>
  </si>
  <si>
    <t>Project 34</t>
  </si>
  <si>
    <t>Project 35</t>
  </si>
  <si>
    <t>Project 36</t>
  </si>
  <si>
    <t>Project 37</t>
  </si>
  <si>
    <t>Project 38</t>
  </si>
  <si>
    <t>Project 39</t>
  </si>
  <si>
    <t>Project 40</t>
  </si>
  <si>
    <t>Project 41</t>
  </si>
  <si>
    <t>Project 42</t>
  </si>
  <si>
    <t>Project 43</t>
  </si>
  <si>
    <t>Project 44</t>
  </si>
  <si>
    <t>Project 45</t>
  </si>
  <si>
    <t>Project 46</t>
  </si>
  <si>
    <t>Project 47</t>
  </si>
  <si>
    <t xml:space="preserve">Annual Reduction (ton CO2e) </t>
  </si>
  <si>
    <t>Total project reduction (ton CO2e)</t>
  </si>
  <si>
    <t xml:space="preserve">2025-2030 Reduction (ton CO2e) </t>
  </si>
  <si>
    <t>2025-2050 Reduction (ton CO2e)</t>
  </si>
  <si>
    <t>Average remaining life of old vehicle</t>
  </si>
  <si>
    <t>Average lifetime GHG reductions per project</t>
  </si>
  <si>
    <t>Annual GHG reductions per project</t>
  </si>
  <si>
    <t>GHG reductions from Jan 2025 -DEC 2030</t>
  </si>
  <si>
    <t>GHG reductions from Jan 2025 - Dec 2050</t>
  </si>
  <si>
    <t>Average lifetime NOx reductions per project</t>
  </si>
  <si>
    <t>Annual NOx reductions per project</t>
  </si>
  <si>
    <t>NOx reductions from Jan 2025 -Jan 2030</t>
  </si>
  <si>
    <t>NOx reductions from Jan 2025 - Jan 2050</t>
  </si>
  <si>
    <t>Average lifetime PM2.5 reductions per project</t>
  </si>
  <si>
    <t>Annual PM2.5 reductions per project</t>
  </si>
  <si>
    <t>PM2.5 reductions from Jan 2025 -Jan 2030</t>
  </si>
  <si>
    <t>PM2.5 reductions from Jan 2025 - Jan 2050</t>
  </si>
  <si>
    <t>Est number of projects funded</t>
  </si>
  <si>
    <r>
      <t xml:space="preserve">Total GHG reductions by 2030 </t>
    </r>
    <r>
      <rPr>
        <sz val="10"/>
        <color theme="1"/>
        <rFont val="Calibri"/>
        <family val="2"/>
        <scheme val="minor"/>
      </rPr>
      <t>(short tons)</t>
    </r>
  </si>
  <si>
    <r>
      <rPr>
        <b/>
        <sz val="11"/>
        <color theme="1"/>
        <rFont val="Calibri"/>
        <family val="2"/>
        <scheme val="minor"/>
      </rPr>
      <t xml:space="preserve">Total GHG reductions by 2050 </t>
    </r>
    <r>
      <rPr>
        <sz val="10"/>
        <color theme="1"/>
        <rFont val="Calibri"/>
        <family val="2"/>
        <scheme val="minor"/>
      </rPr>
      <t>(short tons)</t>
    </r>
  </si>
  <si>
    <r>
      <t xml:space="preserve">Total NOx reductions by 2030 </t>
    </r>
    <r>
      <rPr>
        <sz val="10"/>
        <color theme="1"/>
        <rFont val="Calibri"/>
        <family val="2"/>
        <scheme val="minor"/>
      </rPr>
      <t>(short tons)</t>
    </r>
  </si>
  <si>
    <r>
      <rPr>
        <b/>
        <sz val="11"/>
        <color theme="1"/>
        <rFont val="Calibri"/>
        <family val="2"/>
        <scheme val="minor"/>
      </rPr>
      <t xml:space="preserve">Total NOx reductions by 2050 </t>
    </r>
    <r>
      <rPr>
        <sz val="10"/>
        <color theme="1"/>
        <rFont val="Calibri"/>
        <family val="2"/>
        <scheme val="minor"/>
      </rPr>
      <t>(short tons)</t>
    </r>
  </si>
  <si>
    <r>
      <t xml:space="preserve">Total PM2.5 reductions by 2030 </t>
    </r>
    <r>
      <rPr>
        <sz val="10"/>
        <color theme="1"/>
        <rFont val="Calibri"/>
        <family val="2"/>
        <scheme val="minor"/>
      </rPr>
      <t>(short tons)</t>
    </r>
  </si>
  <si>
    <r>
      <rPr>
        <b/>
        <sz val="11"/>
        <color theme="1"/>
        <rFont val="Calibri"/>
        <family val="2"/>
        <scheme val="minor"/>
      </rPr>
      <t xml:space="preserve">Total PM2.5 reductions by 2050 </t>
    </r>
    <r>
      <rPr>
        <sz val="10"/>
        <color theme="1"/>
        <rFont val="Calibri"/>
        <family val="2"/>
        <scheme val="minor"/>
      </rPr>
      <t>(short tons)</t>
    </r>
  </si>
  <si>
    <t>Diesel-to-electric VEHICLE replacement projects</t>
  </si>
  <si>
    <t>Diesel to diesel VEHICLE replacement projects</t>
  </si>
  <si>
    <t>Diesel-to-electric AG EQUIPMENT replacement projects</t>
  </si>
  <si>
    <t>Diesel to diesel AG EQUIPMENT replacement projects</t>
  </si>
  <si>
    <t>Diesel-to-electric TERMINAL TRACTOR replacement projects</t>
  </si>
  <si>
    <t>Diesel to diesel TERMINAL TRACTOR replacement projects</t>
  </si>
  <si>
    <t>totals, short tons</t>
  </si>
  <si>
    <t>totals, metric tons</t>
  </si>
  <si>
    <t>totals, MT, with expected electricity grid decarb_high IRA, assuming 50% additional benefit of chargers from 2040-2049</t>
  </si>
  <si>
    <t>metric tons</t>
  </si>
  <si>
    <t>Lifetime of new electric ag equip = 15 years</t>
  </si>
  <si>
    <t>Ongoing benefit of charging infrastructure = 1/2 of the benefit of the purchased electric vehicle until 2050 because we assume they are more likely to stay electric after receiving this funding and having charging infrastructure on site</t>
  </si>
  <si>
    <t xml:space="preserve">Assumptions: </t>
  </si>
  <si>
    <t>Lifetime of new electric vehicles = 15 years</t>
  </si>
  <si>
    <t>Annual emission reduction values are from EPA WARM model (compost and FTL), or internal data (PWF)</t>
  </si>
  <si>
    <t>Action</t>
  </si>
  <si>
    <t>tons food waste</t>
  </si>
  <si>
    <t>annual value, MT CO2e</t>
  </si>
  <si>
    <t>functioning by</t>
  </si>
  <si>
    <t>Years until end of 2030</t>
  </si>
  <si>
    <t>GHGs through 2030</t>
  </si>
  <si>
    <t>Verifying Tabitha and Gwen's original math</t>
  </si>
  <si>
    <t>Years until end of 2050</t>
  </si>
  <si>
    <t>GHGs through 2050</t>
  </si>
  <si>
    <t>organics/compost grants $10 million at 9.6k total tons food waste per year</t>
  </si>
  <si>
    <t>10M</t>
  </si>
  <si>
    <t>prevent wasted food round 1</t>
  </si>
  <si>
    <t>$10.9m</t>
  </si>
  <si>
    <t>prevent wasted food round 2</t>
  </si>
  <si>
    <t>food to livestock</t>
  </si>
  <si>
    <t>$400k</t>
  </si>
  <si>
    <t>organics loan program round 1</t>
  </si>
  <si>
    <t>$2m</t>
  </si>
  <si>
    <t>organics loan program round 2</t>
  </si>
  <si>
    <t>organics loan program round 3</t>
  </si>
  <si>
    <t>organics loan program round 4</t>
  </si>
  <si>
    <t>organics loan program round 5</t>
  </si>
  <si>
    <t>organics systems support grants 2025-2030</t>
  </si>
  <si>
    <t>3.4M</t>
  </si>
  <si>
    <t>organics systems support grants 2031-2035</t>
  </si>
  <si>
    <t>organics systems support grants 2036-2040</t>
  </si>
  <si>
    <t>organics systems support grants 2041-2045</t>
  </si>
  <si>
    <t>organics systems support grants 2046-2050</t>
  </si>
  <si>
    <t>pwf subtotal</t>
  </si>
  <si>
    <t>total cost</t>
  </si>
  <si>
    <t>No other state or federal funds to contribute</t>
  </si>
  <si>
    <t>Assuming 1/2 of the loan program will be used for capacity expansion and the other half for repairs, replacements, etc.</t>
  </si>
  <si>
    <t>Equipment costs were surveyed, capacity expansion assumed to result in additional 500 tons per year.</t>
  </si>
  <si>
    <t>First round of loans would have this capcity established by end of 2025.</t>
  </si>
  <si>
    <t>organics/compost at 16M is split 10M for facilities and 6M for "systematic support"</t>
  </si>
  <si>
    <t>if 25% match, $500k from grantee, then the facility costs MPCA $2,000,000, which means we can do 5 instead of 4 facilities with 10M</t>
  </si>
  <si>
    <t>4 permits per year handled by permit engineers, maximum</t>
  </si>
  <si>
    <t>bigger facilities?</t>
  </si>
  <si>
    <t>GHG Emissions reductions from reduced food waste </t>
  </si>
  <si>
    <t>ReFED input</t>
  </si>
  <si>
    <t>Annual emissions based on investment data</t>
  </si>
  <si>
    <t>Annual meals based on tons diverted data</t>
  </si>
  <si>
    <t>Annual jobs based on tons diverted data</t>
  </si>
  <si>
    <t>Annual tons of food diverted based on emissions potential</t>
  </si>
  <si>
    <t> </t>
  </si>
  <si>
    <t>Regional Food Rescue Efforts</t>
  </si>
  <si>
    <t>Budget</t>
  </si>
  <si>
    <t>Metric Tons CO2e reduced per ton diverted </t>
  </si>
  <si>
    <t>Metric Tons CO2e reduced per Million $ invested </t>
  </si>
  <si>
    <t>Annual GHG Emissions Reductions (Metric tons CO2e)</t>
  </si>
  <si>
    <t>Meals</t>
  </si>
  <si>
    <t>Jobs</t>
  </si>
  <si>
    <t>Tons of food diverted (emissions/(emissions/ton)</t>
  </si>
  <si>
    <r>
      <t>Gleaning</t>
    </r>
    <r>
      <rPr>
        <sz val="10"/>
        <color theme="1"/>
        <rFont val="Calibri"/>
        <family val="2"/>
        <charset val="1"/>
        <scheme val="minor"/>
      </rPr>
      <t> </t>
    </r>
  </si>
  <si>
    <t>ReFED Methodology: </t>
  </si>
  <si>
    <r>
      <t>Imperfect &amp; Surplus Produce </t>
    </r>
    <r>
      <rPr>
        <sz val="10"/>
        <color theme="1"/>
        <rFont val="Calibri"/>
        <family val="2"/>
        <charset val="1"/>
        <scheme val="minor"/>
      </rPr>
      <t> </t>
    </r>
  </si>
  <si>
    <t>ReFED Methodology </t>
  </si>
  <si>
    <r>
      <t>Donation Coordination &amp; Matching</t>
    </r>
    <r>
      <rPr>
        <sz val="10"/>
        <color theme="1"/>
        <rFont val="Calibri"/>
        <family val="2"/>
        <charset val="1"/>
        <scheme val="minor"/>
      </rPr>
      <t> </t>
    </r>
  </si>
  <si>
    <r>
      <t>Donation Education</t>
    </r>
    <r>
      <rPr>
        <sz val="10"/>
        <color theme="1"/>
        <rFont val="Calibri"/>
        <family val="2"/>
        <charset val="1"/>
        <scheme val="minor"/>
      </rPr>
      <t> </t>
    </r>
  </si>
  <si>
    <r>
      <t>Donation Value-Added Process</t>
    </r>
    <r>
      <rPr>
        <sz val="10"/>
        <color theme="1"/>
        <rFont val="Calibri"/>
        <family val="2"/>
        <charset val="1"/>
        <scheme val="minor"/>
      </rPr>
      <t>  </t>
    </r>
  </si>
  <si>
    <t>Donation Transportation</t>
  </si>
  <si>
    <t>Donation Storage Handling and Capacity</t>
  </si>
  <si>
    <t>Total - Hunger Relief</t>
  </si>
  <si>
    <t>Prevention of wasted food in K-12 settings: </t>
  </si>
  <si>
    <r>
      <t>K-12 Lunch Improvements </t>
    </r>
    <r>
      <rPr>
        <sz val="10"/>
        <color theme="1"/>
        <rFont val="Calibri"/>
        <family val="2"/>
        <charset val="1"/>
        <scheme val="minor"/>
      </rPr>
      <t> </t>
    </r>
  </si>
  <si>
    <t>Total - K-12</t>
  </si>
  <si>
    <t>GHG Emissions reductions from reduced food waste to landfills </t>
  </si>
  <si>
    <r>
      <t>Community Composting</t>
    </r>
    <r>
      <rPr>
        <sz val="10"/>
        <color theme="1"/>
        <rFont val="Calibri"/>
        <family val="2"/>
        <charset val="1"/>
        <scheme val="minor"/>
      </rPr>
      <t> </t>
    </r>
  </si>
  <si>
    <r>
      <t>Home Composting </t>
    </r>
    <r>
      <rPr>
        <sz val="10"/>
        <color theme="1"/>
        <rFont val="Calibri"/>
        <family val="2"/>
        <charset val="1"/>
        <scheme val="minor"/>
      </rPr>
      <t> </t>
    </r>
  </si>
  <si>
    <r>
      <t>Consumer Education Campaigns</t>
    </r>
    <r>
      <rPr>
        <sz val="10"/>
        <color theme="1"/>
        <rFont val="Calibri"/>
        <family val="2"/>
        <charset val="1"/>
        <scheme val="minor"/>
      </rPr>
      <t> </t>
    </r>
  </si>
  <si>
    <t>Total - Reduced landfilling</t>
  </si>
  <si>
    <t>GHG Emissions reductions from reduced use of fossil fuels in food production, storage, aggregation, processing, and transportation </t>
  </si>
  <si>
    <r>
      <t>Food hubs impact on storage, aggregation, processing, and transportation</t>
    </r>
    <r>
      <rPr>
        <sz val="10"/>
        <color theme="1"/>
        <rFont val="Calibri"/>
        <family val="2"/>
        <charset val="1"/>
        <scheme val="minor"/>
      </rPr>
      <t> </t>
    </r>
  </si>
  <si>
    <r>
      <t>Decreased transit time</t>
    </r>
    <r>
      <rPr>
        <sz val="10"/>
        <color theme="1"/>
        <rFont val="Calibri"/>
        <family val="2"/>
        <charset val="1"/>
        <scheme val="minor"/>
      </rPr>
      <t> </t>
    </r>
  </si>
  <si>
    <r>
      <t>Intelligent Routing</t>
    </r>
    <r>
      <rPr>
        <sz val="10"/>
        <color theme="1"/>
        <rFont val="Calibri"/>
        <family val="2"/>
        <charset val="1"/>
        <scheme val="minor"/>
      </rPr>
      <t> </t>
    </r>
  </si>
  <si>
    <r>
      <t>Increased Delivery Frequency</t>
    </r>
    <r>
      <rPr>
        <sz val="10"/>
        <color theme="1"/>
        <rFont val="Calibri"/>
        <family val="2"/>
        <charset val="1"/>
        <scheme val="minor"/>
      </rPr>
      <t> </t>
    </r>
  </si>
  <si>
    <r>
      <t>Direct-to-Consumer Channels</t>
    </r>
    <r>
      <rPr>
        <sz val="10"/>
        <color theme="1"/>
        <rFont val="Calibri"/>
        <family val="2"/>
        <charset val="1"/>
        <scheme val="minor"/>
      </rPr>
      <t> </t>
    </r>
  </si>
  <si>
    <t>ND</t>
  </si>
  <si>
    <t>Total - Improved Delivery</t>
  </si>
  <si>
    <t>GHG Emissions reductions from agricultural interventions</t>
  </si>
  <si>
    <r>
      <t>Deep Winter Greenhouses</t>
    </r>
    <r>
      <rPr>
        <sz val="10"/>
        <color theme="1"/>
        <rFont val="Calibri"/>
        <family val="2"/>
        <charset val="1"/>
        <scheme val="minor"/>
      </rPr>
      <t> </t>
    </r>
  </si>
  <si>
    <t>using added electric rates</t>
  </si>
  <si>
    <t>see below</t>
  </si>
  <si>
    <r>
      <t>60'x20' conventional hoophouse would require approximately 116MMBtu's of heating energy per year, and the DWG would need approximately 67.4 MMBtu's of heating energy per year, a 42% reduction in energy use.</t>
    </r>
    <r>
      <rPr>
        <b/>
        <sz val="10"/>
        <rFont val="Calibri"/>
        <family val="2"/>
        <charset val="1"/>
        <scheme val="minor"/>
      </rPr>
      <t> </t>
    </r>
    <r>
      <rPr>
        <sz val="10"/>
        <rFont val="Calibri"/>
        <family val="2"/>
        <charset val="1"/>
        <scheme val="minor"/>
      </rPr>
      <t> </t>
    </r>
    <r>
      <rPr>
        <sz val="10"/>
        <color theme="1"/>
        <rFont val="Calibri"/>
        <family val="2"/>
        <scheme val="minor"/>
      </rPr>
      <t>1 DWG costs $50k</t>
    </r>
  </si>
  <si>
    <t xml:space="preserve">Total - </t>
  </si>
  <si>
    <t>Complementary programs</t>
  </si>
  <si>
    <t>Community driven priorities</t>
  </si>
  <si>
    <t>Used overall emission rate from all other programs</t>
  </si>
  <si>
    <t>Total</t>
  </si>
  <si>
    <t>GHG reduction</t>
  </si>
  <si>
    <t>tons of food recovered and diverted</t>
  </si>
  <si>
    <t>Total - All projects (annual)</t>
  </si>
  <si>
    <t>years</t>
  </si>
  <si>
    <t>2025-2030</t>
  </si>
  <si>
    <t>added DWG. Assume fully functional 4 years. May have lower implementation at first and may exceed these estimates once system is functioning.</t>
  </si>
  <si>
    <t>2025-2050</t>
  </si>
  <si>
    <t>added DWG.  Assume fully functional 24 years. May have lower implementation at first and may exceed these estimates once system is functioning.</t>
  </si>
  <si>
    <t>Emission rate  before adding complementary programs - annual tons GHG/$</t>
  </si>
  <si>
    <t>State Solution Summary data from ReFED Insignts Engine Solutions Database</t>
  </si>
  <si>
    <t>Calculated by ReFED based on data from various sources. See https://insights.refed.com/methodology for more information. Data last updated November 02 2023</t>
  </si>
  <si>
    <t>solution_group</t>
  </si>
  <si>
    <t>solution_priority_action_area</t>
  </si>
  <si>
    <t>solution_name</t>
  </si>
  <si>
    <t>state</t>
  </si>
  <si>
    <t>annual_tons_diversion_potential</t>
  </si>
  <si>
    <t>annual_mtco2e_reduction_potential</t>
  </si>
  <si>
    <t>annual_gallons_water_savings_potential</t>
  </si>
  <si>
    <t>annual_meal_equivalents_diverted</t>
  </si>
  <si>
    <t>jobs_created</t>
  </si>
  <si>
    <t>annual_us_dollars_cost</t>
  </si>
  <si>
    <t>annual_us_dollars_gross_financial_benefit</t>
  </si>
  <si>
    <t>annual_us_dollars_net_financial_benefit</t>
  </si>
  <si>
    <t>Metric Tons CO2e/ton diverted</t>
  </si>
  <si>
    <t>Metric Tons CO2e/$M investment</t>
  </si>
  <si>
    <t>meals/ton diverted</t>
  </si>
  <si>
    <t>jobs/ton</t>
  </si>
  <si>
    <t>Prevention</t>
  </si>
  <si>
    <t>Maximize Product Utilization</t>
  </si>
  <si>
    <t>Active &amp; Intelligent Packaging</t>
  </si>
  <si>
    <t>Minnesota</t>
  </si>
  <si>
    <t>Refine Product Management</t>
  </si>
  <si>
    <t>Assisted Distressed Sales</t>
  </si>
  <si>
    <t>Reshape Consumer Environments</t>
  </si>
  <si>
    <t>Buffet Signage</t>
  </si>
  <si>
    <t>Optimize The Harvest</t>
  </si>
  <si>
    <t>Buyer Specification Expansion</t>
  </si>
  <si>
    <t>Recycling</t>
  </si>
  <si>
    <t>Recycle Anything Remaining</t>
  </si>
  <si>
    <t>Centralized Anaerobic Digestion</t>
  </si>
  <si>
    <t>Centralized Composting</t>
  </si>
  <si>
    <t>Co-Digestion At Wastewater Treatment Plants</t>
  </si>
  <si>
    <t>Community Composting</t>
  </si>
  <si>
    <t>Consumer Education Campaigns</t>
  </si>
  <si>
    <t>Decreased Minimum Order Quantity</t>
  </si>
  <si>
    <t>Enhance Product Distribution</t>
  </si>
  <si>
    <t>Decreased Transit Time</t>
  </si>
  <si>
    <t>Rescue</t>
  </si>
  <si>
    <t>Strengthen Food Rescue</t>
  </si>
  <si>
    <t>Donation Coordination &amp; Matching</t>
  </si>
  <si>
    <t>Donation Education</t>
  </si>
  <si>
    <t>Donation Storage Handling &amp; Capacity</t>
  </si>
  <si>
    <t>Donation Value-Added Processing</t>
  </si>
  <si>
    <t>Dynamic Pricing</t>
  </si>
  <si>
    <t>Enhanced Demand Planning</t>
  </si>
  <si>
    <t>First Expired First Out</t>
  </si>
  <si>
    <t>Gleaning</t>
  </si>
  <si>
    <t>Home Composting</t>
  </si>
  <si>
    <t>Imperfect &amp; Surplus Produce Channels</t>
  </si>
  <si>
    <t>Increased Delivery Frequency</t>
  </si>
  <si>
    <t>Intelligent Routing</t>
  </si>
  <si>
    <t>K-12 Education Campaigns</t>
  </si>
  <si>
    <t>K-12 Lunch Improvements</t>
  </si>
  <si>
    <t>Livestock Feed</t>
  </si>
  <si>
    <t>Manufacturing Byproduct Utilization (Upcycling)</t>
  </si>
  <si>
    <t>Manufacturing Line Optimization</t>
  </si>
  <si>
    <t>Markdown Alert Applications</t>
  </si>
  <si>
    <t>Meal Kits</t>
  </si>
  <si>
    <t>Minimized On Hand Inventory</t>
  </si>
  <si>
    <t>Package Design</t>
  </si>
  <si>
    <t>Partial Order Acceptance</t>
  </si>
  <si>
    <t>Portion Sizes</t>
  </si>
  <si>
    <t>Reduced Warehouse Handling</t>
  </si>
  <si>
    <t>Small Plates</t>
  </si>
  <si>
    <t>Standardized Date Labels</t>
  </si>
  <si>
    <t>Temperature Monitoring (Foodservice)</t>
  </si>
  <si>
    <t>Temperature Monitoring (Pallet Transport)</t>
  </si>
  <si>
    <t>Trayless</t>
  </si>
  <si>
    <t>Waste Tracking (Foodservice)</t>
  </si>
  <si>
    <t>Deep Winter Greenhouse (DWG)</t>
  </si>
  <si>
    <t>annual energy (MMBtu)</t>
  </si>
  <si>
    <t>DWGs funded @ $50k/project</t>
  </si>
  <si>
    <t>annual energy of all (MMBtu)</t>
  </si>
  <si>
    <t>Emissions if NG fuel Metric tons CO2 / MMBtu</t>
  </si>
  <si>
    <t>MWH if electric</t>
  </si>
  <si>
    <t>Conventional</t>
  </si>
  <si>
    <t>DWG</t>
  </si>
  <si>
    <t>cost/DWG</t>
  </si>
  <si>
    <t>Electricity emission rate</t>
  </si>
  <si>
    <t>DWG CO2 MT</t>
  </si>
  <si>
    <t>conventional CO2 MT</t>
  </si>
  <si>
    <t>Years operating</t>
  </si>
  <si>
    <t>Emissions</t>
  </si>
  <si>
    <t>Conventional - NG</t>
  </si>
  <si>
    <t>DWG -NG</t>
  </si>
  <si>
    <t>Conventional - electric</t>
  </si>
  <si>
    <t>DWG - electric</t>
  </si>
  <si>
    <t>GHGs reduced from conventional NG to DWG NG</t>
  </si>
  <si>
    <t>There is a greater reduction in the near term with NG fuel because our electricity has a higher emission rate. In the longer term, our electricity gets cleaner and the emission rate drops, making electric DWGs a larger GHG reduction.</t>
  </si>
  <si>
    <t>GHGs reduced from conventional NG to DWG electric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</si>
</sst>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_);[Red]\(&quot;$&quot;#,##0\)"/>
    <numFmt numFmtId="8" formatCode="&quot;$&quot;#,##0.00_);[Red]\(&quot;$&quot;#,##0.00\)"/>
    <numFmt numFmtId="43" formatCode="_(* #,##0.00_);_(* \(#,##0.00\);_(* &quot;-&quot;??_);_(@_)"/>
    <numFmt numFmtId="164" formatCode="_([$$-409]* #,##0.00_);_([$$-409]* \(#,##0.00\);_([$$-409]* &quot;-&quot;??_);_(@_)"/>
    <numFmt numFmtId="165" formatCode="_(* #,##0_);_(* \(#,##0\);_(* &quot;-&quot;??_);_(@_)"/>
    <numFmt numFmtId="166" formatCode="0.0"/>
    <numFmt numFmtId="167" formatCode="&quot;$&quot;#,##0.00"/>
    <numFmt numFmtId="168" formatCode="_(* #,##0.0_);_(* \(#,##0.0\);_(* &quot;-&quot;??_);_(@_)"/>
    <numFmt numFmtId="169" formatCode="_(* #,##0.0000_);_(* \(#,##0.0000\);_(* &quot;-&quot;??_);_(@_)"/>
    <numFmt numFmtId="170" formatCode="0.0000"/>
    <numFmt numFmtId="171" formatCode="_(* #,##0.00000_);_(* \(#,##0.00000\);_(* &quot;-&quot;??_);_(@_)"/>
    <numFmt numFmtId="172" formatCode="0.00000"/>
    <numFmt numFmtId="173" formatCode="0.0000E+00"/>
    <numFmt numFmtId="174" formatCode="#,##0.0"/>
    <numFmt numFmtId="175" formatCode="&quot;$&quot;#,##0"/>
  </numFmts>
  <fonts count="73" x14ac:knownFonts="1">
    <font>
      <sz val="10"/>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sz val="10"/>
      <color theme="1"/>
      <name val="Calibri"/>
      <family val="2"/>
      <charset val="1"/>
      <scheme val="minor"/>
    </font>
    <font>
      <b/>
      <sz val="10"/>
      <name val="Calibri"/>
      <family val="2"/>
      <charset val="1"/>
      <scheme val="minor"/>
    </font>
    <font>
      <sz val="10"/>
      <name val="Calibri"/>
      <family val="2"/>
      <charset val="1"/>
      <scheme val="minor"/>
    </font>
    <font>
      <sz val="10"/>
      <color rgb="FF000000"/>
      <name val="Calibri"/>
      <family val="2"/>
      <scheme val="minor"/>
    </font>
    <font>
      <b/>
      <sz val="10"/>
      <color rgb="FF70AD47"/>
      <name val="Calibri"/>
      <family val="2"/>
      <scheme val="minor"/>
    </font>
    <font>
      <sz val="11"/>
      <color rgb="FF000000"/>
      <name val="Calibri"/>
    </font>
    <font>
      <b/>
      <sz val="12"/>
      <name val="Calibri"/>
    </font>
    <font>
      <sz val="10"/>
      <name val="Arial"/>
    </font>
    <font>
      <b/>
      <sz val="12"/>
      <name val="Arial"/>
    </font>
    <font>
      <sz val="12"/>
      <name val="Arial"/>
    </font>
    <font>
      <vertAlign val="superscript"/>
      <sz val="9"/>
      <name val="Arial"/>
    </font>
    <font>
      <sz val="9"/>
      <name val="Arial"/>
    </font>
    <font>
      <b/>
      <vertAlign val="subscript"/>
      <sz val="12"/>
      <name val="Arial"/>
      <family val="2"/>
    </font>
    <font>
      <b/>
      <sz val="12"/>
      <name val="Arial"/>
      <family val="2"/>
    </font>
    <font>
      <sz val="9"/>
      <name val="Arial"/>
      <family val="2"/>
    </font>
    <font>
      <b/>
      <sz val="10"/>
      <name val="Arial"/>
    </font>
    <font>
      <b/>
      <sz val="12"/>
      <color rgb="FF000000"/>
      <name val="Calibri"/>
    </font>
    <font>
      <b/>
      <sz val="14"/>
      <color theme="1"/>
      <name val="Calibri"/>
      <family val="2"/>
      <scheme val="minor"/>
    </font>
    <font>
      <b/>
      <sz val="10"/>
      <color rgb="FF000000"/>
      <name val="Calibri"/>
      <family val="2"/>
    </font>
    <font>
      <sz val="10"/>
      <color rgb="FF000000"/>
      <name val="Calibri"/>
      <family val="2"/>
    </font>
    <font>
      <sz val="11"/>
      <color rgb="FF000000"/>
      <name val="Calibri"/>
      <family val="2"/>
    </font>
    <font>
      <b/>
      <sz val="14"/>
      <color rgb="FF000000"/>
      <name val="Calibri"/>
      <family val="2"/>
    </font>
    <font>
      <sz val="11"/>
      <color rgb="FF0070CB"/>
      <name val="Calibri"/>
      <charset val="1"/>
    </font>
    <font>
      <sz val="11"/>
      <color rgb="FF000000"/>
      <name val="Calibri"/>
      <scheme val="minor"/>
    </font>
    <font>
      <sz val="11"/>
      <color rgb="FF333333"/>
      <name val="Calibri"/>
      <scheme val="minor"/>
    </font>
    <font>
      <b/>
      <sz val="11"/>
      <color theme="1"/>
      <name val="Calibri"/>
      <family val="2"/>
      <scheme val="minor"/>
    </font>
    <font>
      <b/>
      <sz val="11"/>
      <color rgb="FF000000"/>
      <name val="Calibri"/>
      <family val="2"/>
    </font>
    <font>
      <sz val="10"/>
      <name val="Calibri"/>
      <family val="2"/>
      <scheme val="minor"/>
    </font>
    <font>
      <b/>
      <sz val="10"/>
      <name val="Calibri"/>
      <family val="2"/>
      <scheme val="minor"/>
    </font>
    <font>
      <b/>
      <sz val="11"/>
      <color indexed="8"/>
      <name val="Calibri"/>
      <family val="2"/>
    </font>
    <font>
      <sz val="10"/>
      <color rgb="FF333333"/>
      <name val="Calibri"/>
      <family val="2"/>
      <scheme val="minor"/>
    </font>
    <font>
      <i/>
      <sz val="10"/>
      <color rgb="FF333333"/>
      <name val="Calibri"/>
      <family val="2"/>
      <scheme val="minor"/>
    </font>
    <font>
      <b/>
      <u/>
      <sz val="10"/>
      <color rgb="FF000000"/>
      <name val="Calibri"/>
      <family val="2"/>
      <scheme val="minor"/>
    </font>
    <font>
      <b/>
      <sz val="10"/>
      <color rgb="FF000000"/>
      <name val="Calibri"/>
      <family val="2"/>
      <scheme val="minor"/>
    </font>
    <font>
      <b/>
      <sz val="10"/>
      <color rgb="FFC00000"/>
      <name val="Calibri"/>
      <family val="2"/>
      <scheme val="minor"/>
    </font>
    <font>
      <sz val="11"/>
      <color theme="1"/>
      <name val="Calibri"/>
      <family val="2"/>
      <scheme val="minor"/>
    </font>
    <font>
      <sz val="11"/>
      <color theme="1"/>
      <name val="Calibri"/>
      <family val="2"/>
      <charset val="1"/>
    </font>
    <font>
      <b/>
      <sz val="14"/>
      <color rgb="FFC00000"/>
      <name val="Calibri"/>
      <family val="2"/>
      <scheme val="minor"/>
    </font>
    <font>
      <sz val="10"/>
      <name val="Calibri"/>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name val="Calibri"/>
      <family val="2"/>
      <scheme val="minor"/>
    </font>
    <font>
      <sz val="9"/>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2"/>
      <color rgb="FF000000"/>
      <name val="Calibri"/>
      <family val="2"/>
    </font>
    <font>
      <b/>
      <vertAlign val="subscript"/>
      <sz val="12"/>
      <color rgb="FF000000"/>
      <name val="Calibri"/>
      <family val="2"/>
    </font>
    <font>
      <sz val="11"/>
      <color rgb="FF000000"/>
      <name val="Calibri"/>
      <family val="2"/>
      <scheme val="minor"/>
    </font>
    <font>
      <b/>
      <sz val="11"/>
      <color rgb="FF000000"/>
      <name val="Calibri"/>
      <family val="2"/>
      <scheme val="minor"/>
    </font>
    <font>
      <b/>
      <sz val="11"/>
      <color rgb="FF000000"/>
      <name val="Calibri"/>
      <family val="2"/>
      <charset val="1"/>
      <scheme val="minor"/>
    </font>
    <font>
      <b/>
      <sz val="11"/>
      <name val="Calibri"/>
      <family val="2"/>
      <scheme val="minor"/>
    </font>
    <font>
      <b/>
      <sz val="20"/>
      <color theme="1"/>
      <name val="Calibri"/>
      <family val="2"/>
      <scheme val="minor"/>
    </font>
    <font>
      <b/>
      <sz val="16"/>
      <color theme="1"/>
      <name val="Calibri"/>
      <family val="2"/>
      <scheme val="minor"/>
    </font>
    <font>
      <sz val="11"/>
      <color theme="1" tint="0.499984740745262"/>
      <name val="Calibri"/>
      <family val="2"/>
      <scheme val="minor"/>
    </font>
    <font>
      <sz val="11"/>
      <color theme="2" tint="-9.9978637043366805E-2"/>
      <name val="Calibri"/>
      <family val="2"/>
      <scheme val="minor"/>
    </font>
    <font>
      <sz val="11"/>
      <color rgb="FFC00000"/>
      <name val="Calibri"/>
      <family val="2"/>
      <scheme val="minor"/>
    </font>
    <font>
      <sz val="12"/>
      <name val="Arial"/>
      <family val="2"/>
    </font>
    <font>
      <sz val="12"/>
      <color theme="1"/>
      <name val="Calibri"/>
      <family val="2"/>
      <scheme val="minor"/>
    </font>
  </fonts>
  <fills count="63">
    <fill>
      <patternFill patternType="none"/>
    </fill>
    <fill>
      <patternFill patternType="gray125"/>
    </fill>
    <fill>
      <patternFill patternType="solid">
        <fgColor rgb="FFDDEBF7"/>
        <bgColor rgb="FF000000"/>
      </patternFill>
    </fill>
    <fill>
      <patternFill patternType="solid">
        <fgColor rgb="FFFCE4D6"/>
        <bgColor rgb="FF000000"/>
      </patternFill>
    </fill>
    <fill>
      <patternFill patternType="solid">
        <fgColor rgb="FFE2EFDA"/>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rgb="FFF2F2F2"/>
        <bgColor rgb="FF000000"/>
      </patternFill>
    </fill>
    <fill>
      <patternFill patternType="solid">
        <fgColor rgb="FFFFFF00"/>
        <bgColor rgb="FF000000"/>
      </patternFill>
    </fill>
    <fill>
      <patternFill patternType="solid">
        <fgColor theme="1"/>
        <bgColor indexed="64"/>
      </patternFill>
    </fill>
    <fill>
      <patternFill patternType="solid">
        <fgColor theme="9"/>
        <bgColor indexed="64"/>
      </patternFill>
    </fill>
    <fill>
      <patternFill patternType="solid">
        <fgColor theme="8" tint="0.59999389629810485"/>
        <bgColor indexed="64"/>
      </patternFill>
    </fill>
    <fill>
      <patternFill patternType="solid">
        <fgColor rgb="FFFFCCFF"/>
        <bgColor indexed="64"/>
      </patternFill>
    </fill>
    <fill>
      <patternFill patternType="solid">
        <fgColor rgb="FFCCFF99"/>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9FFCC"/>
        <bgColor indexed="64"/>
      </patternFill>
    </fill>
    <fill>
      <patternFill patternType="solid">
        <fgColor rgb="FFCAFA70"/>
        <bgColor indexed="64"/>
      </patternFill>
    </fill>
    <fill>
      <patternFill patternType="solid">
        <fgColor theme="5"/>
        <bgColor indexed="64"/>
      </patternFill>
    </fill>
    <fill>
      <patternFill patternType="solid">
        <fgColor theme="4" tint="0.79998168889431442"/>
        <bgColor indexed="64"/>
      </patternFill>
    </fill>
    <fill>
      <patternFill patternType="solid">
        <fgColor theme="4"/>
        <bgColor indexed="64"/>
      </patternFill>
    </fill>
  </fills>
  <borders count="21">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s>
  <cellStyleXfs count="46">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3" fillId="0" borderId="0" applyNumberFormat="0" applyFill="0" applyBorder="0" applyAlignment="0" applyProtection="0"/>
    <xf numFmtId="0" fontId="44" fillId="0" borderId="11" applyNumberFormat="0" applyFill="0" applyAlignment="0" applyProtection="0"/>
    <xf numFmtId="0" fontId="45" fillId="0" borderId="12" applyNumberFormat="0" applyFill="0" applyAlignment="0" applyProtection="0"/>
    <xf numFmtId="0" fontId="46" fillId="0" borderId="13" applyNumberFormat="0" applyFill="0" applyAlignment="0" applyProtection="0"/>
    <xf numFmtId="0" fontId="46" fillId="0" borderId="0" applyNumberFormat="0" applyFill="0" applyBorder="0" applyAlignment="0" applyProtection="0"/>
    <xf numFmtId="0" fontId="39" fillId="0" borderId="0"/>
    <xf numFmtId="0" fontId="49" fillId="27" borderId="0" applyNumberFormat="0" applyBorder="0" applyAlignment="0" applyProtection="0"/>
    <xf numFmtId="0" fontId="50" fillId="28" borderId="0" applyNumberFormat="0" applyBorder="0" applyAlignment="0" applyProtection="0"/>
    <xf numFmtId="0" fontId="51" fillId="29" borderId="0" applyNumberFormat="0" applyBorder="0" applyAlignment="0" applyProtection="0"/>
    <xf numFmtId="0" fontId="52" fillId="30" borderId="14" applyNumberFormat="0" applyAlignment="0" applyProtection="0"/>
    <xf numFmtId="0" fontId="53" fillId="31" borderId="15" applyNumberFormat="0" applyAlignment="0" applyProtection="0"/>
    <xf numFmtId="0" fontId="54" fillId="31" borderId="14" applyNumberFormat="0" applyAlignment="0" applyProtection="0"/>
    <xf numFmtId="0" fontId="55" fillId="0" borderId="16" applyNumberFormat="0" applyFill="0" applyAlignment="0" applyProtection="0"/>
    <xf numFmtId="0" fontId="56" fillId="32" borderId="17" applyNumberFormat="0" applyAlignment="0" applyProtection="0"/>
    <xf numFmtId="0" fontId="57" fillId="0" borderId="0" applyNumberFormat="0" applyFill="0" applyBorder="0" applyAlignment="0" applyProtection="0"/>
    <xf numFmtId="0" fontId="39" fillId="33" borderId="18" applyNumberFormat="0" applyFont="0" applyAlignment="0" applyProtection="0"/>
    <xf numFmtId="0" fontId="58" fillId="0" borderId="0" applyNumberFormat="0" applyFill="0" applyBorder="0" applyAlignment="0" applyProtection="0"/>
    <xf numFmtId="0" fontId="29" fillId="0" borderId="19" applyNumberFormat="0" applyFill="0" applyAlignment="0" applyProtection="0"/>
    <xf numFmtId="0" fontId="5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5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59" fillId="42"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59" fillId="46" borderId="0" applyNumberFormat="0" applyBorder="0" applyAlignment="0" applyProtection="0"/>
    <xf numFmtId="0" fontId="39" fillId="47" borderId="0" applyNumberFormat="0" applyBorder="0" applyAlignment="0" applyProtection="0"/>
    <xf numFmtId="0" fontId="39" fillId="48" borderId="0" applyNumberFormat="0" applyBorder="0" applyAlignment="0" applyProtection="0"/>
    <xf numFmtId="0" fontId="39" fillId="49" borderId="0" applyNumberFormat="0" applyBorder="0" applyAlignment="0" applyProtection="0"/>
    <xf numFmtId="0" fontId="59" fillId="50" borderId="0" applyNumberFormat="0" applyBorder="0" applyAlignment="0" applyProtection="0"/>
    <xf numFmtId="0" fontId="39" fillId="51" borderId="0" applyNumberFormat="0" applyBorder="0" applyAlignment="0" applyProtection="0"/>
    <xf numFmtId="0" fontId="39" fillId="52" borderId="0" applyNumberFormat="0" applyBorder="0" applyAlignment="0" applyProtection="0"/>
    <xf numFmtId="0" fontId="39" fillId="53" borderId="0" applyNumberFormat="0" applyBorder="0" applyAlignment="0" applyProtection="0"/>
    <xf numFmtId="0" fontId="59" fillId="54" borderId="0" applyNumberFormat="0" applyBorder="0" applyAlignment="0" applyProtection="0"/>
    <xf numFmtId="0" fontId="39" fillId="55" borderId="0" applyNumberFormat="0" applyBorder="0" applyAlignment="0" applyProtection="0"/>
    <xf numFmtId="0" fontId="39" fillId="56" borderId="0" applyNumberFormat="0" applyBorder="0" applyAlignment="0" applyProtection="0"/>
    <xf numFmtId="0" fontId="39" fillId="57" borderId="0" applyNumberFormat="0" applyBorder="0" applyAlignment="0" applyProtection="0"/>
    <xf numFmtId="9" fontId="39" fillId="0" borderId="0" applyFont="0" applyFill="0" applyBorder="0" applyAlignment="0" applyProtection="0"/>
  </cellStyleXfs>
  <cellXfs count="299">
    <xf numFmtId="0" fontId="0" fillId="0" borderId="0" xfId="0"/>
    <xf numFmtId="0" fontId="1" fillId="0" borderId="0" xfId="0" applyFont="1"/>
    <xf numFmtId="0" fontId="3" fillId="0" borderId="0" xfId="2"/>
    <xf numFmtId="0" fontId="0" fillId="0" borderId="0" xfId="0" applyAlignment="1">
      <alignment wrapText="1"/>
    </xf>
    <xf numFmtId="2" fontId="0" fillId="0" borderId="0" xfId="0" applyNumberFormat="1" applyAlignment="1">
      <alignment wrapText="1"/>
    </xf>
    <xf numFmtId="164" fontId="0" fillId="0" borderId="0" xfId="0" applyNumberFormat="1" applyAlignment="1">
      <alignment wrapText="1"/>
    </xf>
    <xf numFmtId="0" fontId="0" fillId="0" borderId="0" xfId="0" applyAlignment="1"/>
    <xf numFmtId="43" fontId="0" fillId="0" borderId="0" xfId="0" applyNumberFormat="1" applyAlignment="1">
      <alignment wrapText="1"/>
    </xf>
    <xf numFmtId="164" fontId="0" fillId="0" borderId="0" xfId="0" applyNumberFormat="1" applyAlignment="1"/>
    <xf numFmtId="43" fontId="0" fillId="0" borderId="0" xfId="0" applyNumberFormat="1" applyAlignment="1"/>
    <xf numFmtId="0" fontId="0" fillId="5" borderId="0" xfId="0" applyFill="1" applyAlignment="1"/>
    <xf numFmtId="164" fontId="0" fillId="5" borderId="0" xfId="0" applyNumberFormat="1" applyFill="1" applyAlignment="1"/>
    <xf numFmtId="43" fontId="0" fillId="5" borderId="0" xfId="0" applyNumberFormat="1" applyFill="1" applyAlignment="1"/>
    <xf numFmtId="43" fontId="0" fillId="0" borderId="0" xfId="1" applyFont="1" applyAlignment="1">
      <alignment wrapText="1"/>
    </xf>
    <xf numFmtId="165" fontId="0" fillId="0" borderId="0" xfId="1" applyNumberFormat="1" applyFont="1" applyAlignment="1">
      <alignment wrapText="1"/>
    </xf>
    <xf numFmtId="165" fontId="0" fillId="0" borderId="0" xfId="1" applyNumberFormat="1" applyFont="1" applyAlignment="1"/>
    <xf numFmtId="0" fontId="0" fillId="0" borderId="0" xfId="0" applyFill="1" applyAlignment="1"/>
    <xf numFmtId="164" fontId="0" fillId="0" borderId="0" xfId="0" applyNumberFormat="1" applyFill="1" applyAlignment="1"/>
    <xf numFmtId="43" fontId="0" fillId="0" borderId="0" xfId="0" applyNumberFormat="1" applyFill="1" applyAlignment="1"/>
    <xf numFmtId="165" fontId="0" fillId="0" borderId="0" xfId="1" applyNumberFormat="1" applyFont="1" applyFill="1" applyAlignment="1"/>
    <xf numFmtId="165" fontId="0" fillId="5" borderId="0" xfId="1" applyNumberFormat="1" applyFont="1" applyFill="1" applyAlignment="1"/>
    <xf numFmtId="0" fontId="1" fillId="0" borderId="0" xfId="0" applyFont="1" applyAlignment="1">
      <alignment wrapText="1"/>
    </xf>
    <xf numFmtId="164" fontId="1" fillId="0" borderId="0" xfId="0" applyNumberFormat="1" applyFont="1" applyAlignment="1">
      <alignment wrapText="1"/>
    </xf>
    <xf numFmtId="2" fontId="1" fillId="0" borderId="0" xfId="0" applyNumberFormat="1" applyFont="1" applyAlignment="1">
      <alignment wrapText="1"/>
    </xf>
    <xf numFmtId="165" fontId="1" fillId="0" borderId="0" xfId="1" applyNumberFormat="1" applyFont="1" applyAlignment="1">
      <alignment wrapText="1"/>
    </xf>
    <xf numFmtId="43" fontId="1" fillId="0" borderId="0" xfId="0" applyNumberFormat="1" applyFont="1" applyAlignment="1">
      <alignment wrapText="1"/>
    </xf>
    <xf numFmtId="165" fontId="0" fillId="0" borderId="0" xfId="0" applyNumberFormat="1" applyAlignment="1">
      <alignment wrapText="1"/>
    </xf>
    <xf numFmtId="165" fontId="1" fillId="0" borderId="0" xfId="0" applyNumberFormat="1" applyFont="1" applyAlignment="1">
      <alignment wrapText="1"/>
    </xf>
    <xf numFmtId="0" fontId="0" fillId="6" borderId="0" xfId="0" applyFill="1" applyAlignment="1"/>
    <xf numFmtId="164" fontId="0" fillId="6" borderId="0" xfId="0" applyNumberFormat="1" applyFill="1" applyAlignment="1"/>
    <xf numFmtId="43" fontId="0" fillId="6" borderId="0" xfId="0" applyNumberFormat="1" applyFill="1" applyAlignment="1"/>
    <xf numFmtId="165" fontId="0" fillId="6" borderId="0" xfId="1" applyNumberFormat="1" applyFont="1" applyFill="1" applyAlignment="1"/>
    <xf numFmtId="0" fontId="0" fillId="7" borderId="0" xfId="0" applyFill="1" applyAlignment="1"/>
    <xf numFmtId="164" fontId="0" fillId="7" borderId="0" xfId="0" applyNumberFormat="1" applyFill="1" applyAlignment="1"/>
    <xf numFmtId="43" fontId="0" fillId="7" borderId="0" xfId="0" applyNumberFormat="1" applyFill="1" applyAlignment="1"/>
    <xf numFmtId="165" fontId="0" fillId="7" borderId="0" xfId="1" applyNumberFormat="1" applyFont="1" applyFill="1" applyAlignment="1"/>
    <xf numFmtId="0" fontId="0" fillId="8" borderId="0" xfId="0" applyFill="1" applyAlignment="1"/>
    <xf numFmtId="164" fontId="0" fillId="8" borderId="0" xfId="0" applyNumberFormat="1" applyFill="1" applyAlignment="1"/>
    <xf numFmtId="43" fontId="0" fillId="8" borderId="0" xfId="0" applyNumberFormat="1" applyFill="1" applyAlignment="1"/>
    <xf numFmtId="165" fontId="0" fillId="8" borderId="0" xfId="1" applyNumberFormat="1" applyFont="1" applyFill="1" applyAlignment="1"/>
    <xf numFmtId="0" fontId="0" fillId="9" borderId="0" xfId="0" applyFill="1" applyAlignment="1"/>
    <xf numFmtId="164" fontId="0" fillId="9" borderId="0" xfId="0" applyNumberFormat="1" applyFill="1" applyAlignment="1"/>
    <xf numFmtId="43" fontId="0" fillId="9" borderId="0" xfId="0" applyNumberFormat="1" applyFill="1" applyAlignment="1"/>
    <xf numFmtId="165" fontId="0" fillId="9" borderId="0" xfId="1" applyNumberFormat="1" applyFont="1" applyFill="1" applyAlignment="1"/>
    <xf numFmtId="0" fontId="0" fillId="7" borderId="0" xfId="0" applyFill="1" applyAlignment="1">
      <alignment wrapText="1"/>
    </xf>
    <xf numFmtId="0" fontId="1" fillId="5" borderId="0" xfId="0" applyFont="1" applyFill="1" applyAlignment="1"/>
    <xf numFmtId="0" fontId="1" fillId="10" borderId="0" xfId="0" applyFont="1" applyFill="1" applyAlignment="1">
      <alignment wrapText="1"/>
    </xf>
    <xf numFmtId="164" fontId="1" fillId="10" borderId="0" xfId="0" applyNumberFormat="1" applyFont="1" applyFill="1" applyAlignment="1">
      <alignment wrapText="1"/>
    </xf>
    <xf numFmtId="165" fontId="1" fillId="10" borderId="0" xfId="1" applyNumberFormat="1" applyFont="1" applyFill="1" applyAlignment="1">
      <alignment wrapText="1"/>
    </xf>
    <xf numFmtId="0" fontId="7" fillId="0" borderId="0" xfId="0" applyFont="1"/>
    <xf numFmtId="0" fontId="8" fillId="4" borderId="0" xfId="0" applyFont="1" applyFill="1"/>
    <xf numFmtId="0" fontId="7" fillId="4" borderId="0" xfId="0" applyFont="1" applyFill="1"/>
    <xf numFmtId="0" fontId="7" fillId="0" borderId="0" xfId="0" applyFont="1" applyAlignment="1">
      <alignment wrapText="1"/>
    </xf>
    <xf numFmtId="0" fontId="7" fillId="2" borderId="0" xfId="0" applyFont="1" applyFill="1" applyAlignment="1">
      <alignment wrapText="1"/>
    </xf>
    <xf numFmtId="0" fontId="7" fillId="3" borderId="0" xfId="0" applyFont="1" applyFill="1" applyAlignment="1">
      <alignment wrapText="1"/>
    </xf>
    <xf numFmtId="0" fontId="7" fillId="11" borderId="0" xfId="0" applyFont="1" applyFill="1" applyAlignment="1">
      <alignment wrapText="1"/>
    </xf>
    <xf numFmtId="0" fontId="7" fillId="4" borderId="0" xfId="0" applyFont="1" applyFill="1" applyAlignment="1">
      <alignment wrapText="1"/>
    </xf>
    <xf numFmtId="0" fontId="0" fillId="10" borderId="0" xfId="0" applyFill="1" applyAlignment="1">
      <alignment wrapText="1"/>
    </xf>
    <xf numFmtId="165" fontId="0" fillId="10" borderId="0" xfId="1" applyNumberFormat="1" applyFont="1" applyFill="1" applyAlignment="1"/>
    <xf numFmtId="165" fontId="0" fillId="10" borderId="0" xfId="1" applyNumberFormat="1" applyFont="1" applyFill="1" applyAlignment="1">
      <alignment wrapText="1"/>
    </xf>
    <xf numFmtId="43" fontId="0" fillId="7" borderId="0" xfId="0" applyNumberFormat="1" applyFill="1" applyAlignment="1">
      <alignment wrapText="1"/>
    </xf>
    <xf numFmtId="0" fontId="9" fillId="0" borderId="0" xfId="0" applyFont="1"/>
    <xf numFmtId="0" fontId="12" fillId="0" borderId="3" xfId="0" applyFont="1" applyBorder="1" applyAlignment="1">
      <alignment wrapText="1"/>
    </xf>
    <xf numFmtId="0" fontId="12" fillId="0" borderId="1" xfId="0" applyFont="1" applyBorder="1" applyAlignment="1">
      <alignment wrapText="1"/>
    </xf>
    <xf numFmtId="0" fontId="13" fillId="0" borderId="3" xfId="0" applyFont="1" applyBorder="1" applyAlignment="1">
      <alignment wrapText="1"/>
    </xf>
    <xf numFmtId="0" fontId="13" fillId="12" borderId="3" xfId="0" applyFont="1" applyFill="1" applyBorder="1" applyAlignment="1">
      <alignment wrapText="1"/>
    </xf>
    <xf numFmtId="0" fontId="12" fillId="0" borderId="5" xfId="0" applyFont="1" applyBorder="1" applyAlignment="1">
      <alignment wrapText="1"/>
    </xf>
    <xf numFmtId="0" fontId="12" fillId="0" borderId="6" xfId="0" applyFont="1" applyBorder="1" applyAlignment="1">
      <alignment wrapText="1"/>
    </xf>
    <xf numFmtId="3" fontId="13" fillId="0" borderId="7" xfId="0" applyNumberFormat="1" applyFont="1" applyBorder="1" applyAlignment="1">
      <alignment wrapText="1"/>
    </xf>
    <xf numFmtId="14" fontId="0" fillId="0" borderId="0" xfId="0" applyNumberFormat="1"/>
    <xf numFmtId="2" fontId="0" fillId="0" borderId="0" xfId="0" applyNumberFormat="1"/>
    <xf numFmtId="3" fontId="0" fillId="0" borderId="0" xfId="0" applyNumberFormat="1"/>
    <xf numFmtId="0" fontId="0" fillId="0" borderId="0" xfId="0" applyFont="1"/>
    <xf numFmtId="3" fontId="1" fillId="0" borderId="0" xfId="0" applyNumberFormat="1" applyFont="1"/>
    <xf numFmtId="0" fontId="0" fillId="0" borderId="0" xfId="0" applyAlignment="1">
      <alignment wrapText="1"/>
    </xf>
    <xf numFmtId="0" fontId="21" fillId="0" borderId="0" xfId="0" applyFont="1"/>
    <xf numFmtId="0" fontId="0" fillId="0" borderId="0" xfId="0" applyFill="1"/>
    <xf numFmtId="0" fontId="1" fillId="0" borderId="0" xfId="0" applyFont="1" applyFill="1"/>
    <xf numFmtId="0" fontId="3" fillId="0" borderId="0" xfId="2" applyAlignment="1">
      <alignment wrapText="1"/>
    </xf>
    <xf numFmtId="0" fontId="11" fillId="0" borderId="1" xfId="0" applyFont="1" applyBorder="1" applyAlignment="1">
      <alignment wrapText="1"/>
    </xf>
    <xf numFmtId="0" fontId="11" fillId="0" borderId="0" xfId="0" applyFont="1" applyAlignment="1">
      <alignment wrapText="1"/>
    </xf>
    <xf numFmtId="0" fontId="19" fillId="0" borderId="0" xfId="0" applyFont="1" applyAlignment="1">
      <alignment wrapText="1"/>
    </xf>
    <xf numFmtId="0" fontId="15" fillId="0" borderId="0" xfId="0" applyFont="1" applyAlignment="1">
      <alignment wrapText="1"/>
    </xf>
    <xf numFmtId="3" fontId="11" fillId="0" borderId="0" xfId="0" applyNumberFormat="1" applyFont="1" applyAlignment="1">
      <alignment wrapText="1"/>
    </xf>
    <xf numFmtId="0" fontId="3" fillId="0" borderId="0" xfId="2" applyFill="1"/>
    <xf numFmtId="0" fontId="0" fillId="0" borderId="0" xfId="0" applyFont="1" applyFill="1"/>
    <xf numFmtId="0" fontId="22" fillId="0" borderId="0" xfId="0" applyFont="1" applyFill="1" applyBorder="1" applyAlignment="1"/>
    <xf numFmtId="0" fontId="23" fillId="0" borderId="0" xfId="0" applyFont="1" applyFill="1" applyBorder="1" applyAlignment="1"/>
    <xf numFmtId="3" fontId="0" fillId="0" borderId="0" xfId="0" applyNumberFormat="1" applyFill="1"/>
    <xf numFmtId="3" fontId="1" fillId="0" borderId="0" xfId="0" applyNumberFormat="1" applyFont="1" applyFill="1"/>
    <xf numFmtId="3" fontId="0" fillId="0" borderId="0" xfId="0" applyNumberFormat="1" applyFont="1" applyFill="1"/>
    <xf numFmtId="0" fontId="24" fillId="0" borderId="0" xfId="0" applyFont="1" applyFill="1" applyBorder="1" applyAlignment="1"/>
    <xf numFmtId="0" fontId="25" fillId="0" borderId="0" xfId="0" applyFont="1" applyFill="1" applyBorder="1" applyAlignment="1"/>
    <xf numFmtId="0" fontId="0" fillId="13" borderId="0" xfId="0" applyFill="1"/>
    <xf numFmtId="4" fontId="0" fillId="0" borderId="0" xfId="0" applyNumberFormat="1" applyFill="1"/>
    <xf numFmtId="0" fontId="3" fillId="0" borderId="0" xfId="2" applyFill="1" applyBorder="1" applyAlignment="1"/>
    <xf numFmtId="0" fontId="26" fillId="0" borderId="0" xfId="0" applyFont="1"/>
    <xf numFmtId="0" fontId="27" fillId="0" borderId="0" xfId="0" applyFont="1"/>
    <xf numFmtId="0" fontId="28" fillId="0" borderId="0" xfId="0" applyFont="1"/>
    <xf numFmtId="0" fontId="29" fillId="0" borderId="0" xfId="0" applyFont="1"/>
    <xf numFmtId="4" fontId="29" fillId="0" borderId="0" xfId="0" applyNumberFormat="1" applyFont="1"/>
    <xf numFmtId="3" fontId="29" fillId="0" borderId="0" xfId="0" applyNumberFormat="1" applyFont="1"/>
    <xf numFmtId="0" fontId="0" fillId="5" borderId="0" xfId="0" applyFill="1" applyAlignment="1">
      <alignment wrapText="1"/>
    </xf>
    <xf numFmtId="0" fontId="0" fillId="0" borderId="0" xfId="0" applyAlignment="1">
      <alignment wrapText="1"/>
    </xf>
    <xf numFmtId="0" fontId="30" fillId="0" borderId="0" xfId="0" applyFont="1" applyFill="1" applyBorder="1" applyAlignment="1"/>
    <xf numFmtId="3" fontId="30" fillId="0" borderId="0" xfId="0" applyNumberFormat="1" applyFont="1" applyFill="1" applyBorder="1" applyAlignment="1"/>
    <xf numFmtId="8" fontId="30" fillId="0" borderId="0" xfId="0" applyNumberFormat="1" applyFont="1" applyFill="1" applyBorder="1" applyAlignment="1"/>
    <xf numFmtId="168" fontId="0" fillId="0" borderId="0" xfId="1" applyNumberFormat="1" applyFont="1" applyAlignment="1">
      <alignment wrapText="1"/>
    </xf>
    <xf numFmtId="169" fontId="0" fillId="0" borderId="0" xfId="1" applyNumberFormat="1" applyFont="1" applyAlignment="1">
      <alignment wrapText="1"/>
    </xf>
    <xf numFmtId="169" fontId="1" fillId="0" borderId="0" xfId="1" applyNumberFormat="1" applyFont="1" applyAlignment="1">
      <alignment wrapText="1"/>
    </xf>
    <xf numFmtId="169" fontId="0" fillId="0" borderId="0" xfId="1" applyNumberFormat="1" applyFont="1" applyFill="1" applyAlignment="1"/>
    <xf numFmtId="169" fontId="0" fillId="0" borderId="0" xfId="1" applyNumberFormat="1" applyFont="1" applyAlignment="1"/>
    <xf numFmtId="0" fontId="1" fillId="14" borderId="0" xfId="0" applyFont="1" applyFill="1"/>
    <xf numFmtId="0" fontId="31" fillId="0" borderId="0" xfId="0" applyFont="1"/>
    <xf numFmtId="14" fontId="31" fillId="0" borderId="0" xfId="0" applyNumberFormat="1" applyFont="1"/>
    <xf numFmtId="166" fontId="31" fillId="0" borderId="0" xfId="0" applyNumberFormat="1" applyFont="1"/>
    <xf numFmtId="3" fontId="32" fillId="0" borderId="0" xfId="0" applyNumberFormat="1" applyFont="1"/>
    <xf numFmtId="4" fontId="32" fillId="0" borderId="0" xfId="0" applyNumberFormat="1" applyFont="1"/>
    <xf numFmtId="3" fontId="31" fillId="0" borderId="0" xfId="0" applyNumberFormat="1" applyFont="1"/>
    <xf numFmtId="2" fontId="31" fillId="0" borderId="0" xfId="0" applyNumberFormat="1" applyFont="1"/>
    <xf numFmtId="2" fontId="32" fillId="0" borderId="0" xfId="0" applyNumberFormat="1" applyFont="1"/>
    <xf numFmtId="43" fontId="7" fillId="11" borderId="0" xfId="1" applyFont="1" applyFill="1"/>
    <xf numFmtId="170" fontId="7" fillId="0" borderId="0" xfId="0" applyNumberFormat="1" applyFont="1"/>
    <xf numFmtId="164" fontId="0" fillId="5" borderId="0" xfId="0" applyNumberFormat="1" applyFill="1" applyAlignment="1">
      <alignment wrapText="1"/>
    </xf>
    <xf numFmtId="0" fontId="0" fillId="16" borderId="0" xfId="0" applyFill="1" applyAlignment="1">
      <alignment wrapText="1"/>
    </xf>
    <xf numFmtId="164" fontId="0" fillId="16" borderId="0" xfId="0" applyNumberFormat="1" applyFill="1" applyAlignment="1">
      <alignment wrapText="1"/>
    </xf>
    <xf numFmtId="0" fontId="0" fillId="17" borderId="0" xfId="0" applyFill="1" applyAlignment="1"/>
    <xf numFmtId="0" fontId="0" fillId="17" borderId="0" xfId="0" applyFill="1" applyAlignment="1">
      <alignment wrapText="1"/>
    </xf>
    <xf numFmtId="164" fontId="0" fillId="17" borderId="0" xfId="0" applyNumberFormat="1" applyFill="1" applyAlignment="1">
      <alignment wrapText="1"/>
    </xf>
    <xf numFmtId="0" fontId="1" fillId="7" borderId="0" xfId="0" applyFont="1" applyFill="1" applyAlignment="1"/>
    <xf numFmtId="0" fontId="0" fillId="0" borderId="0" xfId="0" applyFill="1" applyAlignment="1">
      <alignment wrapText="1"/>
    </xf>
    <xf numFmtId="164" fontId="0" fillId="0" borderId="0" xfId="0" applyNumberFormat="1" applyFill="1" applyAlignment="1">
      <alignment wrapText="1"/>
    </xf>
    <xf numFmtId="165" fontId="0" fillId="0" borderId="0" xfId="1" applyNumberFormat="1" applyFont="1" applyFill="1" applyAlignment="1">
      <alignment wrapText="1"/>
    </xf>
    <xf numFmtId="169" fontId="0" fillId="0" borderId="0" xfId="1" applyNumberFormat="1" applyFont="1" applyFill="1" applyAlignment="1">
      <alignment wrapText="1"/>
    </xf>
    <xf numFmtId="0" fontId="0" fillId="0" borderId="0" xfId="0" applyAlignment="1">
      <alignment horizontal="left"/>
    </xf>
    <xf numFmtId="0" fontId="29" fillId="22" borderId="2" xfId="0" applyFont="1" applyFill="1" applyBorder="1" applyAlignment="1">
      <alignment horizontal="left"/>
    </xf>
    <xf numFmtId="0" fontId="29" fillId="20" borderId="9" xfId="0" applyFont="1" applyFill="1" applyBorder="1" applyAlignment="1">
      <alignment horizontal="left"/>
    </xf>
    <xf numFmtId="0" fontId="29" fillId="23" borderId="8" xfId="0" applyFont="1" applyFill="1" applyBorder="1" applyAlignment="1">
      <alignment horizontal="left"/>
    </xf>
    <xf numFmtId="0" fontId="29" fillId="23" borderId="9" xfId="0" applyFont="1" applyFill="1" applyBorder="1" applyAlignment="1">
      <alignment horizontal="left"/>
    </xf>
    <xf numFmtId="0" fontId="29" fillId="21" borderId="2" xfId="0" applyFont="1" applyFill="1" applyBorder="1" applyAlignment="1">
      <alignment horizontal="left"/>
    </xf>
    <xf numFmtId="0" fontId="29" fillId="15" borderId="2" xfId="0" applyFont="1" applyFill="1" applyBorder="1" applyAlignment="1">
      <alignment horizontal="left"/>
    </xf>
    <xf numFmtId="0" fontId="33" fillId="7" borderId="2" xfId="0" applyFont="1" applyFill="1" applyBorder="1" applyAlignment="1">
      <alignment horizontal="left"/>
    </xf>
    <xf numFmtId="0" fontId="33" fillId="6" borderId="2" xfId="0" applyFont="1" applyFill="1" applyBorder="1" applyAlignment="1">
      <alignment horizontal="left"/>
    </xf>
    <xf numFmtId="0" fontId="0" fillId="0" borderId="2" xfId="0" applyBorder="1" applyAlignment="1">
      <alignment horizontal="left"/>
    </xf>
    <xf numFmtId="0" fontId="29" fillId="24" borderId="9" xfId="0" applyFont="1" applyFill="1" applyBorder="1" applyAlignment="1">
      <alignment horizontal="left"/>
    </xf>
    <xf numFmtId="0" fontId="29" fillId="25" borderId="2" xfId="0" applyFont="1" applyFill="1" applyBorder="1" applyAlignment="1">
      <alignment horizontal="left"/>
    </xf>
    <xf numFmtId="0" fontId="33" fillId="8" borderId="2" xfId="0" applyFont="1" applyFill="1" applyBorder="1" applyAlignment="1">
      <alignment horizontal="left"/>
    </xf>
    <xf numFmtId="0" fontId="29" fillId="10" borderId="8" xfId="0" applyFont="1" applyFill="1" applyBorder="1" applyAlignment="1">
      <alignment horizontal="left"/>
    </xf>
    <xf numFmtId="0" fontId="29" fillId="10" borderId="9" xfId="0" applyFont="1" applyFill="1" applyBorder="1" applyAlignment="1">
      <alignment horizontal="left"/>
    </xf>
    <xf numFmtId="0" fontId="29" fillId="19" borderId="2" xfId="0" applyFont="1" applyFill="1" applyBorder="1" applyAlignment="1">
      <alignment horizontal="left"/>
    </xf>
    <xf numFmtId="0" fontId="33" fillId="5" borderId="2" xfId="0" applyFont="1" applyFill="1" applyBorder="1" applyAlignment="1">
      <alignment horizontal="left"/>
    </xf>
    <xf numFmtId="0" fontId="0" fillId="0" borderId="0" xfId="0" applyFont="1" applyAlignment="1"/>
    <xf numFmtId="0" fontId="34" fillId="0" borderId="0" xfId="0" applyFont="1" applyAlignment="1">
      <alignment horizontal="left" vertical="center"/>
    </xf>
    <xf numFmtId="0" fontId="7" fillId="0" borderId="0" xfId="0" applyFont="1" applyAlignment="1">
      <alignment horizontal="left" vertical="center" indent="1"/>
    </xf>
    <xf numFmtId="0" fontId="1" fillId="0" borderId="4" xfId="0" applyFont="1" applyBorder="1" applyAlignment="1"/>
    <xf numFmtId="43" fontId="0" fillId="0" borderId="0" xfId="1" applyFont="1" applyBorder="1" applyAlignment="1">
      <alignment horizontal="left"/>
    </xf>
    <xf numFmtId="171" fontId="0" fillId="0" borderId="0" xfId="0" applyNumberFormat="1"/>
    <xf numFmtId="171" fontId="0" fillId="0" borderId="0" xfId="0" applyNumberFormat="1" applyFont="1"/>
    <xf numFmtId="171" fontId="0" fillId="0" borderId="0" xfId="0" applyNumberFormat="1" applyFont="1" applyAlignment="1"/>
    <xf numFmtId="171" fontId="29" fillId="22" borderId="2" xfId="0" applyNumberFormat="1" applyFont="1" applyFill="1" applyBorder="1" applyAlignment="1">
      <alignment horizontal="left"/>
    </xf>
    <xf numFmtId="171" fontId="29" fillId="20" borderId="8" xfId="0" applyNumberFormat="1" applyFont="1" applyFill="1" applyBorder="1" applyAlignment="1">
      <alignment horizontal="left"/>
    </xf>
    <xf numFmtId="171" fontId="29" fillId="21" borderId="2" xfId="0" applyNumberFormat="1" applyFont="1" applyFill="1" applyBorder="1" applyAlignment="1">
      <alignment horizontal="left"/>
    </xf>
    <xf numFmtId="171" fontId="33" fillId="7" borderId="2" xfId="0" applyNumberFormat="1" applyFont="1" applyFill="1" applyBorder="1" applyAlignment="1">
      <alignment horizontal="left"/>
    </xf>
    <xf numFmtId="171" fontId="0" fillId="0" borderId="2" xfId="0" applyNumberFormat="1" applyBorder="1" applyAlignment="1">
      <alignment horizontal="left"/>
    </xf>
    <xf numFmtId="171" fontId="29" fillId="24" borderId="8" xfId="0" applyNumberFormat="1" applyFont="1" applyFill="1" applyBorder="1" applyAlignment="1">
      <alignment horizontal="left"/>
    </xf>
    <xf numFmtId="171" fontId="29" fillId="25" borderId="2" xfId="0" applyNumberFormat="1" applyFont="1" applyFill="1" applyBorder="1" applyAlignment="1">
      <alignment horizontal="left"/>
    </xf>
    <xf numFmtId="171" fontId="33" fillId="8" borderId="2" xfId="0" applyNumberFormat="1" applyFont="1" applyFill="1" applyBorder="1" applyAlignment="1">
      <alignment horizontal="left"/>
    </xf>
    <xf numFmtId="171" fontId="0" fillId="0" borderId="2" xfId="1" applyNumberFormat="1" applyFont="1" applyBorder="1" applyAlignment="1">
      <alignment horizontal="left"/>
    </xf>
    <xf numFmtId="171" fontId="0" fillId="0" borderId="0" xfId="1" applyNumberFormat="1" applyFont="1" applyBorder="1" applyAlignment="1">
      <alignment horizontal="left"/>
    </xf>
    <xf numFmtId="171" fontId="7" fillId="4" borderId="0" xfId="0" applyNumberFormat="1" applyFont="1" applyFill="1"/>
    <xf numFmtId="171" fontId="7" fillId="0" borderId="0" xfId="0" applyNumberFormat="1" applyFont="1"/>
    <xf numFmtId="171" fontId="7" fillId="0" borderId="0" xfId="0" applyNumberFormat="1" applyFont="1" applyAlignment="1">
      <alignment wrapText="1"/>
    </xf>
    <xf numFmtId="172" fontId="0" fillId="0" borderId="0" xfId="0" applyNumberFormat="1"/>
    <xf numFmtId="0" fontId="38" fillId="0" borderId="0" xfId="0" applyFont="1"/>
    <xf numFmtId="171" fontId="0" fillId="0" borderId="0" xfId="0" applyNumberFormat="1" applyAlignment="1">
      <alignment wrapText="1"/>
    </xf>
    <xf numFmtId="0" fontId="37" fillId="10" borderId="0" xfId="0" applyFont="1" applyFill="1"/>
    <xf numFmtId="171" fontId="1" fillId="10" borderId="0" xfId="0" applyNumberFormat="1" applyFont="1" applyFill="1" applyAlignment="1">
      <alignment wrapText="1"/>
    </xf>
    <xf numFmtId="169" fontId="1" fillId="10" borderId="0" xfId="1" applyNumberFormat="1" applyFont="1" applyFill="1" applyBorder="1" applyAlignment="1">
      <alignment horizontal="left"/>
    </xf>
    <xf numFmtId="169" fontId="1" fillId="10" borderId="0" xfId="1" applyNumberFormat="1" applyFont="1" applyFill="1" applyAlignment="1">
      <alignment horizontal="left"/>
    </xf>
    <xf numFmtId="0" fontId="40" fillId="0" borderId="0" xfId="0" applyFont="1"/>
    <xf numFmtId="173" fontId="0" fillId="0" borderId="0" xfId="1" applyNumberFormat="1" applyFont="1" applyBorder="1" applyAlignment="1">
      <alignment horizontal="left"/>
    </xf>
    <xf numFmtId="173" fontId="0" fillId="0" borderId="0" xfId="1" applyNumberFormat="1" applyFont="1" applyAlignment="1">
      <alignment horizontal="left"/>
    </xf>
    <xf numFmtId="0" fontId="0" fillId="0" borderId="0" xfId="1" applyNumberFormat="1" applyFont="1" applyBorder="1" applyAlignment="1">
      <alignment horizontal="right"/>
    </xf>
    <xf numFmtId="0" fontId="0" fillId="0" borderId="0" xfId="0" applyAlignment="1">
      <alignment horizontal="right"/>
    </xf>
    <xf numFmtId="0" fontId="41" fillId="0" borderId="0" xfId="0" applyFont="1"/>
    <xf numFmtId="170" fontId="0" fillId="0" borderId="0" xfId="0" applyNumberFormat="1" applyAlignment="1"/>
    <xf numFmtId="3" fontId="0" fillId="0" borderId="0" xfId="0" applyNumberFormat="1" applyBorder="1"/>
    <xf numFmtId="167" fontId="0" fillId="0" borderId="0" xfId="0" applyNumberFormat="1"/>
    <xf numFmtId="174" fontId="0" fillId="0" borderId="0" xfId="0" applyNumberFormat="1"/>
    <xf numFmtId="3" fontId="29" fillId="26" borderId="0" xfId="0" applyNumberFormat="1" applyFont="1" applyFill="1"/>
    <xf numFmtId="0" fontId="0" fillId="0" borderId="0" xfId="0" applyAlignment="1">
      <alignment wrapText="1"/>
    </xf>
    <xf numFmtId="3" fontId="48" fillId="0" borderId="2" xfId="8" applyNumberFormat="1" applyFont="1" applyBorder="1" applyAlignment="1">
      <alignment horizontal="right" wrapText="1"/>
    </xf>
    <xf numFmtId="3" fontId="39" fillId="0" borderId="0" xfId="0" applyNumberFormat="1" applyFont="1"/>
    <xf numFmtId="0" fontId="0" fillId="0" borderId="0" xfId="0" applyBorder="1"/>
    <xf numFmtId="0" fontId="29" fillId="0" borderId="0" xfId="0" applyFont="1" applyBorder="1" applyAlignment="1">
      <alignment vertical="center" wrapText="1"/>
    </xf>
    <xf numFmtId="0" fontId="62" fillId="0" borderId="0" xfId="0" applyFont="1"/>
    <xf numFmtId="0" fontId="63" fillId="0" borderId="2" xfId="0" applyFont="1" applyBorder="1" applyAlignment="1">
      <alignment vertical="center" wrapText="1"/>
    </xf>
    <xf numFmtId="0" fontId="63" fillId="0" borderId="2" xfId="0" applyFont="1" applyBorder="1" applyAlignment="1">
      <alignment horizontal="center" vertical="center" wrapText="1"/>
    </xf>
    <xf numFmtId="0" fontId="63" fillId="0" borderId="8" xfId="0" applyFont="1" applyBorder="1" applyAlignment="1">
      <alignment horizontal="center" vertical="center" wrapText="1"/>
    </xf>
    <xf numFmtId="0" fontId="63" fillId="0" borderId="10" xfId="0" applyFont="1" applyBorder="1" applyAlignment="1">
      <alignment horizontal="center" vertical="center" wrapText="1"/>
    </xf>
    <xf numFmtId="0" fontId="64" fillId="0" borderId="10" xfId="0" applyFont="1" applyBorder="1" applyAlignment="1">
      <alignment wrapText="1"/>
    </xf>
    <xf numFmtId="0" fontId="62" fillId="0" borderId="2" xfId="0" applyFont="1" applyBorder="1" applyAlignment="1">
      <alignment vertical="center" wrapText="1"/>
    </xf>
    <xf numFmtId="6" fontId="0" fillId="0" borderId="0" xfId="0" applyNumberFormat="1"/>
    <xf numFmtId="6" fontId="47" fillId="0" borderId="2" xfId="0" applyNumberFormat="1" applyFont="1" applyBorder="1" applyAlignment="1">
      <alignment horizontal="center" vertical="center" wrapText="1"/>
    </xf>
    <xf numFmtId="0" fontId="47" fillId="0" borderId="2" xfId="0" applyFont="1" applyBorder="1" applyAlignment="1">
      <alignment horizontal="center" vertical="center" wrapText="1"/>
    </xf>
    <xf numFmtId="0" fontId="47" fillId="0" borderId="8" xfId="0" applyFont="1" applyBorder="1" applyAlignment="1">
      <alignment horizontal="center" vertical="center" wrapText="1"/>
    </xf>
    <xf numFmtId="3" fontId="47" fillId="0" borderId="10" xfId="0" applyNumberFormat="1" applyFont="1" applyBorder="1" applyAlignment="1">
      <alignment horizontal="center" vertical="center" wrapText="1"/>
    </xf>
    <xf numFmtId="3" fontId="62" fillId="0" borderId="10" xfId="0" applyNumberFormat="1" applyFont="1" applyBorder="1"/>
    <xf numFmtId="0" fontId="47" fillId="0" borderId="10" xfId="0" applyFont="1" applyBorder="1" applyAlignment="1">
      <alignment horizontal="center" vertical="center" wrapText="1"/>
    </xf>
    <xf numFmtId="0" fontId="62" fillId="0" borderId="10" xfId="0" applyFont="1" applyBorder="1"/>
    <xf numFmtId="0" fontId="65" fillId="0" borderId="2" xfId="0" applyFont="1" applyBorder="1" applyAlignment="1">
      <alignment vertical="center" wrapText="1"/>
    </xf>
    <xf numFmtId="6" fontId="65" fillId="0" borderId="2" xfId="0" applyNumberFormat="1" applyFont="1" applyBorder="1"/>
    <xf numFmtId="0" fontId="65" fillId="0" borderId="2" xfId="0" applyFont="1" applyBorder="1"/>
    <xf numFmtId="0" fontId="65" fillId="0" borderId="8" xfId="0" applyFont="1" applyBorder="1"/>
    <xf numFmtId="3" fontId="65" fillId="0" borderId="10" xfId="0" applyNumberFormat="1" applyFont="1" applyBorder="1" applyAlignment="1">
      <alignment horizontal="center"/>
    </xf>
    <xf numFmtId="3" fontId="63" fillId="0" borderId="10" xfId="0" applyNumberFormat="1" applyFont="1" applyBorder="1"/>
    <xf numFmtId="0" fontId="47" fillId="0" borderId="0" xfId="0" applyFont="1" applyAlignment="1">
      <alignment horizontal="center" vertical="center"/>
    </xf>
    <xf numFmtId="0" fontId="47" fillId="0" borderId="0" xfId="0" applyFont="1" applyAlignment="1">
      <alignment horizontal="center" vertical="center" wrapText="1"/>
    </xf>
    <xf numFmtId="6" fontId="62" fillId="0" borderId="0" xfId="0" applyNumberFormat="1" applyFont="1"/>
    <xf numFmtId="0" fontId="62" fillId="0" borderId="0" xfId="0" applyFont="1" applyAlignment="1">
      <alignment vertical="center" wrapText="1"/>
    </xf>
    <xf numFmtId="8" fontId="62" fillId="0" borderId="0" xfId="0" applyNumberFormat="1" applyFont="1"/>
    <xf numFmtId="6" fontId="47" fillId="0" borderId="0" xfId="0" applyNumberFormat="1" applyFont="1" applyAlignment="1">
      <alignment horizontal="right" wrapText="1"/>
    </xf>
    <xf numFmtId="0" fontId="66" fillId="0" borderId="8" xfId="0" applyFont="1" applyBorder="1"/>
    <xf numFmtId="3" fontId="0" fillId="0" borderId="9" xfId="0" applyNumberFormat="1" applyBorder="1"/>
    <xf numFmtId="0" fontId="0" fillId="0" borderId="9" xfId="0" applyBorder="1"/>
    <xf numFmtId="0" fontId="0" fillId="0" borderId="20" xfId="0" applyBorder="1"/>
    <xf numFmtId="0" fontId="67" fillId="0" borderId="2" xfId="0" applyFont="1" applyBorder="1"/>
    <xf numFmtId="0" fontId="67" fillId="58" borderId="2" xfId="0" applyFont="1" applyFill="1" applyBorder="1" applyAlignment="1">
      <alignment wrapText="1"/>
    </xf>
    <xf numFmtId="0" fontId="67" fillId="0" borderId="2" xfId="0" applyFont="1" applyBorder="1" applyAlignment="1">
      <alignment wrapText="1"/>
    </xf>
    <xf numFmtId="0" fontId="29" fillId="0" borderId="2" xfId="0" applyFont="1" applyBorder="1"/>
    <xf numFmtId="3" fontId="0" fillId="0" borderId="2" xfId="0" applyNumberFormat="1" applyBorder="1"/>
    <xf numFmtId="0" fontId="0" fillId="0" borderId="2" xfId="0" applyBorder="1"/>
    <xf numFmtId="0" fontId="29" fillId="0" borderId="0" xfId="0" applyFont="1" applyAlignment="1">
      <alignment wrapText="1"/>
    </xf>
    <xf numFmtId="0" fontId="29" fillId="58" borderId="0" xfId="0" applyFont="1" applyFill="1"/>
    <xf numFmtId="3" fontId="0" fillId="58" borderId="0" xfId="0" applyNumberFormat="1" applyFill="1"/>
    <xf numFmtId="0" fontId="0" fillId="58" borderId="0" xfId="0" applyFill="1"/>
    <xf numFmtId="0" fontId="29" fillId="59" borderId="2" xfId="0" applyFont="1" applyFill="1" applyBorder="1"/>
    <xf numFmtId="1" fontId="0" fillId="0" borderId="0" xfId="0" applyNumberFormat="1"/>
    <xf numFmtId="166" fontId="0" fillId="0" borderId="0" xfId="0" applyNumberFormat="1"/>
    <xf numFmtId="175" fontId="0" fillId="0" borderId="0" xfId="0" applyNumberFormat="1"/>
    <xf numFmtId="38" fontId="0" fillId="0" borderId="0" xfId="0" applyNumberFormat="1"/>
    <xf numFmtId="0" fontId="0" fillId="61" borderId="0" xfId="0" applyFill="1" applyAlignment="1">
      <alignment wrapText="1"/>
    </xf>
    <xf numFmtId="0" fontId="0" fillId="8" borderId="0" xfId="0" applyFill="1" applyAlignment="1">
      <alignment wrapText="1"/>
    </xf>
    <xf numFmtId="0" fontId="29" fillId="14" borderId="0" xfId="0" applyFont="1" applyFill="1" applyAlignment="1">
      <alignment wrapText="1"/>
    </xf>
    <xf numFmtId="0" fontId="0" fillId="14" borderId="0" xfId="0" applyFill="1" applyAlignment="1">
      <alignment wrapText="1"/>
    </xf>
    <xf numFmtId="0" fontId="29" fillId="62" borderId="0" xfId="0" applyFont="1" applyFill="1" applyAlignment="1">
      <alignment wrapText="1"/>
    </xf>
    <xf numFmtId="0" fontId="0" fillId="62" borderId="0" xfId="0" applyFill="1" applyAlignment="1">
      <alignment wrapText="1"/>
    </xf>
    <xf numFmtId="0" fontId="29" fillId="60" borderId="0" xfId="0" applyFont="1" applyFill="1" applyAlignment="1">
      <alignment wrapText="1"/>
    </xf>
    <xf numFmtId="0" fontId="0" fillId="60" borderId="0" xfId="0" applyFill="1" applyAlignment="1">
      <alignment wrapText="1"/>
    </xf>
    <xf numFmtId="0" fontId="68" fillId="0" borderId="0" xfId="0" applyFont="1"/>
    <xf numFmtId="1" fontId="68" fillId="0" borderId="0" xfId="0" applyNumberFormat="1" applyFont="1"/>
    <xf numFmtId="166" fontId="68" fillId="0" borderId="0" xfId="0" applyNumberFormat="1" applyFont="1"/>
    <xf numFmtId="2" fontId="68" fillId="0" borderId="0" xfId="0" applyNumberFormat="1" applyFont="1"/>
    <xf numFmtId="0" fontId="69" fillId="0" borderId="0" xfId="0" applyFont="1"/>
    <xf numFmtId="3" fontId="69" fillId="0" borderId="0" xfId="0" applyNumberFormat="1" applyFont="1"/>
    <xf numFmtId="0" fontId="70" fillId="0" borderId="0" xfId="0" applyFont="1"/>
    <xf numFmtId="165" fontId="0" fillId="0" borderId="0" xfId="0" applyNumberFormat="1" applyBorder="1"/>
    <xf numFmtId="1" fontId="0" fillId="0" borderId="0" xfId="0" applyNumberFormat="1" applyBorder="1"/>
    <xf numFmtId="166" fontId="0" fillId="0" borderId="0" xfId="0" applyNumberFormat="1" applyBorder="1"/>
    <xf numFmtId="14" fontId="23" fillId="0" borderId="0" xfId="0" applyNumberFormat="1" applyFont="1"/>
    <xf numFmtId="3" fontId="37" fillId="0" borderId="0" xfId="0" applyNumberFormat="1" applyFont="1"/>
    <xf numFmtId="8" fontId="22" fillId="0" borderId="0" xfId="0" applyNumberFormat="1" applyFont="1"/>
    <xf numFmtId="3" fontId="22" fillId="0" borderId="0" xfId="0" applyNumberFormat="1" applyFont="1"/>
    <xf numFmtId="2" fontId="7" fillId="0" borderId="0" xfId="0" applyNumberFormat="1" applyFont="1"/>
    <xf numFmtId="3" fontId="7" fillId="0" borderId="0" xfId="0" applyNumberFormat="1" applyFont="1"/>
    <xf numFmtId="2" fontId="37" fillId="0" borderId="0" xfId="0" applyNumberFormat="1" applyFont="1"/>
    <xf numFmtId="0" fontId="31" fillId="0" borderId="0" xfId="0" applyFont="1" applyFill="1"/>
    <xf numFmtId="0" fontId="42" fillId="0" borderId="0" xfId="0" applyFont="1" applyFill="1"/>
    <xf numFmtId="2" fontId="31" fillId="0" borderId="0" xfId="0" applyNumberFormat="1" applyFont="1" applyFill="1"/>
    <xf numFmtId="0" fontId="23" fillId="0" borderId="0" xfId="0" applyFont="1"/>
    <xf numFmtId="0" fontId="22" fillId="0" borderId="0" xfId="0" applyFont="1"/>
    <xf numFmtId="0" fontId="14" fillId="0" borderId="0" xfId="0" applyFont="1" applyAlignment="1">
      <alignment wrapText="1"/>
    </xf>
    <xf numFmtId="4" fontId="32" fillId="0" borderId="0" xfId="0" applyNumberFormat="1" applyFont="1" applyAlignment="1">
      <alignment horizontal="right"/>
    </xf>
    <xf numFmtId="0" fontId="1" fillId="18" borderId="0" xfId="0" applyFont="1" applyFill="1" applyAlignment="1">
      <alignment wrapText="1"/>
    </xf>
    <xf numFmtId="0" fontId="1" fillId="8" borderId="0" xfId="0" applyFont="1" applyFill="1" applyAlignment="1">
      <alignment wrapText="1"/>
    </xf>
    <xf numFmtId="0" fontId="0" fillId="0" borderId="0" xfId="0" applyAlignment="1">
      <alignment wrapText="1"/>
    </xf>
    <xf numFmtId="0" fontId="1" fillId="6" borderId="0" xfId="0" applyFont="1" applyFill="1" applyAlignment="1">
      <alignment wrapText="1"/>
    </xf>
    <xf numFmtId="0" fontId="71" fillId="0" borderId="2" xfId="0" applyFont="1" applyFill="1" applyBorder="1" applyAlignment="1">
      <alignment wrapText="1"/>
    </xf>
    <xf numFmtId="0" fontId="71" fillId="0" borderId="20" xfId="0" applyFont="1" applyFill="1" applyBorder="1" applyAlignment="1">
      <alignment wrapText="1"/>
    </xf>
    <xf numFmtId="0" fontId="71" fillId="12" borderId="20" xfId="0" applyFont="1" applyFill="1" applyBorder="1" applyAlignment="1">
      <alignment wrapText="1"/>
    </xf>
    <xf numFmtId="0" fontId="13" fillId="0" borderId="2" xfId="0" applyFont="1" applyBorder="1" applyAlignment="1">
      <alignment wrapText="1"/>
    </xf>
    <xf numFmtId="3" fontId="72" fillId="0" borderId="0" xfId="0" applyNumberFormat="1" applyFont="1" applyAlignment="1">
      <alignment wrapText="1"/>
    </xf>
    <xf numFmtId="167" fontId="72" fillId="0" borderId="0" xfId="0" applyNumberFormat="1" applyFont="1" applyAlignment="1">
      <alignment wrapText="1"/>
    </xf>
    <xf numFmtId="0" fontId="14" fillId="0" borderId="0" xfId="0" applyFont="1" applyAlignment="1">
      <alignment wrapText="1"/>
    </xf>
    <xf numFmtId="0" fontId="20" fillId="0" borderId="4" xfId="0" applyFont="1" applyBorder="1" applyAlignment="1">
      <alignment wrapText="1"/>
    </xf>
    <xf numFmtId="0" fontId="10" fillId="0" borderId="4" xfId="0" applyFont="1" applyBorder="1" applyAlignment="1">
      <alignment wrapText="1"/>
    </xf>
    <xf numFmtId="0" fontId="23" fillId="0" borderId="0" xfId="0" applyFont="1" applyAlignment="1"/>
    <xf numFmtId="0" fontId="22" fillId="0" borderId="0" xfId="0" applyFont="1" applyAlignment="1"/>
    <xf numFmtId="4" fontId="32" fillId="0" borderId="0" xfId="0" applyNumberFormat="1" applyFont="1" applyAlignment="1">
      <alignment horizontal="right" vertical="top"/>
    </xf>
    <xf numFmtId="2" fontId="32" fillId="0" borderId="0" xfId="0" applyNumberFormat="1" applyFont="1" applyAlignment="1">
      <alignment horizontal="right" vertical="top"/>
    </xf>
    <xf numFmtId="4" fontId="32" fillId="0" borderId="0" xfId="0" applyNumberFormat="1" applyFont="1" applyAlignment="1">
      <alignment horizontal="right"/>
    </xf>
    <xf numFmtId="2" fontId="32" fillId="0" borderId="0" xfId="0" applyNumberFormat="1" applyFont="1" applyAlignment="1">
      <alignment horizontal="right"/>
    </xf>
    <xf numFmtId="0" fontId="31" fillId="0" borderId="0" xfId="0" applyFont="1" applyAlignment="1">
      <alignment horizontal="left"/>
    </xf>
    <xf numFmtId="0" fontId="0" fillId="0" borderId="0" xfId="0" applyAlignment="1">
      <alignment horizontal="left" wrapText="1"/>
    </xf>
    <xf numFmtId="0" fontId="1" fillId="18" borderId="0" xfId="0" applyFont="1" applyFill="1" applyAlignment="1">
      <alignment wrapText="1"/>
    </xf>
    <xf numFmtId="0" fontId="1" fillId="8" borderId="0" xfId="0" applyFont="1" applyFill="1" applyAlignment="1">
      <alignment wrapText="1"/>
    </xf>
    <xf numFmtId="0" fontId="0" fillId="0" borderId="0" xfId="0" applyAlignment="1">
      <alignment wrapText="1"/>
    </xf>
    <xf numFmtId="0" fontId="1" fillId="6" borderId="0" xfId="0" applyFont="1" applyFill="1" applyAlignment="1">
      <alignment wrapText="1"/>
    </xf>
    <xf numFmtId="0" fontId="1" fillId="7" borderId="0" xfId="0" applyFont="1" applyFill="1" applyAlignment="1">
      <alignment horizontal="left"/>
    </xf>
  </cellXfs>
  <cellStyles count="46">
    <cellStyle name="20% - Accent1 2" xfId="22" xr:uid="{3C960396-7969-4AA8-A092-AA9961197855}"/>
    <cellStyle name="20% - Accent2 2" xfId="26" xr:uid="{0EDC7B9D-7BBB-4C06-AB5F-0044D92974AE}"/>
    <cellStyle name="20% - Accent3 2" xfId="30" xr:uid="{821D9DB0-65B8-439D-BC16-F08A251C2B7A}"/>
    <cellStyle name="20% - Accent4 2" xfId="34" xr:uid="{3AD0F8B1-149D-4F93-820F-8BF2E0A2825A}"/>
    <cellStyle name="20% - Accent5 2" xfId="38" xr:uid="{20165634-4EC5-421D-8A12-9B466C9AE843}"/>
    <cellStyle name="20% - Accent6 2" xfId="42" xr:uid="{1F1C12DD-E0AF-4039-93DB-2B7BB5DF9488}"/>
    <cellStyle name="40% - Accent1 2" xfId="23" xr:uid="{694B5397-004A-4C5F-A4E3-8EB57AF82B24}"/>
    <cellStyle name="40% - Accent2 2" xfId="27" xr:uid="{3CE79C54-29E5-4019-8AD2-410E8D415C78}"/>
    <cellStyle name="40% - Accent3 2" xfId="31" xr:uid="{63F8AA5D-D32E-446D-831B-1C1BC3408672}"/>
    <cellStyle name="40% - Accent4 2" xfId="35" xr:uid="{B8F65D83-A1C5-4949-9D03-07293A3B0924}"/>
    <cellStyle name="40% - Accent5 2" xfId="39" xr:uid="{C8B8F0ED-9A09-4C99-8EFB-8C66B5413E7A}"/>
    <cellStyle name="40% - Accent6 2" xfId="43" xr:uid="{7882B319-E7DE-4C5E-99B7-06A7DE1ECEF4}"/>
    <cellStyle name="60% - Accent1 2" xfId="24" xr:uid="{B7BC6237-7A36-402B-9B15-C1D0448B878A}"/>
    <cellStyle name="60% - Accent2 2" xfId="28" xr:uid="{C2D588D1-E57D-4486-9C69-5FE0CDDFAC18}"/>
    <cellStyle name="60% - Accent3 2" xfId="32" xr:uid="{25583DB0-D329-4F80-B8B7-BE10D0851F07}"/>
    <cellStyle name="60% - Accent4 2" xfId="36" xr:uid="{BFA37504-A9DD-46A5-A109-73AC70525EF7}"/>
    <cellStyle name="60% - Accent5 2" xfId="40" xr:uid="{3E6C6A8C-25ED-447D-AB76-7F5C373408CC}"/>
    <cellStyle name="60% - Accent6 2" xfId="44" xr:uid="{5FA55313-C31B-4B7F-9F64-C01E3D0E1AA8}"/>
    <cellStyle name="Accent1 2" xfId="21" xr:uid="{A723D07D-3309-44CB-BB8F-63D912A8E36A}"/>
    <cellStyle name="Accent2 2" xfId="25" xr:uid="{0781CAC2-1015-4BCD-9737-8640BB649BBE}"/>
    <cellStyle name="Accent3 2" xfId="29" xr:uid="{D89607CF-5E56-47CE-BA1C-AE8EC2D229F6}"/>
    <cellStyle name="Accent4 2" xfId="33" xr:uid="{486062EF-6FA3-45C4-B4BC-4DDD254527F9}"/>
    <cellStyle name="Accent5 2" xfId="37" xr:uid="{65F05E9D-59DB-407E-8D43-B55DE65E9C91}"/>
    <cellStyle name="Accent6 2" xfId="41" xr:uid="{9A7C18F3-CFCC-4275-A83F-04B2556F78C7}"/>
    <cellStyle name="Bad 2" xfId="10" xr:uid="{8A6F8858-059C-42A5-B859-D467E546635B}"/>
    <cellStyle name="Calculation 2" xfId="14" xr:uid="{281BA30B-63F7-4B5B-BDC0-D630D8F709DA}"/>
    <cellStyle name="Check Cell 2" xfId="16" xr:uid="{85B9A381-FE6B-4C93-8856-4EEDD1C10FD8}"/>
    <cellStyle name="Comma" xfId="1" builtinId="3"/>
    <cellStyle name="Explanatory Text 2" xfId="19" xr:uid="{098C62D0-6659-478D-A963-7DCA85184727}"/>
    <cellStyle name="Good 2" xfId="9" xr:uid="{AFD077A5-583F-4CF9-AD0E-207B28AA70CA}"/>
    <cellStyle name="Heading 1" xfId="4" builtinId="16" customBuiltin="1"/>
    <cellStyle name="Heading 2" xfId="5" builtinId="17" customBuiltin="1"/>
    <cellStyle name="Heading 3" xfId="6" builtinId="18" customBuiltin="1"/>
    <cellStyle name="Heading 4" xfId="7" builtinId="19" customBuiltin="1"/>
    <cellStyle name="Hyperlink" xfId="2" builtinId="8"/>
    <cellStyle name="Input 2" xfId="12" xr:uid="{1A2029D3-BC99-4D9F-9978-6C55A5ACD2CB}"/>
    <cellStyle name="Linked Cell 2" xfId="15" xr:uid="{60601135-5800-4023-9685-789F1A3AB71C}"/>
    <cellStyle name="Neutral 2" xfId="11" xr:uid="{51BB764A-8148-4329-8988-63F5255CE4C2}"/>
    <cellStyle name="Normal" xfId="0" builtinId="0"/>
    <cellStyle name="Normal 2" xfId="8" xr:uid="{24075645-ACDF-4AC9-92C1-1187563EECDE}"/>
    <cellStyle name="Note 2" xfId="18" xr:uid="{3F0D7E27-DC67-481B-A659-3CA25F063CD3}"/>
    <cellStyle name="Output 2" xfId="13" xr:uid="{899E11DA-944A-4C59-824C-2B88FEFD0465}"/>
    <cellStyle name="Percent 2" xfId="45" xr:uid="{141F061C-B2BB-4913-9E92-EFC0B1CFCCDD}"/>
    <cellStyle name="Title" xfId="3" builtinId="15" customBuiltin="1"/>
    <cellStyle name="Total 2" xfId="20" xr:uid="{6BE0940D-E6B2-4C66-9B62-66D844704EE1}"/>
    <cellStyle name="Warning Text 2" xfId="17" xr:uid="{CB93BFF8-80CC-4FFB-97CD-D8DAF98880E7}"/>
  </cellStyles>
  <dxfs count="0"/>
  <tableStyles count="0" defaultTableStyle="TableStyleMedium2" defaultPivotStyle="PivotStyleLight16"/>
  <colors>
    <mruColors>
      <color rgb="FFCC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modeled emissions rates fitted to LRMER</a:t>
            </a:r>
            <a:r>
              <a:rPr lang="en-US" sz="1200" baseline="0"/>
              <a:t> estimates</a:t>
            </a:r>
            <a:endParaRPr lang="en-US" sz="12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'Electricity emission rates'!$B$30</c:f>
              <c:strCache>
                <c:ptCount val="1"/>
                <c:pt idx="0">
                  <c:v> MN - CO2e - Metric Ton/MWH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'Electricity emission rates'!$A$31:$A$57</c:f>
              <c:numCache>
                <c:formatCode>General</c:formatCode>
                <c:ptCount val="27"/>
                <c:pt idx="0">
                  <c:v>2050</c:v>
                </c:pt>
                <c:pt idx="1">
                  <c:v>2049</c:v>
                </c:pt>
                <c:pt idx="2">
                  <c:v>2048</c:v>
                </c:pt>
                <c:pt idx="3">
                  <c:v>2047</c:v>
                </c:pt>
                <c:pt idx="4">
                  <c:v>2046</c:v>
                </c:pt>
                <c:pt idx="5">
                  <c:v>2045</c:v>
                </c:pt>
                <c:pt idx="6">
                  <c:v>2044</c:v>
                </c:pt>
                <c:pt idx="7">
                  <c:v>2043</c:v>
                </c:pt>
                <c:pt idx="8">
                  <c:v>2042</c:v>
                </c:pt>
                <c:pt idx="9">
                  <c:v>2041</c:v>
                </c:pt>
                <c:pt idx="10">
                  <c:v>2040</c:v>
                </c:pt>
                <c:pt idx="11">
                  <c:v>2039</c:v>
                </c:pt>
                <c:pt idx="12">
                  <c:v>2038</c:v>
                </c:pt>
                <c:pt idx="13">
                  <c:v>2037</c:v>
                </c:pt>
                <c:pt idx="14">
                  <c:v>2036</c:v>
                </c:pt>
                <c:pt idx="15">
                  <c:v>2035</c:v>
                </c:pt>
                <c:pt idx="16">
                  <c:v>2034</c:v>
                </c:pt>
                <c:pt idx="17">
                  <c:v>2033</c:v>
                </c:pt>
                <c:pt idx="18">
                  <c:v>2032</c:v>
                </c:pt>
                <c:pt idx="19">
                  <c:v>2031</c:v>
                </c:pt>
                <c:pt idx="20">
                  <c:v>2030</c:v>
                </c:pt>
                <c:pt idx="21">
                  <c:v>2029</c:v>
                </c:pt>
                <c:pt idx="22">
                  <c:v>2028</c:v>
                </c:pt>
                <c:pt idx="23">
                  <c:v>2027</c:v>
                </c:pt>
                <c:pt idx="24">
                  <c:v>2026</c:v>
                </c:pt>
                <c:pt idx="25">
                  <c:v>2025</c:v>
                </c:pt>
                <c:pt idx="26">
                  <c:v>2024</c:v>
                </c:pt>
              </c:numCache>
            </c:numRef>
          </c:xVal>
          <c:yVal>
            <c:numRef>
              <c:f>'Electricity emission rates'!$B$31:$B$57</c:f>
              <c:numCache>
                <c:formatCode>_(* #,##0.00000_);_(* \(#,##0.00000\);_(* "-"??_);_(@_)</c:formatCode>
                <c:ptCount val="27"/>
                <c:pt idx="0">
                  <c:v>3.9714000000000006E-2</c:v>
                </c:pt>
                <c:pt idx="5">
                  <c:v>6.6528000000000004E-2</c:v>
                </c:pt>
                <c:pt idx="10">
                  <c:v>9.8901500000000003E-2</c:v>
                </c:pt>
                <c:pt idx="15">
                  <c:v>9.8304149999999993E-2</c:v>
                </c:pt>
                <c:pt idx="20">
                  <c:v>8.28903E-2</c:v>
                </c:pt>
                <c:pt idx="22">
                  <c:v>0.11658265000000001</c:v>
                </c:pt>
                <c:pt idx="24">
                  <c:v>0.1868544</c:v>
                </c:pt>
                <c:pt idx="26">
                  <c:v>0.24352584999999999</c:v>
                </c:pt>
              </c:numCache>
            </c:numRef>
          </c:yVal>
          <c:smooth val="1"/>
          <c:extLst>
            <c:ext xmlns:c16="http://schemas.microsoft.com/office/drawing/2014/chart" uri="{C3380CC4-5D6E-409C-BE32-E72D297353CC}">
              <c16:uniqueId val="{00000000-C620-486E-8644-01C24C0326B1}"/>
            </c:ext>
          </c:extLst>
        </c:ser>
        <c:ser>
          <c:idx val="1"/>
          <c:order val="1"/>
          <c:tx>
            <c:strRef>
              <c:f>'Electricity emission rates'!$C$30</c:f>
              <c:strCache>
                <c:ptCount val="1"/>
                <c:pt idx="0">
                  <c:v> MN - CO2e - Metric Ton/MWH - modeled annual rate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'Electricity emission rates'!$A$31:$A$57</c:f>
              <c:numCache>
                <c:formatCode>General</c:formatCode>
                <c:ptCount val="27"/>
                <c:pt idx="0">
                  <c:v>2050</c:v>
                </c:pt>
                <c:pt idx="1">
                  <c:v>2049</c:v>
                </c:pt>
                <c:pt idx="2">
                  <c:v>2048</c:v>
                </c:pt>
                <c:pt idx="3">
                  <c:v>2047</c:v>
                </c:pt>
                <c:pt idx="4">
                  <c:v>2046</c:v>
                </c:pt>
                <c:pt idx="5">
                  <c:v>2045</c:v>
                </c:pt>
                <c:pt idx="6">
                  <c:v>2044</c:v>
                </c:pt>
                <c:pt idx="7">
                  <c:v>2043</c:v>
                </c:pt>
                <c:pt idx="8">
                  <c:v>2042</c:v>
                </c:pt>
                <c:pt idx="9">
                  <c:v>2041</c:v>
                </c:pt>
                <c:pt idx="10">
                  <c:v>2040</c:v>
                </c:pt>
                <c:pt idx="11">
                  <c:v>2039</c:v>
                </c:pt>
                <c:pt idx="12">
                  <c:v>2038</c:v>
                </c:pt>
                <c:pt idx="13">
                  <c:v>2037</c:v>
                </c:pt>
                <c:pt idx="14">
                  <c:v>2036</c:v>
                </c:pt>
                <c:pt idx="15">
                  <c:v>2035</c:v>
                </c:pt>
                <c:pt idx="16">
                  <c:v>2034</c:v>
                </c:pt>
                <c:pt idx="17">
                  <c:v>2033</c:v>
                </c:pt>
                <c:pt idx="18">
                  <c:v>2032</c:v>
                </c:pt>
                <c:pt idx="19">
                  <c:v>2031</c:v>
                </c:pt>
                <c:pt idx="20">
                  <c:v>2030</c:v>
                </c:pt>
                <c:pt idx="21">
                  <c:v>2029</c:v>
                </c:pt>
                <c:pt idx="22">
                  <c:v>2028</c:v>
                </c:pt>
                <c:pt idx="23">
                  <c:v>2027</c:v>
                </c:pt>
                <c:pt idx="24">
                  <c:v>2026</c:v>
                </c:pt>
                <c:pt idx="25">
                  <c:v>2025</c:v>
                </c:pt>
                <c:pt idx="26">
                  <c:v>2024</c:v>
                </c:pt>
              </c:numCache>
            </c:numRef>
          </c:xVal>
          <c:yVal>
            <c:numRef>
              <c:f>'Electricity emission rates'!$C$31:$C$57</c:f>
              <c:numCache>
                <c:formatCode>_(* #,##0.0000_);_(* \(#,##0.0000\);_(* "-"??_);_(@_)</c:formatCode>
                <c:ptCount val="27"/>
                <c:pt idx="0">
                  <c:v>3.1800000000000002E-2</c:v>
                </c:pt>
                <c:pt idx="1">
                  <c:v>5.0099999999999999E-2</c:v>
                </c:pt>
                <c:pt idx="2">
                  <c:v>6.4500000000000002E-2</c:v>
                </c:pt>
                <c:pt idx="3">
                  <c:v>7.5600000000000001E-2</c:v>
                </c:pt>
                <c:pt idx="4">
                  <c:v>8.3500000000000005E-2</c:v>
                </c:pt>
                <c:pt idx="5">
                  <c:v>8.8800000000000004E-2</c:v>
                </c:pt>
                <c:pt idx="6">
                  <c:v>9.1800000000000007E-2</c:v>
                </c:pt>
                <c:pt idx="7">
                  <c:v>9.2799999999999994E-2</c:v>
                </c:pt>
                <c:pt idx="8">
                  <c:v>9.2299999999999993E-2</c:v>
                </c:pt>
                <c:pt idx="9">
                  <c:v>9.0700000000000003E-2</c:v>
                </c:pt>
                <c:pt idx="10">
                  <c:v>8.8200000000000001E-2</c:v>
                </c:pt>
                <c:pt idx="11">
                  <c:v>8.5400000000000004E-2</c:v>
                </c:pt>
                <c:pt idx="12">
                  <c:v>8.2400000000000001E-2</c:v>
                </c:pt>
                <c:pt idx="13">
                  <c:v>7.9799999999999996E-2</c:v>
                </c:pt>
                <c:pt idx="14">
                  <c:v>7.7899999999999997E-2</c:v>
                </c:pt>
                <c:pt idx="15">
                  <c:v>7.6999999999999999E-2</c:v>
                </c:pt>
                <c:pt idx="16">
                  <c:v>7.7499999999999999E-2</c:v>
                </c:pt>
                <c:pt idx="17">
                  <c:v>7.9799999999999996E-2</c:v>
                </c:pt>
                <c:pt idx="18">
                  <c:v>8.43E-2</c:v>
                </c:pt>
                <c:pt idx="19">
                  <c:v>9.1200000000000003E-2</c:v>
                </c:pt>
                <c:pt idx="20">
                  <c:v>0.10100000000000001</c:v>
                </c:pt>
                <c:pt idx="21">
                  <c:v>0.114</c:v>
                </c:pt>
                <c:pt idx="22">
                  <c:v>0.13059999999999999</c:v>
                </c:pt>
                <c:pt idx="23">
                  <c:v>0.1512</c:v>
                </c:pt>
                <c:pt idx="24">
                  <c:v>0.17599999999999999</c:v>
                </c:pt>
                <c:pt idx="25">
                  <c:v>0.2054</c:v>
                </c:pt>
                <c:pt idx="26">
                  <c:v>0.2399</c:v>
                </c:pt>
              </c:numCache>
            </c:numRef>
          </c:yVal>
          <c:smooth val="1"/>
          <c:extLst>
            <c:ext xmlns:c16="http://schemas.microsoft.com/office/drawing/2014/chart" uri="{C3380CC4-5D6E-409C-BE32-E72D297353CC}">
              <c16:uniqueId val="{00000001-C620-486E-8644-01C24C0326B1}"/>
            </c:ext>
          </c:extLst>
        </c:ser>
        <c:dLbls>
          <c:showLegendKey val="0"/>
          <c:showVal val="0"/>
          <c:showCatName val="0"/>
          <c:showSerName val="0"/>
          <c:showPercent val="0"/>
          <c:showBubbleSize val="0"/>
        </c:dLbls>
        <c:axId val="321091840"/>
        <c:axId val="321087880"/>
      </c:scatterChart>
      <c:valAx>
        <c:axId val="3210918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1087880"/>
        <c:crosses val="autoZero"/>
        <c:crossBetween val="midCat"/>
      </c:valAx>
      <c:valAx>
        <c:axId val="321087880"/>
        <c:scaling>
          <c:orientation val="minMax"/>
        </c:scaling>
        <c:delete val="0"/>
        <c:axPos val="l"/>
        <c:majorGridlines>
          <c:spPr>
            <a:ln w="9525" cap="flat" cmpd="sng" algn="ctr">
              <a:solidFill>
                <a:schemeClr val="tx1">
                  <a:lumMod val="15000"/>
                  <a:lumOff val="85000"/>
                </a:schemeClr>
              </a:solidFill>
              <a:round/>
            </a:ln>
            <a:effectLst/>
          </c:spPr>
        </c:majorGridlines>
        <c:numFmt formatCode="_(* #,##0.00000_);_(* \(#,##0.00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10918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Electricity emissions rates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89386951631046"/>
          <c:y val="0.10405405405405405"/>
          <c:w val="0.78601368578927633"/>
          <c:h val="0.69390863304249129"/>
        </c:manualLayout>
      </c:layout>
      <c:scatterChart>
        <c:scatterStyle val="smoothMarker"/>
        <c:varyColors val="0"/>
        <c:ser>
          <c:idx val="0"/>
          <c:order val="0"/>
          <c:tx>
            <c:v>LRMER projection</c:v>
          </c:tx>
          <c:spPr>
            <a:ln w="19050" cap="rnd">
              <a:noFill/>
              <a:round/>
            </a:ln>
            <a:effectLst/>
          </c:spPr>
          <c:marker>
            <c:symbol val="circle"/>
            <c:size val="5"/>
            <c:spPr>
              <a:solidFill>
                <a:schemeClr val="accent1"/>
              </a:solidFill>
              <a:ln w="9525">
                <a:solidFill>
                  <a:schemeClr val="accent1"/>
                </a:solidFill>
              </a:ln>
              <a:effectLst/>
            </c:spPr>
          </c:marker>
          <c:xVal>
            <c:numRef>
              <c:f>'Electricity emission rates'!$A$31:$A$57</c:f>
              <c:numCache>
                <c:formatCode>General</c:formatCode>
                <c:ptCount val="27"/>
                <c:pt idx="0">
                  <c:v>2050</c:v>
                </c:pt>
                <c:pt idx="1">
                  <c:v>2049</c:v>
                </c:pt>
                <c:pt idx="2">
                  <c:v>2048</c:v>
                </c:pt>
                <c:pt idx="3">
                  <c:v>2047</c:v>
                </c:pt>
                <c:pt idx="4">
                  <c:v>2046</c:v>
                </c:pt>
                <c:pt idx="5">
                  <c:v>2045</c:v>
                </c:pt>
                <c:pt idx="6">
                  <c:v>2044</c:v>
                </c:pt>
                <c:pt idx="7">
                  <c:v>2043</c:v>
                </c:pt>
                <c:pt idx="8">
                  <c:v>2042</c:v>
                </c:pt>
                <c:pt idx="9">
                  <c:v>2041</c:v>
                </c:pt>
                <c:pt idx="10">
                  <c:v>2040</c:v>
                </c:pt>
                <c:pt idx="11">
                  <c:v>2039</c:v>
                </c:pt>
                <c:pt idx="12">
                  <c:v>2038</c:v>
                </c:pt>
                <c:pt idx="13">
                  <c:v>2037</c:v>
                </c:pt>
                <c:pt idx="14">
                  <c:v>2036</c:v>
                </c:pt>
                <c:pt idx="15">
                  <c:v>2035</c:v>
                </c:pt>
                <c:pt idx="16">
                  <c:v>2034</c:v>
                </c:pt>
                <c:pt idx="17">
                  <c:v>2033</c:v>
                </c:pt>
                <c:pt idx="18">
                  <c:v>2032</c:v>
                </c:pt>
                <c:pt idx="19">
                  <c:v>2031</c:v>
                </c:pt>
                <c:pt idx="20">
                  <c:v>2030</c:v>
                </c:pt>
                <c:pt idx="21">
                  <c:v>2029</c:v>
                </c:pt>
                <c:pt idx="22">
                  <c:v>2028</c:v>
                </c:pt>
                <c:pt idx="23">
                  <c:v>2027</c:v>
                </c:pt>
                <c:pt idx="24">
                  <c:v>2026</c:v>
                </c:pt>
                <c:pt idx="25">
                  <c:v>2025</c:v>
                </c:pt>
                <c:pt idx="26">
                  <c:v>2024</c:v>
                </c:pt>
              </c:numCache>
            </c:numRef>
          </c:xVal>
          <c:yVal>
            <c:numRef>
              <c:f>'Electricity emission rates'!$B$31:$B$57</c:f>
              <c:numCache>
                <c:formatCode>_(* #,##0.00000_);_(* \(#,##0.00000\);_(* "-"??_);_(@_)</c:formatCode>
                <c:ptCount val="27"/>
                <c:pt idx="0">
                  <c:v>3.9714000000000006E-2</c:v>
                </c:pt>
                <c:pt idx="5">
                  <c:v>6.6528000000000004E-2</c:v>
                </c:pt>
                <c:pt idx="10">
                  <c:v>9.8901500000000003E-2</c:v>
                </c:pt>
                <c:pt idx="15">
                  <c:v>9.8304149999999993E-2</c:v>
                </c:pt>
                <c:pt idx="20">
                  <c:v>8.28903E-2</c:v>
                </c:pt>
                <c:pt idx="22">
                  <c:v>0.11658265000000001</c:v>
                </c:pt>
                <c:pt idx="24">
                  <c:v>0.1868544</c:v>
                </c:pt>
                <c:pt idx="26">
                  <c:v>0.24352584999999999</c:v>
                </c:pt>
              </c:numCache>
            </c:numRef>
          </c:yVal>
          <c:smooth val="1"/>
          <c:extLst>
            <c:ext xmlns:c16="http://schemas.microsoft.com/office/drawing/2014/chart" uri="{C3380CC4-5D6E-409C-BE32-E72D297353CC}">
              <c16:uniqueId val="{00000000-D61E-48DC-9952-4BA97B35E904}"/>
            </c:ext>
          </c:extLst>
        </c:ser>
        <c:ser>
          <c:idx val="1"/>
          <c:order val="1"/>
          <c:tx>
            <c:v>LRMER modeled fit</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'Electricity emission rates'!$A$31:$A$57</c:f>
              <c:numCache>
                <c:formatCode>General</c:formatCode>
                <c:ptCount val="27"/>
                <c:pt idx="0">
                  <c:v>2050</c:v>
                </c:pt>
                <c:pt idx="1">
                  <c:v>2049</c:v>
                </c:pt>
                <c:pt idx="2">
                  <c:v>2048</c:v>
                </c:pt>
                <c:pt idx="3">
                  <c:v>2047</c:v>
                </c:pt>
                <c:pt idx="4">
                  <c:v>2046</c:v>
                </c:pt>
                <c:pt idx="5">
                  <c:v>2045</c:v>
                </c:pt>
                <c:pt idx="6">
                  <c:v>2044</c:v>
                </c:pt>
                <c:pt idx="7">
                  <c:v>2043</c:v>
                </c:pt>
                <c:pt idx="8">
                  <c:v>2042</c:v>
                </c:pt>
                <c:pt idx="9">
                  <c:v>2041</c:v>
                </c:pt>
                <c:pt idx="10">
                  <c:v>2040</c:v>
                </c:pt>
                <c:pt idx="11">
                  <c:v>2039</c:v>
                </c:pt>
                <c:pt idx="12">
                  <c:v>2038</c:v>
                </c:pt>
                <c:pt idx="13">
                  <c:v>2037</c:v>
                </c:pt>
                <c:pt idx="14">
                  <c:v>2036</c:v>
                </c:pt>
                <c:pt idx="15">
                  <c:v>2035</c:v>
                </c:pt>
                <c:pt idx="16">
                  <c:v>2034</c:v>
                </c:pt>
                <c:pt idx="17">
                  <c:v>2033</c:v>
                </c:pt>
                <c:pt idx="18">
                  <c:v>2032</c:v>
                </c:pt>
                <c:pt idx="19">
                  <c:v>2031</c:v>
                </c:pt>
                <c:pt idx="20">
                  <c:v>2030</c:v>
                </c:pt>
                <c:pt idx="21">
                  <c:v>2029</c:v>
                </c:pt>
                <c:pt idx="22">
                  <c:v>2028</c:v>
                </c:pt>
                <c:pt idx="23">
                  <c:v>2027</c:v>
                </c:pt>
                <c:pt idx="24">
                  <c:v>2026</c:v>
                </c:pt>
                <c:pt idx="25">
                  <c:v>2025</c:v>
                </c:pt>
                <c:pt idx="26">
                  <c:v>2024</c:v>
                </c:pt>
              </c:numCache>
            </c:numRef>
          </c:xVal>
          <c:yVal>
            <c:numRef>
              <c:f>'Electricity emission rates'!$C$31:$C$57</c:f>
              <c:numCache>
                <c:formatCode>_(* #,##0.0000_);_(* \(#,##0.0000\);_(* "-"??_);_(@_)</c:formatCode>
                <c:ptCount val="27"/>
                <c:pt idx="0">
                  <c:v>3.1800000000000002E-2</c:v>
                </c:pt>
                <c:pt idx="1">
                  <c:v>5.0099999999999999E-2</c:v>
                </c:pt>
                <c:pt idx="2">
                  <c:v>6.4500000000000002E-2</c:v>
                </c:pt>
                <c:pt idx="3">
                  <c:v>7.5600000000000001E-2</c:v>
                </c:pt>
                <c:pt idx="4">
                  <c:v>8.3500000000000005E-2</c:v>
                </c:pt>
                <c:pt idx="5">
                  <c:v>8.8800000000000004E-2</c:v>
                </c:pt>
                <c:pt idx="6">
                  <c:v>9.1800000000000007E-2</c:v>
                </c:pt>
                <c:pt idx="7">
                  <c:v>9.2799999999999994E-2</c:v>
                </c:pt>
                <c:pt idx="8">
                  <c:v>9.2299999999999993E-2</c:v>
                </c:pt>
                <c:pt idx="9">
                  <c:v>9.0700000000000003E-2</c:v>
                </c:pt>
                <c:pt idx="10">
                  <c:v>8.8200000000000001E-2</c:v>
                </c:pt>
                <c:pt idx="11">
                  <c:v>8.5400000000000004E-2</c:v>
                </c:pt>
                <c:pt idx="12">
                  <c:v>8.2400000000000001E-2</c:v>
                </c:pt>
                <c:pt idx="13">
                  <c:v>7.9799999999999996E-2</c:v>
                </c:pt>
                <c:pt idx="14">
                  <c:v>7.7899999999999997E-2</c:v>
                </c:pt>
                <c:pt idx="15">
                  <c:v>7.6999999999999999E-2</c:v>
                </c:pt>
                <c:pt idx="16">
                  <c:v>7.7499999999999999E-2</c:v>
                </c:pt>
                <c:pt idx="17">
                  <c:v>7.9799999999999996E-2</c:v>
                </c:pt>
                <c:pt idx="18">
                  <c:v>8.43E-2</c:v>
                </c:pt>
                <c:pt idx="19">
                  <c:v>9.1200000000000003E-2</c:v>
                </c:pt>
                <c:pt idx="20">
                  <c:v>0.10100000000000001</c:v>
                </c:pt>
                <c:pt idx="21">
                  <c:v>0.114</c:v>
                </c:pt>
                <c:pt idx="22">
                  <c:v>0.13059999999999999</c:v>
                </c:pt>
                <c:pt idx="23">
                  <c:v>0.1512</c:v>
                </c:pt>
                <c:pt idx="24">
                  <c:v>0.17599999999999999</c:v>
                </c:pt>
                <c:pt idx="25">
                  <c:v>0.2054</c:v>
                </c:pt>
                <c:pt idx="26">
                  <c:v>0.2399</c:v>
                </c:pt>
              </c:numCache>
            </c:numRef>
          </c:yVal>
          <c:smooth val="1"/>
          <c:extLst>
            <c:ext xmlns:c16="http://schemas.microsoft.com/office/drawing/2014/chart" uri="{C3380CC4-5D6E-409C-BE32-E72D297353CC}">
              <c16:uniqueId val="{00000001-D61E-48DC-9952-4BA97B35E904}"/>
            </c:ext>
          </c:extLst>
        </c:ser>
        <c:ser>
          <c:idx val="2"/>
          <c:order val="2"/>
          <c:tx>
            <c:v>AEO2023 projection</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'Electricity emission rates'!$A$67:$A$93</c:f>
              <c:numCache>
                <c:formatCode>General</c:formatCode>
                <c:ptCount val="27"/>
                <c:pt idx="0">
                  <c:v>2050</c:v>
                </c:pt>
                <c:pt idx="1">
                  <c:v>2049</c:v>
                </c:pt>
                <c:pt idx="2">
                  <c:v>2048</c:v>
                </c:pt>
                <c:pt idx="3">
                  <c:v>2047</c:v>
                </c:pt>
                <c:pt idx="4">
                  <c:v>2046</c:v>
                </c:pt>
                <c:pt idx="5">
                  <c:v>2045</c:v>
                </c:pt>
                <c:pt idx="6">
                  <c:v>2044</c:v>
                </c:pt>
                <c:pt idx="7">
                  <c:v>2043</c:v>
                </c:pt>
                <c:pt idx="8">
                  <c:v>2042</c:v>
                </c:pt>
                <c:pt idx="9">
                  <c:v>2041</c:v>
                </c:pt>
                <c:pt idx="10">
                  <c:v>2040</c:v>
                </c:pt>
                <c:pt idx="11">
                  <c:v>2039</c:v>
                </c:pt>
                <c:pt idx="12">
                  <c:v>2038</c:v>
                </c:pt>
                <c:pt idx="13">
                  <c:v>2037</c:v>
                </c:pt>
                <c:pt idx="14">
                  <c:v>2036</c:v>
                </c:pt>
                <c:pt idx="15">
                  <c:v>2035</c:v>
                </c:pt>
                <c:pt idx="16">
                  <c:v>2034</c:v>
                </c:pt>
                <c:pt idx="17">
                  <c:v>2033</c:v>
                </c:pt>
                <c:pt idx="18">
                  <c:v>2032</c:v>
                </c:pt>
                <c:pt idx="19">
                  <c:v>2031</c:v>
                </c:pt>
                <c:pt idx="20">
                  <c:v>2030</c:v>
                </c:pt>
                <c:pt idx="21">
                  <c:v>2029</c:v>
                </c:pt>
                <c:pt idx="22">
                  <c:v>2028</c:v>
                </c:pt>
                <c:pt idx="23">
                  <c:v>2027</c:v>
                </c:pt>
                <c:pt idx="24">
                  <c:v>2026</c:v>
                </c:pt>
                <c:pt idx="25">
                  <c:v>2025</c:v>
                </c:pt>
                <c:pt idx="26">
                  <c:v>2024</c:v>
                </c:pt>
              </c:numCache>
            </c:numRef>
          </c:xVal>
          <c:yVal>
            <c:numRef>
              <c:f>'Electricity emission rates'!$E$67:$E$93</c:f>
              <c:numCache>
                <c:formatCode>0.0000</c:formatCode>
                <c:ptCount val="27"/>
                <c:pt idx="0">
                  <c:v>0.12614035300000001</c:v>
                </c:pt>
                <c:pt idx="1">
                  <c:v>0.125439408</c:v>
                </c:pt>
                <c:pt idx="2">
                  <c:v>0.12116115</c:v>
                </c:pt>
                <c:pt idx="3">
                  <c:v>0.11977204700000001</c:v>
                </c:pt>
                <c:pt idx="4">
                  <c:v>0.120902733</c:v>
                </c:pt>
                <c:pt idx="5">
                  <c:v>0.12004659400000001</c:v>
                </c:pt>
                <c:pt idx="6">
                  <c:v>0.120255494</c:v>
                </c:pt>
                <c:pt idx="7">
                  <c:v>0.11850186</c:v>
                </c:pt>
                <c:pt idx="8">
                  <c:v>0.11735214400000001</c:v>
                </c:pt>
                <c:pt idx="9">
                  <c:v>0.11614245600000001</c:v>
                </c:pt>
                <c:pt idx="10">
                  <c:v>0.114314769</c:v>
                </c:pt>
                <c:pt idx="11">
                  <c:v>0.11215070000000001</c:v>
                </c:pt>
                <c:pt idx="12">
                  <c:v>0.107558958</c:v>
                </c:pt>
                <c:pt idx="13">
                  <c:v>0.136688798</c:v>
                </c:pt>
                <c:pt idx="14">
                  <c:v>0.13466524499999999</c:v>
                </c:pt>
                <c:pt idx="15">
                  <c:v>0.13022985000000001</c:v>
                </c:pt>
                <c:pt idx="16">
                  <c:v>0.12924324400000001</c:v>
                </c:pt>
                <c:pt idx="17">
                  <c:v>0.12788165000000001</c:v>
                </c:pt>
                <c:pt idx="18">
                  <c:v>0.123259163</c:v>
                </c:pt>
                <c:pt idx="19">
                  <c:v>0.11993274800000001</c:v>
                </c:pt>
                <c:pt idx="20">
                  <c:v>0.120325768</c:v>
                </c:pt>
                <c:pt idx="21">
                  <c:v>0.137432261</c:v>
                </c:pt>
                <c:pt idx="22">
                  <c:v>0.19275235399999999</c:v>
                </c:pt>
                <c:pt idx="23">
                  <c:v>0.31149572800000003</c:v>
                </c:pt>
                <c:pt idx="24">
                  <c:v>0.34404914399999997</c:v>
                </c:pt>
                <c:pt idx="25">
                  <c:v>0.36955856500000001</c:v>
                </c:pt>
                <c:pt idx="26">
                  <c:v>0.39391518800000003</c:v>
                </c:pt>
              </c:numCache>
            </c:numRef>
          </c:yVal>
          <c:smooth val="1"/>
          <c:extLst>
            <c:ext xmlns:c16="http://schemas.microsoft.com/office/drawing/2014/chart" uri="{C3380CC4-5D6E-409C-BE32-E72D297353CC}">
              <c16:uniqueId val="{00000002-D61E-48DC-9952-4BA97B35E904}"/>
            </c:ext>
          </c:extLst>
        </c:ser>
        <c:dLbls>
          <c:showLegendKey val="0"/>
          <c:showVal val="0"/>
          <c:showCatName val="0"/>
          <c:showSerName val="0"/>
          <c:showPercent val="0"/>
          <c:showBubbleSize val="0"/>
        </c:dLbls>
        <c:axId val="321091840"/>
        <c:axId val="321087880"/>
      </c:scatterChart>
      <c:valAx>
        <c:axId val="3210918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1087880"/>
        <c:crosses val="autoZero"/>
        <c:crossBetween val="midCat"/>
      </c:valAx>
      <c:valAx>
        <c:axId val="321087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Metric</a:t>
                </a:r>
                <a:r>
                  <a:rPr lang="en-US" baseline="0"/>
                  <a:t> Tons CO₂-e/MWh</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00000_);_(* \(#,##0.00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10918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15</xdr:col>
      <xdr:colOff>601980</xdr:colOff>
      <xdr:row>28</xdr:row>
      <xdr:rowOff>57238</xdr:rowOff>
    </xdr:from>
    <xdr:to>
      <xdr:col>24</xdr:col>
      <xdr:colOff>396240</xdr:colOff>
      <xdr:row>45</xdr:row>
      <xdr:rowOff>17144</xdr:rowOff>
    </xdr:to>
    <xdr:pic>
      <xdr:nvPicPr>
        <xdr:cNvPr id="2" name="Picture 4">
          <a:extLst>
            <a:ext uri="{FF2B5EF4-FFF2-40B4-BE49-F238E27FC236}">
              <a16:creationId xmlns:a16="http://schemas.microsoft.com/office/drawing/2014/main" id="{5BAB83E1-C41C-9F16-623B-B84BDB2532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78440" y="4850218"/>
          <a:ext cx="5288280" cy="3074581"/>
        </a:xfrm>
        <a:prstGeom prst="rect">
          <a:avLst/>
        </a:prstGeom>
        <a:solidFill>
          <a:schemeClr val="bg1"/>
        </a:solidFill>
      </xdr:spPr>
    </xdr:pic>
    <xdr:clientData/>
  </xdr:twoCellAnchor>
  <xdr:twoCellAnchor>
    <xdr:from>
      <xdr:col>4</xdr:col>
      <xdr:colOff>240030</xdr:colOff>
      <xdr:row>44</xdr:row>
      <xdr:rowOff>133350</xdr:rowOff>
    </xdr:from>
    <xdr:to>
      <xdr:col>11</xdr:col>
      <xdr:colOff>495300</xdr:colOff>
      <xdr:row>57</xdr:row>
      <xdr:rowOff>137160</xdr:rowOff>
    </xdr:to>
    <xdr:graphicFrame macro="">
      <xdr:nvGraphicFramePr>
        <xdr:cNvPr id="71" name="Chart 5">
          <a:extLst>
            <a:ext uri="{FF2B5EF4-FFF2-40B4-BE49-F238E27FC236}">
              <a16:creationId xmlns:a16="http://schemas.microsoft.com/office/drawing/2014/main" id="{6A6D63E0-C6A0-29CC-A55C-121A58FF3E7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708658</xdr:colOff>
      <xdr:row>68</xdr:row>
      <xdr:rowOff>0</xdr:rowOff>
    </xdr:from>
    <xdr:to>
      <xdr:col>18</xdr:col>
      <xdr:colOff>161924</xdr:colOff>
      <xdr:row>92</xdr:row>
      <xdr:rowOff>114300</xdr:rowOff>
    </xdr:to>
    <xdr:graphicFrame macro="">
      <xdr:nvGraphicFramePr>
        <xdr:cNvPr id="3" name="Chart 5">
          <a:extLst>
            <a:ext uri="{FF2B5EF4-FFF2-40B4-BE49-F238E27FC236}">
              <a16:creationId xmlns:a16="http://schemas.microsoft.com/office/drawing/2014/main" id="{67AEBCCC-ACDF-4F05-B042-5B72B979A4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647700</xdr:colOff>
      <xdr:row>181</xdr:row>
      <xdr:rowOff>95250</xdr:rowOff>
    </xdr:from>
    <xdr:to>
      <xdr:col>10</xdr:col>
      <xdr:colOff>66675</xdr:colOff>
      <xdr:row>207</xdr:row>
      <xdr:rowOff>110490</xdr:rowOff>
    </xdr:to>
    <xdr:pic>
      <xdr:nvPicPr>
        <xdr:cNvPr id="4" name="Picture 2">
          <a:extLst>
            <a:ext uri="{FF2B5EF4-FFF2-40B4-BE49-F238E27FC236}">
              <a16:creationId xmlns:a16="http://schemas.microsoft.com/office/drawing/2014/main" id="{5C372797-CAB4-4E16-465C-859927EC9935}"/>
            </a:ext>
            <a:ext uri="{147F2762-F138-4A5C-976F-8EAC2B608ADB}">
              <a16:predDERef xmlns:a16="http://schemas.microsoft.com/office/drawing/2014/main" pred="{C83EB560-874A-6426-1CBE-15D8C4122995}"/>
            </a:ext>
          </a:extLst>
        </xdr:cNvPr>
        <xdr:cNvPicPr>
          <a:picLocks noChangeAspect="1"/>
        </xdr:cNvPicPr>
      </xdr:nvPicPr>
      <xdr:blipFill>
        <a:blip xmlns:r="http://schemas.openxmlformats.org/officeDocument/2006/relationships" r:embed="rId1"/>
        <a:stretch>
          <a:fillRect/>
        </a:stretch>
      </xdr:blipFill>
      <xdr:spPr>
        <a:xfrm>
          <a:off x="7877175" y="31651575"/>
          <a:ext cx="4295775" cy="4572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819150</xdr:colOff>
      <xdr:row>9</xdr:row>
      <xdr:rowOff>76200</xdr:rowOff>
    </xdr:from>
    <xdr:to>
      <xdr:col>5</xdr:col>
      <xdr:colOff>247650</xdr:colOff>
      <xdr:row>9</xdr:row>
      <xdr:rowOff>328613</xdr:rowOff>
    </xdr:to>
    <xdr:sp macro="" textlink="">
      <xdr:nvSpPr>
        <xdr:cNvPr id="2" name="TextBox 1">
          <a:extLst>
            <a:ext uri="{FF2B5EF4-FFF2-40B4-BE49-F238E27FC236}">
              <a16:creationId xmlns:a16="http://schemas.microsoft.com/office/drawing/2014/main" id="{751E64AE-2859-4681-9B25-638760EF5E43}"/>
            </a:ext>
          </a:extLst>
        </xdr:cNvPr>
        <xdr:cNvSpPr txBox="1"/>
      </xdr:nvSpPr>
      <xdr:spPr>
        <a:xfrm>
          <a:off x="7248525" y="2333625"/>
          <a:ext cx="476250" cy="1095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11.5</a:t>
          </a:r>
          <a:r>
            <a:rPr lang="en-US" sz="1050">
              <a:solidFill>
                <a:schemeClr val="bg1"/>
              </a:solidFill>
            </a:rPr>
            <a:t> years remainig life</a:t>
          </a:r>
        </a:p>
      </xdr:txBody>
    </xdr:sp>
    <xdr:clientData/>
  </xdr:twoCellAnchor>
</xdr:wsDr>
</file>

<file path=xl/persons/person.xml><?xml version="1.0" encoding="utf-8"?>
<personList xmlns="http://schemas.microsoft.com/office/spreadsheetml/2018/threadedcomments" xmlns:x="http://schemas.openxmlformats.org/spreadsheetml/2006/main">
  <person displayName="Claflin, Anne (She/They) (MPCA)" id="{DDA31AAE-05F8-4BE6-AE95-5CE3936C2B1D}" userId="S::Anne.Claflin@state.mn.us::114dd320-b001-4cf2-9b3d-5e295c29381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66" dT="2024-03-11T17:29:26.56" personId="{DDA31AAE-05F8-4BE6-AE95-5CE3936C2B1D}" id="{A1486A45-926E-4EF8-94DF-9547290C4DF8}">
    <text>CO2/generation includes generation for on-site use and line loss, so is the best representation of the actual generation that occurs to meet demand.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insights-engine.refed.org/solution-database/home-composting" TargetMode="External"/><Relationship Id="rId13" Type="http://schemas.openxmlformats.org/officeDocument/2006/relationships/printerSettings" Target="../printerSettings/printerSettings3.bin"/><Relationship Id="rId3" Type="http://schemas.openxmlformats.org/officeDocument/2006/relationships/hyperlink" Target="https://insights-engine.refed.org/solution-database/donation-coordination-matching" TargetMode="External"/><Relationship Id="rId7" Type="http://schemas.openxmlformats.org/officeDocument/2006/relationships/hyperlink" Target="https://insights-engine.refed.org/solution-database/community-composting" TargetMode="External"/><Relationship Id="rId12" Type="http://schemas.openxmlformats.org/officeDocument/2006/relationships/hyperlink" Target="https://insights-engine.refed.org/solution-database/increased-delivery-frequency" TargetMode="External"/><Relationship Id="rId2" Type="http://schemas.openxmlformats.org/officeDocument/2006/relationships/hyperlink" Target="https://insights-engine.refed.org/solution-database/imperfect-surplus-produce-channels" TargetMode="External"/><Relationship Id="rId1" Type="http://schemas.openxmlformats.org/officeDocument/2006/relationships/hyperlink" Target="https://insights-engine.refed.org/solution-database/gleaning" TargetMode="External"/><Relationship Id="rId6" Type="http://schemas.openxmlformats.org/officeDocument/2006/relationships/hyperlink" Target="https://insights-engine.refed.org/solution-database/k-12-lunch-improvements" TargetMode="External"/><Relationship Id="rId11" Type="http://schemas.openxmlformats.org/officeDocument/2006/relationships/hyperlink" Target="https://insights-engine.refed.org/solution-database/intelligent-routing" TargetMode="External"/><Relationship Id="rId5" Type="http://schemas.openxmlformats.org/officeDocument/2006/relationships/hyperlink" Target="https://insights-engine.refed.org/solution-database/donation-value-added-processing" TargetMode="External"/><Relationship Id="rId10" Type="http://schemas.openxmlformats.org/officeDocument/2006/relationships/hyperlink" Target="https://insights-engine.refed.org/solution-database/decreased-transit-time" TargetMode="External"/><Relationship Id="rId4" Type="http://schemas.openxmlformats.org/officeDocument/2006/relationships/hyperlink" Target="https://insights-engine.refed.org/solution-database/donation-education" TargetMode="External"/><Relationship Id="rId9" Type="http://schemas.openxmlformats.org/officeDocument/2006/relationships/hyperlink" Target="https://insights-engine.refed.org/solution-database/consumer-education-campaign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7" Type="http://schemas.microsoft.com/office/2017/10/relationships/threadedComment" Target="../threadedComments/threadedComment1.xml"/><Relationship Id="rId2" Type="http://schemas.openxmlformats.org/officeDocument/2006/relationships/hyperlink" Target="https://data.nrel.gov/submissions/206" TargetMode="External"/><Relationship Id="rId1" Type="http://schemas.openxmlformats.org/officeDocument/2006/relationships/hyperlink" Target="https://www.eia.gov/outlooks/aeo/data/browser/"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pca.state.mn.us/sites/default/files/p-gen4-21.pdf"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pca.state.mn.us/sites/default/files/p-gen4-21.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pca.state.mn.us/sites/default/files/p-gen4-21.pdf" TargetMode="External"/><Relationship Id="rId7" Type="http://schemas.openxmlformats.org/officeDocument/2006/relationships/drawing" Target="../drawings/drawing2.xml"/><Relationship Id="rId2" Type="http://schemas.openxmlformats.org/officeDocument/2006/relationships/hyperlink" Target="https://www.epa.gov/chp/forms/download-chp-energy-and-emissions-savings-calculator" TargetMode="External"/><Relationship Id="rId1" Type="http://schemas.openxmlformats.org/officeDocument/2006/relationships/hyperlink" Target="https://nylethermal.com/wp-content/uploads/2024/01/AA-Series-Submittal-Package.pdf" TargetMode="External"/><Relationship Id="rId6" Type="http://schemas.openxmlformats.org/officeDocument/2006/relationships/hyperlink" Target="https://iac.university/statistics?center=&amp;state=&amp;yearThen=gt&amp;year=2003&amp;SIC=&amp;NAICS=311" TargetMode="External"/><Relationship Id="rId5" Type="http://schemas.openxmlformats.org/officeDocument/2006/relationships/hyperlink" Target="https://www.energy.gov/sites/prod/files/2014/05/f16/steam26a_condensing.pdf" TargetMode="External"/><Relationship Id="rId4" Type="http://schemas.openxmlformats.org/officeDocument/2006/relationships/hyperlink" Target="https://www.pca.state.mn.us/sites/default/files/p-gen4-21.pdf"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39DEE-E409-4D8A-8846-CE90BC7BD497}">
  <dimension ref="A1:B11"/>
  <sheetViews>
    <sheetView tabSelected="1" workbookViewId="0">
      <selection activeCell="B18" sqref="B18"/>
    </sheetView>
  </sheetViews>
  <sheetFormatPr defaultRowHeight="12.75" x14ac:dyDescent="0.2"/>
  <cols>
    <col min="1" max="1" width="20.5703125" bestFit="1" customWidth="1"/>
    <col min="2" max="2" width="68.7109375" bestFit="1" customWidth="1"/>
  </cols>
  <sheetData>
    <row r="1" spans="1:2" x14ac:dyDescent="0.2">
      <c r="A1" s="1" t="s">
        <v>0</v>
      </c>
      <c r="B1" s="1" t="s">
        <v>1</v>
      </c>
    </row>
    <row r="2" spans="1:2" x14ac:dyDescent="0.2">
      <c r="A2" t="s">
        <v>2</v>
      </c>
      <c r="B2" t="s">
        <v>3</v>
      </c>
    </row>
    <row r="3" spans="1:2" x14ac:dyDescent="0.2">
      <c r="A3" t="s">
        <v>4</v>
      </c>
      <c r="B3" t="s">
        <v>5</v>
      </c>
    </row>
    <row r="5" spans="1:2" x14ac:dyDescent="0.2">
      <c r="A5" t="s">
        <v>6</v>
      </c>
      <c r="B5" t="s">
        <v>7</v>
      </c>
    </row>
    <row r="6" spans="1:2" x14ac:dyDescent="0.2">
      <c r="A6" t="s">
        <v>8</v>
      </c>
      <c r="B6" t="s">
        <v>9</v>
      </c>
    </row>
    <row r="7" spans="1:2" x14ac:dyDescent="0.2">
      <c r="A7" t="s">
        <v>10</v>
      </c>
      <c r="B7" t="s">
        <v>11</v>
      </c>
    </row>
    <row r="8" spans="1:2" x14ac:dyDescent="0.2">
      <c r="A8" t="s">
        <v>12</v>
      </c>
      <c r="B8" t="s">
        <v>13</v>
      </c>
    </row>
    <row r="9" spans="1:2" x14ac:dyDescent="0.2">
      <c r="A9" t="s">
        <v>14</v>
      </c>
      <c r="B9" t="s">
        <v>15</v>
      </c>
    </row>
    <row r="10" spans="1:2" x14ac:dyDescent="0.2">
      <c r="A10" t="s">
        <v>16</v>
      </c>
      <c r="B10" t="s">
        <v>17</v>
      </c>
    </row>
    <row r="11" spans="1:2" x14ac:dyDescent="0.2">
      <c r="A11" t="s">
        <v>18</v>
      </c>
      <c r="B11" t="s">
        <v>19</v>
      </c>
    </row>
  </sheetData>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FBF5-52AC-4B22-A211-567304A1AE82}">
  <dimension ref="A3:Q157"/>
  <sheetViews>
    <sheetView workbookViewId="0">
      <selection activeCell="E42" sqref="E42"/>
    </sheetView>
  </sheetViews>
  <sheetFormatPr defaultColWidth="8.85546875" defaultRowHeight="12.75" x14ac:dyDescent="0.2"/>
  <cols>
    <col min="1" max="2" width="22" style="3" customWidth="1"/>
    <col min="3" max="3" width="15.140625" style="5" customWidth="1"/>
    <col min="4" max="5" width="12.42578125" style="3" customWidth="1"/>
    <col min="6" max="6" width="17.7109375" style="3" customWidth="1"/>
    <col min="7" max="7" width="33.28515625" style="3" bestFit="1" customWidth="1"/>
    <col min="8" max="8" width="28.42578125" style="3" bestFit="1" customWidth="1"/>
    <col min="9" max="9" width="15.28515625" style="3" customWidth="1"/>
    <col min="10" max="10" width="19.7109375" style="3" bestFit="1" customWidth="1"/>
    <col min="11" max="11" width="35.140625" style="3" bestFit="1" customWidth="1"/>
    <col min="12" max="12" width="33.28515625" style="3" bestFit="1" customWidth="1"/>
    <col min="13" max="13" width="3.42578125" style="3" customWidth="1"/>
    <col min="14" max="14" width="8.85546875" style="3"/>
    <col min="15" max="15" width="12.42578125" style="14" bestFit="1" customWidth="1"/>
    <col min="16" max="16" width="8.85546875" style="14"/>
    <col min="17" max="17" width="8.85546875" style="108"/>
    <col min="18" max="16384" width="8.85546875" style="3"/>
  </cols>
  <sheetData>
    <row r="3" spans="1:17" ht="63.75" x14ac:dyDescent="0.2">
      <c r="A3" s="294" t="s">
        <v>607</v>
      </c>
      <c r="B3" s="294"/>
      <c r="C3" s="294"/>
      <c r="D3" s="273" t="s">
        <v>608</v>
      </c>
      <c r="E3" s="273" t="s">
        <v>608</v>
      </c>
      <c r="F3" s="273" t="s">
        <v>609</v>
      </c>
      <c r="G3" s="273" t="s">
        <v>610</v>
      </c>
      <c r="H3" s="273" t="s">
        <v>611</v>
      </c>
      <c r="I3" s="273" t="s">
        <v>612</v>
      </c>
      <c r="J3" s="275"/>
      <c r="K3" s="275"/>
      <c r="L3" s="275"/>
      <c r="M3" s="275"/>
      <c r="N3" s="275"/>
    </row>
    <row r="4" spans="1:17" x14ac:dyDescent="0.2">
      <c r="A4" s="275" t="s">
        <v>613</v>
      </c>
      <c r="B4" s="275"/>
      <c r="C4" s="275"/>
      <c r="D4" s="275"/>
      <c r="E4" s="275"/>
      <c r="F4" s="275"/>
      <c r="G4" s="275"/>
      <c r="H4" s="275"/>
      <c r="I4" s="275"/>
      <c r="J4" s="275"/>
      <c r="K4" s="275"/>
      <c r="L4" s="275"/>
      <c r="M4" s="275"/>
      <c r="N4" s="275"/>
    </row>
    <row r="5" spans="1:17" ht="51" x14ac:dyDescent="0.2">
      <c r="A5" s="45" t="s">
        <v>614</v>
      </c>
      <c r="B5" s="102"/>
      <c r="C5" s="123" t="s">
        <v>615</v>
      </c>
      <c r="D5" s="102" t="s">
        <v>616</v>
      </c>
      <c r="E5" s="102" t="s">
        <v>617</v>
      </c>
      <c r="F5" s="102" t="s">
        <v>618</v>
      </c>
      <c r="G5" s="102" t="s">
        <v>619</v>
      </c>
      <c r="H5" s="102" t="s">
        <v>620</v>
      </c>
      <c r="I5" s="102" t="s">
        <v>621</v>
      </c>
      <c r="J5" s="275"/>
      <c r="K5" s="275"/>
      <c r="L5" s="275"/>
      <c r="M5" s="275"/>
      <c r="N5" s="275"/>
    </row>
    <row r="6" spans="1:17" x14ac:dyDescent="0.2">
      <c r="A6" s="275" t="s">
        <v>622</v>
      </c>
      <c r="B6" s="275" t="s">
        <v>623</v>
      </c>
      <c r="C6" s="5">
        <v>225000</v>
      </c>
      <c r="D6" s="13">
        <f>N64</f>
        <v>4.0725401708072644</v>
      </c>
      <c r="E6" s="13">
        <f>O64</f>
        <v>7785.4348266014604</v>
      </c>
      <c r="F6" s="14">
        <f>E6*C6/1000000</f>
        <v>1751.7228359853286</v>
      </c>
      <c r="G6" s="14">
        <f>I6*1667</f>
        <v>717027.17348733044</v>
      </c>
      <c r="H6" s="14">
        <v>0</v>
      </c>
      <c r="I6" s="14">
        <f>F6/D6</f>
        <v>430.13027803679091</v>
      </c>
      <c r="J6" s="275"/>
      <c r="K6" s="5"/>
      <c r="L6" s="275"/>
      <c r="M6" s="275"/>
      <c r="N6" s="275"/>
    </row>
    <row r="7" spans="1:17" ht="25.5" x14ac:dyDescent="0.2">
      <c r="A7" s="275" t="s">
        <v>624</v>
      </c>
      <c r="B7" s="275" t="s">
        <v>625</v>
      </c>
      <c r="C7" s="5">
        <v>225000</v>
      </c>
      <c r="D7" s="13">
        <f>N76</f>
        <v>0.23868068336213083</v>
      </c>
      <c r="E7" s="13">
        <f>O76</f>
        <v>248.9804733513711</v>
      </c>
      <c r="F7" s="14">
        <f>E7*C7/1000000</f>
        <v>56.020606504058492</v>
      </c>
      <c r="G7" s="14">
        <f t="shared" ref="G7:G12" si="0">I7*1667</f>
        <v>391260.61534094892</v>
      </c>
      <c r="H7" s="107">
        <f>I7*Q76</f>
        <v>0.35593684638994366</v>
      </c>
      <c r="I7" s="14">
        <f t="shared" ref="I7:I12" si="1">F7/D7</f>
        <v>234.70942731910554</v>
      </c>
      <c r="J7" s="275"/>
      <c r="K7" s="5"/>
      <c r="L7" s="275"/>
      <c r="M7" s="275"/>
      <c r="N7" s="275"/>
    </row>
    <row r="8" spans="1:17" ht="25.5" x14ac:dyDescent="0.2">
      <c r="A8" s="275" t="s">
        <v>626</v>
      </c>
      <c r="B8" s="275" t="s">
        <v>623</v>
      </c>
      <c r="C8" s="5">
        <v>1800000</v>
      </c>
      <c r="D8" s="13">
        <f>N66</f>
        <v>2.8916844082338358</v>
      </c>
      <c r="E8" s="13">
        <f>O66</f>
        <v>6125.9761662848041</v>
      </c>
      <c r="F8" s="14">
        <f>E8*C8/1000000</f>
        <v>11026.757099312646</v>
      </c>
      <c r="G8" s="14">
        <f t="shared" si="0"/>
        <v>6356711.6910178931</v>
      </c>
      <c r="H8" s="107">
        <f>I8*Q66</f>
        <v>14.185343426241406</v>
      </c>
      <c r="I8" s="14">
        <f t="shared" si="1"/>
        <v>3813.2643617383883</v>
      </c>
      <c r="J8" s="275"/>
      <c r="K8" s="5"/>
      <c r="L8" s="275"/>
      <c r="M8" s="275"/>
      <c r="N8" s="275"/>
    </row>
    <row r="9" spans="1:17" x14ac:dyDescent="0.2">
      <c r="A9" s="275" t="s">
        <v>627</v>
      </c>
      <c r="B9" s="275" t="s">
        <v>623</v>
      </c>
      <c r="C9" s="5">
        <v>900000</v>
      </c>
      <c r="D9" s="13">
        <f>N67</f>
        <v>1.4352650873928863</v>
      </c>
      <c r="E9" s="13">
        <f>O67</f>
        <v>3111.5360024515203</v>
      </c>
      <c r="F9" s="14">
        <f>E9*C9/1000000</f>
        <v>2800.3824022063686</v>
      </c>
      <c r="G9" s="14">
        <f t="shared" si="0"/>
        <v>3252526.3141164556</v>
      </c>
      <c r="H9" s="107">
        <f>I9*Q67</f>
        <v>7.2581870986910166</v>
      </c>
      <c r="I9" s="14">
        <f t="shared" si="1"/>
        <v>1951.1255633572018</v>
      </c>
      <c r="J9" s="275"/>
      <c r="K9" s="5"/>
      <c r="L9" s="275"/>
      <c r="M9" s="275"/>
      <c r="N9" s="275"/>
    </row>
    <row r="10" spans="1:17" ht="25.5" x14ac:dyDescent="0.2">
      <c r="A10" s="275" t="s">
        <v>628</v>
      </c>
      <c r="B10" s="275" t="s">
        <v>625</v>
      </c>
      <c r="C10" s="5">
        <v>900000</v>
      </c>
      <c r="D10" s="13">
        <f>N70</f>
        <v>0.12801243835443935</v>
      </c>
      <c r="E10" s="13">
        <f>O70</f>
        <v>1363.2931947286429</v>
      </c>
      <c r="F10" s="14">
        <f>E10*C10/1000000</f>
        <v>1226.9638752557785</v>
      </c>
      <c r="G10" s="14">
        <f t="shared" si="0"/>
        <v>15977734.713467803</v>
      </c>
      <c r="H10" s="107">
        <f>I10*Q70</f>
        <v>35.655172840452963</v>
      </c>
      <c r="I10" s="14">
        <f t="shared" si="1"/>
        <v>9584.723883304021</v>
      </c>
      <c r="J10" s="275"/>
      <c r="K10" s="5"/>
      <c r="L10" s="275"/>
      <c r="M10" s="275"/>
      <c r="N10" s="275"/>
    </row>
    <row r="11" spans="1:17" x14ac:dyDescent="0.2">
      <c r="A11" s="275" t="s">
        <v>629</v>
      </c>
      <c r="B11" s="275"/>
      <c r="C11" s="5">
        <v>450000</v>
      </c>
      <c r="D11" s="13">
        <f>N69</f>
        <v>1.8529076967725244</v>
      </c>
      <c r="E11" s="13">
        <f>O69</f>
        <v>2608.0854242499877</v>
      </c>
      <c r="F11" s="14">
        <f t="shared" ref="F11" si="2">E11*C11/1000000</f>
        <v>1173.6384409124944</v>
      </c>
      <c r="G11" s="14">
        <f t="shared" si="0"/>
        <v>1055883.8329664059</v>
      </c>
      <c r="H11" s="107">
        <f>I11*Q69</f>
        <v>2.3562614631888961</v>
      </c>
      <c r="I11" s="14">
        <f t="shared" si="1"/>
        <v>633.40361905603231</v>
      </c>
      <c r="J11" s="275"/>
      <c r="K11" s="5"/>
      <c r="L11" s="275"/>
      <c r="M11" s="275"/>
      <c r="N11" s="275"/>
    </row>
    <row r="12" spans="1:17" ht="25.5" x14ac:dyDescent="0.2">
      <c r="A12" s="275" t="s">
        <v>630</v>
      </c>
      <c r="B12" s="275"/>
      <c r="C12" s="5">
        <v>900000</v>
      </c>
      <c r="D12" s="13">
        <f>N68</f>
        <v>1.6230690043619203</v>
      </c>
      <c r="E12" s="13">
        <f>O68</f>
        <v>1343.0267135856086</v>
      </c>
      <c r="F12" s="14">
        <f>E12*C12/1000000</f>
        <v>1208.7240422270477</v>
      </c>
      <c r="G12" s="14">
        <f t="shared" si="0"/>
        <v>1241440.1192909393</v>
      </c>
      <c r="H12" s="107">
        <f>I12*Q68</f>
        <v>2.7703402780132689</v>
      </c>
      <c r="I12" s="14">
        <f t="shared" si="1"/>
        <v>744.71512854885384</v>
      </c>
      <c r="J12" s="275"/>
      <c r="K12" s="5"/>
      <c r="L12" s="275"/>
      <c r="M12" s="275"/>
      <c r="N12" s="275"/>
    </row>
    <row r="13" spans="1:17" s="21" customFormat="1" x14ac:dyDescent="0.2">
      <c r="A13" s="21" t="s">
        <v>631</v>
      </c>
      <c r="C13" s="22">
        <f>SUM(C6:C12)</f>
        <v>5400000</v>
      </c>
      <c r="D13" s="23"/>
      <c r="E13" s="23"/>
      <c r="F13" s="24">
        <f>SUM(F6:F12)</f>
        <v>19244.209302403724</v>
      </c>
      <c r="G13" s="24">
        <f t="shared" ref="G13:I13" si="3">SUM(G6:G12)</f>
        <v>28992584.459687777</v>
      </c>
      <c r="H13" s="24">
        <f t="shared" si="3"/>
        <v>62.581241952977493</v>
      </c>
      <c r="I13" s="24">
        <f t="shared" si="3"/>
        <v>17392.072261360394</v>
      </c>
      <c r="O13" s="24"/>
      <c r="P13" s="24"/>
      <c r="Q13" s="109"/>
    </row>
    <row r="14" spans="1:17" s="16" customFormat="1" x14ac:dyDescent="0.2">
      <c r="C14" s="17"/>
      <c r="O14" s="19"/>
      <c r="P14" s="19"/>
      <c r="Q14" s="110"/>
    </row>
    <row r="15" spans="1:17" x14ac:dyDescent="0.2">
      <c r="A15" s="298" t="s">
        <v>632</v>
      </c>
      <c r="B15" s="298"/>
      <c r="C15" s="298"/>
      <c r="D15" s="298"/>
      <c r="E15" s="298"/>
      <c r="F15" s="298"/>
      <c r="G15" s="129"/>
      <c r="H15" s="129"/>
      <c r="I15" s="129"/>
      <c r="J15" s="275"/>
      <c r="K15" s="275"/>
      <c r="L15" s="275"/>
      <c r="M15" s="275"/>
      <c r="N15" s="275"/>
    </row>
    <row r="16" spans="1:17" ht="25.5" x14ac:dyDescent="0.2">
      <c r="A16" s="275" t="s">
        <v>633</v>
      </c>
      <c r="B16" s="275" t="s">
        <v>625</v>
      </c>
      <c r="C16" s="5">
        <v>900000</v>
      </c>
      <c r="D16" s="4">
        <f>N80</f>
        <v>5.4150750563346168</v>
      </c>
      <c r="E16" s="4">
        <f>O80</f>
        <v>37995.410235535521</v>
      </c>
      <c r="F16" s="4">
        <f>E16*C16/1000000</f>
        <v>34195.869211981968</v>
      </c>
      <c r="G16" s="14">
        <f>I16*1667</f>
        <v>10527003.482562888</v>
      </c>
      <c r="H16" s="7">
        <v>0</v>
      </c>
      <c r="I16" s="14">
        <f>F16/D16</f>
        <v>6314.9391017173893</v>
      </c>
      <c r="J16" s="275"/>
      <c r="K16" s="275"/>
      <c r="L16" s="275"/>
      <c r="M16" s="275"/>
      <c r="N16" s="275"/>
    </row>
    <row r="17" spans="1:17" s="21" customFormat="1" x14ac:dyDescent="0.2">
      <c r="A17" s="21" t="s">
        <v>634</v>
      </c>
      <c r="C17" s="22">
        <f>C16</f>
        <v>900000</v>
      </c>
      <c r="D17" s="23"/>
      <c r="E17" s="23"/>
      <c r="F17" s="23">
        <f>F16</f>
        <v>34195.869211981968</v>
      </c>
      <c r="G17" s="25">
        <f>G16</f>
        <v>10527003.482562888</v>
      </c>
      <c r="H17" s="25">
        <f>H16</f>
        <v>0</v>
      </c>
      <c r="I17" s="25">
        <f>I16</f>
        <v>6314.9391017173893</v>
      </c>
      <c r="O17" s="24"/>
      <c r="P17" s="24"/>
      <c r="Q17" s="109"/>
    </row>
    <row r="18" spans="1:17" x14ac:dyDescent="0.2">
      <c r="A18" s="275"/>
      <c r="B18" s="275"/>
      <c r="D18" s="4"/>
      <c r="E18" s="4"/>
      <c r="F18" s="4"/>
      <c r="G18" s="275"/>
      <c r="H18" s="275"/>
      <c r="I18" s="275"/>
      <c r="J18" s="275"/>
      <c r="K18" s="275"/>
      <c r="L18" s="275"/>
      <c r="M18" s="275"/>
      <c r="N18" s="275"/>
    </row>
    <row r="19" spans="1:17" x14ac:dyDescent="0.2">
      <c r="A19" s="295" t="s">
        <v>635</v>
      </c>
      <c r="B19" s="295"/>
      <c r="C19" s="295"/>
      <c r="D19" s="295"/>
      <c r="E19" s="295"/>
      <c r="F19" s="295"/>
      <c r="G19" s="274"/>
      <c r="H19" s="274"/>
      <c r="I19" s="274"/>
      <c r="J19" s="275"/>
      <c r="K19" s="275"/>
      <c r="L19" s="275"/>
      <c r="M19" s="275"/>
      <c r="N19" s="275"/>
    </row>
    <row r="20" spans="1:17" ht="51" x14ac:dyDescent="0.2">
      <c r="A20" s="296" t="s">
        <v>613</v>
      </c>
      <c r="B20" s="296"/>
      <c r="C20" s="5" t="s">
        <v>615</v>
      </c>
      <c r="D20" s="275" t="s">
        <v>616</v>
      </c>
      <c r="E20" s="275" t="s">
        <v>617</v>
      </c>
      <c r="F20" s="275" t="s">
        <v>618</v>
      </c>
      <c r="G20" s="275" t="s">
        <v>619</v>
      </c>
      <c r="H20" s="275" t="s">
        <v>620</v>
      </c>
      <c r="I20" s="275"/>
      <c r="J20" s="275"/>
      <c r="K20" s="275"/>
      <c r="L20" s="275"/>
      <c r="M20" s="275"/>
      <c r="N20" s="275"/>
    </row>
    <row r="21" spans="1:17" x14ac:dyDescent="0.2">
      <c r="A21" s="296"/>
      <c r="B21" s="296"/>
      <c r="C21" s="5" t="s">
        <v>613</v>
      </c>
      <c r="D21" s="275"/>
      <c r="E21" s="275"/>
      <c r="F21" s="275"/>
      <c r="G21" s="275"/>
      <c r="H21" s="275"/>
      <c r="I21" s="275"/>
      <c r="J21" s="275"/>
      <c r="K21" s="275"/>
      <c r="L21" s="275"/>
      <c r="M21" s="275"/>
      <c r="N21" s="275"/>
    </row>
    <row r="22" spans="1:17" x14ac:dyDescent="0.2">
      <c r="A22" s="275" t="s">
        <v>636</v>
      </c>
      <c r="B22" s="275" t="s">
        <v>625</v>
      </c>
      <c r="C22" s="5">
        <v>135000</v>
      </c>
      <c r="D22" s="7">
        <f>N62</f>
        <v>0.55962435848272196</v>
      </c>
      <c r="E22" s="26">
        <f>O62</f>
        <v>2099.5051306272694</v>
      </c>
      <c r="F22" s="13">
        <f>E22*C22/1000000</f>
        <v>283.43319263468135</v>
      </c>
      <c r="G22" s="14"/>
      <c r="H22" s="7">
        <f>I22*Q62</f>
        <v>0.52166454882366808</v>
      </c>
      <c r="I22" s="14">
        <f>F22/D22</f>
        <v>506.47043563853765</v>
      </c>
      <c r="J22" s="275"/>
      <c r="K22" s="5"/>
      <c r="L22" s="275"/>
      <c r="M22" s="275"/>
      <c r="N22" s="275"/>
    </row>
    <row r="23" spans="1:17" x14ac:dyDescent="0.2">
      <c r="A23" s="275" t="s">
        <v>637</v>
      </c>
      <c r="B23" s="275" t="s">
        <v>625</v>
      </c>
      <c r="C23" s="5">
        <v>90000</v>
      </c>
      <c r="D23" s="7">
        <f>N75</f>
        <v>0.61454561323140067</v>
      </c>
      <c r="E23" s="26">
        <f>O75</f>
        <v>3321.3474433072965</v>
      </c>
      <c r="F23" s="13">
        <f t="shared" ref="F23:F24" si="4">E23*C23/1000000</f>
        <v>298.92126989765666</v>
      </c>
      <c r="G23" s="7"/>
      <c r="H23" s="7">
        <v>0</v>
      </c>
      <c r="I23" s="14">
        <f>F23/D23</f>
        <v>486.4102248259008</v>
      </c>
      <c r="J23" s="275"/>
      <c r="K23" s="5"/>
      <c r="L23" s="275"/>
      <c r="M23" s="275"/>
      <c r="N23" s="275"/>
    </row>
    <row r="24" spans="1:17" ht="25.5" x14ac:dyDescent="0.2">
      <c r="A24" s="275" t="s">
        <v>638</v>
      </c>
      <c r="B24" s="275" t="s">
        <v>625</v>
      </c>
      <c r="C24" s="5">
        <v>225000</v>
      </c>
      <c r="D24" s="7">
        <f>N63</f>
        <v>6.0170006135856458</v>
      </c>
      <c r="E24" s="26">
        <f>O63</f>
        <v>95588.007732920538</v>
      </c>
      <c r="F24" s="13">
        <f t="shared" si="4"/>
        <v>21507.301739907121</v>
      </c>
      <c r="G24" s="7">
        <f>H63</f>
        <v>82406996.25</v>
      </c>
      <c r="H24" s="7">
        <f>I24*Q63</f>
        <v>1.3551528901086183</v>
      </c>
      <c r="I24" s="14">
        <f>F24/D24</f>
        <v>3574.4223943315355</v>
      </c>
      <c r="J24" s="275"/>
      <c r="K24" s="5"/>
      <c r="L24" s="275"/>
      <c r="M24" s="275"/>
      <c r="N24" s="275"/>
    </row>
    <row r="25" spans="1:17" s="21" customFormat="1" x14ac:dyDescent="0.2">
      <c r="A25" s="21" t="s">
        <v>639</v>
      </c>
      <c r="C25" s="22">
        <f>SUM(C22:C24)</f>
        <v>450000</v>
      </c>
      <c r="F25" s="27">
        <f>SUM(F22:F24)</f>
        <v>22089.656202439459</v>
      </c>
      <c r="G25" s="27">
        <f t="shared" ref="G25:I25" si="5">SUM(G22:G24)</f>
        <v>82406996.25</v>
      </c>
      <c r="H25" s="27">
        <f t="shared" si="5"/>
        <v>1.8768174389322865</v>
      </c>
      <c r="I25" s="27">
        <f t="shared" si="5"/>
        <v>4567.3030547959743</v>
      </c>
      <c r="O25" s="24"/>
      <c r="P25" s="24"/>
      <c r="Q25" s="109"/>
    </row>
    <row r="26" spans="1:17" ht="13.9" customHeight="1" x14ac:dyDescent="0.2">
      <c r="A26" s="275" t="s">
        <v>613</v>
      </c>
      <c r="B26" s="275" t="s">
        <v>613</v>
      </c>
      <c r="C26" s="296" t="s">
        <v>613</v>
      </c>
      <c r="D26" s="296"/>
      <c r="E26" s="296"/>
      <c r="F26" s="296"/>
      <c r="G26" s="275"/>
      <c r="H26" s="275"/>
      <c r="I26" s="275"/>
      <c r="J26" s="275"/>
      <c r="K26" s="275"/>
      <c r="L26" s="275"/>
      <c r="M26" s="275"/>
      <c r="N26" s="275"/>
    </row>
    <row r="27" spans="1:17" x14ac:dyDescent="0.2">
      <c r="A27" s="297" t="s">
        <v>640</v>
      </c>
      <c r="B27" s="297"/>
      <c r="C27" s="297"/>
      <c r="D27" s="297"/>
      <c r="E27" s="297"/>
      <c r="F27" s="297"/>
      <c r="G27" s="276"/>
      <c r="H27" s="276"/>
      <c r="I27" s="276"/>
      <c r="J27" s="275"/>
      <c r="K27" s="275"/>
      <c r="L27" s="275"/>
      <c r="M27" s="275"/>
      <c r="N27" s="275"/>
    </row>
    <row r="28" spans="1:17" ht="51" x14ac:dyDescent="0.2">
      <c r="A28" s="275" t="s">
        <v>641</v>
      </c>
      <c r="B28" s="275"/>
      <c r="C28" s="5" t="s">
        <v>615</v>
      </c>
      <c r="D28" s="275" t="s">
        <v>616</v>
      </c>
      <c r="E28" s="275" t="s">
        <v>617</v>
      </c>
      <c r="F28" s="275" t="s">
        <v>618</v>
      </c>
      <c r="G28" s="275" t="s">
        <v>619</v>
      </c>
      <c r="H28" s="275" t="s">
        <v>620</v>
      </c>
      <c r="I28" s="275"/>
      <c r="J28" s="275"/>
      <c r="K28" s="275"/>
      <c r="L28" s="275"/>
      <c r="M28" s="275"/>
      <c r="N28" s="275"/>
    </row>
    <row r="29" spans="1:17" x14ac:dyDescent="0.2">
      <c r="A29" s="275" t="s">
        <v>613</v>
      </c>
      <c r="B29" s="275"/>
      <c r="D29" s="275"/>
      <c r="E29" s="275"/>
      <c r="F29" s="275"/>
      <c r="G29" s="275"/>
      <c r="H29" s="275"/>
      <c r="I29" s="275"/>
      <c r="J29" s="275"/>
      <c r="K29" s="275"/>
      <c r="L29" s="275"/>
      <c r="M29" s="275"/>
      <c r="N29" s="275"/>
    </row>
    <row r="30" spans="1:17" x14ac:dyDescent="0.2">
      <c r="A30" s="275" t="s">
        <v>642</v>
      </c>
      <c r="B30" s="275" t="s">
        <v>625</v>
      </c>
      <c r="C30" s="5">
        <v>900000</v>
      </c>
      <c r="D30" s="7">
        <f>N65</f>
        <v>4.2635505367313291</v>
      </c>
      <c r="E30" s="26">
        <f>O65</f>
        <v>7275.8760104818775</v>
      </c>
      <c r="F30" s="13">
        <f>E30*C30/1000000</f>
        <v>6548.2884094336905</v>
      </c>
      <c r="G30" s="14">
        <f>I30*1667</f>
        <v>2560306.6468856172</v>
      </c>
      <c r="H30" s="7">
        <v>0</v>
      </c>
      <c r="I30" s="14">
        <f>F30/D30</f>
        <v>1535.8768127688165</v>
      </c>
      <c r="J30" s="275"/>
      <c r="K30" s="5"/>
      <c r="L30" s="275"/>
      <c r="M30" s="275"/>
      <c r="N30" s="275"/>
    </row>
    <row r="31" spans="1:17" x14ac:dyDescent="0.2">
      <c r="A31" s="275" t="s">
        <v>643</v>
      </c>
      <c r="B31" s="275" t="s">
        <v>625</v>
      </c>
      <c r="C31" s="5">
        <v>1800000</v>
      </c>
      <c r="D31" s="7">
        <f>N78</f>
        <v>3.8174944709349732</v>
      </c>
      <c r="E31" s="26">
        <f>O78</f>
        <v>5622.2771493543114</v>
      </c>
      <c r="F31" s="13">
        <f t="shared" ref="F31:F32" si="6">E31*C31/1000000</f>
        <v>10120.09886883776</v>
      </c>
      <c r="G31" s="14">
        <f t="shared" ref="G31:G32" si="7">I31*1667</f>
        <v>4419182.5142894657</v>
      </c>
      <c r="H31" s="7">
        <f>I31*Q78</f>
        <v>4.0202101297019182</v>
      </c>
      <c r="I31" s="14">
        <f>F31/D31</f>
        <v>2650.979312711137</v>
      </c>
      <c r="J31" s="275"/>
      <c r="K31" s="5"/>
      <c r="L31" s="275"/>
      <c r="M31" s="275"/>
      <c r="N31" s="275"/>
    </row>
    <row r="32" spans="1:17" ht="25.5" x14ac:dyDescent="0.2">
      <c r="A32" s="275" t="s">
        <v>644</v>
      </c>
      <c r="B32" s="275" t="s">
        <v>625</v>
      </c>
      <c r="C32" s="5">
        <v>1800000</v>
      </c>
      <c r="D32" s="7">
        <f>N77</f>
        <v>5.9034811757753332</v>
      </c>
      <c r="E32" s="26">
        <f>O77</f>
        <v>6967.3102345252755</v>
      </c>
      <c r="F32" s="13">
        <f t="shared" si="6"/>
        <v>12541.158422145496</v>
      </c>
      <c r="G32" s="14">
        <f t="shared" si="7"/>
        <v>3541319.1754559693</v>
      </c>
      <c r="H32" s="7">
        <v>0</v>
      </c>
      <c r="I32" s="14">
        <f>F32/D32</f>
        <v>2124.3666319471922</v>
      </c>
      <c r="J32" s="275"/>
      <c r="K32" s="5"/>
      <c r="L32" s="275"/>
      <c r="M32" s="275"/>
      <c r="N32" s="275"/>
    </row>
    <row r="33" spans="1:17" ht="25.5" x14ac:dyDescent="0.2">
      <c r="A33" s="275" t="s">
        <v>645</v>
      </c>
      <c r="B33" s="275" t="s">
        <v>625</v>
      </c>
      <c r="C33" s="5">
        <v>900000</v>
      </c>
      <c r="D33" s="275" t="s">
        <v>646</v>
      </c>
      <c r="E33" s="275" t="s">
        <v>646</v>
      </c>
      <c r="F33" s="275" t="s">
        <v>646</v>
      </c>
      <c r="G33" s="275" t="s">
        <v>646</v>
      </c>
      <c r="H33" s="275" t="s">
        <v>646</v>
      </c>
      <c r="I33" s="275"/>
      <c r="J33" s="275"/>
      <c r="K33" s="5"/>
      <c r="L33" s="275"/>
      <c r="M33" s="275"/>
      <c r="N33" s="275"/>
    </row>
    <row r="34" spans="1:17" s="21" customFormat="1" x14ac:dyDescent="0.2">
      <c r="A34" s="21" t="s">
        <v>647</v>
      </c>
      <c r="C34" s="22">
        <f>SUM(C30:C33)</f>
        <v>5400000</v>
      </c>
      <c r="D34" s="21" t="s">
        <v>613</v>
      </c>
      <c r="E34" s="21" t="s">
        <v>613</v>
      </c>
      <c r="F34" s="27">
        <f>SUM(F30:F33)</f>
        <v>29209.545700416944</v>
      </c>
      <c r="G34" s="27">
        <f t="shared" ref="G34:I34" si="8">SUM(G30:G33)</f>
        <v>10520808.336631052</v>
      </c>
      <c r="H34" s="27">
        <f t="shared" si="8"/>
        <v>4.0202101297019182</v>
      </c>
      <c r="I34" s="27">
        <f t="shared" si="8"/>
        <v>6311.2227574271456</v>
      </c>
      <c r="O34" s="24"/>
      <c r="P34" s="24"/>
      <c r="Q34" s="109"/>
    </row>
    <row r="36" spans="1:17" x14ac:dyDescent="0.2">
      <c r="A36" s="126" t="s">
        <v>648</v>
      </c>
      <c r="B36" s="127"/>
      <c r="C36" s="128"/>
      <c r="D36" s="127"/>
      <c r="E36" s="127"/>
      <c r="F36" s="127"/>
      <c r="G36" s="127"/>
      <c r="H36" s="127"/>
      <c r="I36" s="127"/>
      <c r="J36" s="275"/>
      <c r="K36" s="275"/>
      <c r="L36" s="275"/>
      <c r="M36" s="275"/>
      <c r="N36" s="275"/>
    </row>
    <row r="37" spans="1:17" ht="25.5" x14ac:dyDescent="0.2">
      <c r="A37" s="275" t="s">
        <v>649</v>
      </c>
      <c r="B37" s="275" t="s">
        <v>650</v>
      </c>
      <c r="C37" s="5">
        <f>C107</f>
        <v>1350000</v>
      </c>
      <c r="D37" s="275" t="s">
        <v>613</v>
      </c>
      <c r="E37" s="275" t="s">
        <v>613</v>
      </c>
      <c r="F37" s="7" t="s">
        <v>651</v>
      </c>
      <c r="G37" s="275"/>
      <c r="H37" s="275"/>
      <c r="I37" s="275"/>
      <c r="J37" s="275"/>
      <c r="K37" s="275"/>
      <c r="L37" s="275"/>
      <c r="M37" s="6" t="s">
        <v>652</v>
      </c>
      <c r="N37" s="275"/>
    </row>
    <row r="38" spans="1:17" x14ac:dyDescent="0.2">
      <c r="A38" s="275" t="s">
        <v>653</v>
      </c>
      <c r="B38" s="275"/>
      <c r="C38" s="5">
        <f>C37</f>
        <v>1350000</v>
      </c>
      <c r="D38" s="275"/>
      <c r="E38" s="275"/>
      <c r="F38" s="275"/>
      <c r="G38" s="275"/>
      <c r="H38" s="275"/>
      <c r="I38" s="275"/>
      <c r="J38" s="275"/>
      <c r="K38" s="275"/>
      <c r="L38" s="275"/>
      <c r="M38" s="275"/>
      <c r="N38" s="275"/>
    </row>
    <row r="39" spans="1:17" s="103" customFormat="1" x14ac:dyDescent="0.2">
      <c r="A39" s="275"/>
      <c r="B39" s="275"/>
      <c r="C39" s="5"/>
      <c r="D39" s="275"/>
      <c r="E39" s="275"/>
      <c r="F39" s="275"/>
      <c r="G39" s="275"/>
      <c r="H39" s="275"/>
      <c r="I39" s="275"/>
      <c r="J39" s="275"/>
      <c r="K39" s="275"/>
      <c r="L39" s="275"/>
      <c r="M39" s="275"/>
      <c r="N39" s="275"/>
      <c r="O39" s="14"/>
      <c r="P39" s="14"/>
      <c r="Q39" s="108"/>
    </row>
    <row r="40" spans="1:17" s="103" customFormat="1" x14ac:dyDescent="0.2">
      <c r="A40" s="124" t="s">
        <v>654</v>
      </c>
      <c r="B40" s="124"/>
      <c r="C40" s="125"/>
      <c r="D40" s="124"/>
      <c r="E40" s="124"/>
      <c r="F40" s="124"/>
      <c r="G40" s="124"/>
      <c r="H40" s="124"/>
      <c r="I40" s="124"/>
      <c r="J40" s="275"/>
      <c r="K40" s="275"/>
      <c r="L40" s="275"/>
      <c r="M40" s="275"/>
      <c r="N40" s="275"/>
      <c r="O40" s="14"/>
      <c r="P40" s="14"/>
      <c r="Q40" s="108"/>
    </row>
    <row r="41" spans="1:17" s="130" customFormat="1" ht="38.25" x14ac:dyDescent="0.2">
      <c r="A41" s="130" t="s">
        <v>655</v>
      </c>
      <c r="B41" s="130" t="s">
        <v>656</v>
      </c>
      <c r="C41" s="131">
        <v>1500000</v>
      </c>
      <c r="D41" s="275"/>
      <c r="E41" s="275"/>
      <c r="F41" s="14">
        <f>C41*B48</f>
        <v>10473.92804172421</v>
      </c>
      <c r="G41" s="275"/>
      <c r="H41" s="275"/>
      <c r="O41" s="132"/>
      <c r="P41" s="132"/>
      <c r="Q41" s="133"/>
    </row>
    <row r="42" spans="1:17" s="103" customFormat="1" x14ac:dyDescent="0.2">
      <c r="A42" s="275" t="s">
        <v>657</v>
      </c>
      <c r="B42" s="275"/>
      <c r="C42" s="5">
        <v>1500000</v>
      </c>
      <c r="D42" s="275"/>
      <c r="E42" s="275"/>
      <c r="F42" s="26">
        <v>10473.92804172421</v>
      </c>
      <c r="G42" s="275"/>
      <c r="H42" s="275"/>
      <c r="I42" s="275"/>
      <c r="J42" s="275"/>
      <c r="K42" s="275"/>
      <c r="L42" s="275"/>
      <c r="M42" s="275"/>
      <c r="N42" s="275"/>
      <c r="O42" s="14"/>
      <c r="P42" s="14"/>
      <c r="Q42" s="108"/>
    </row>
    <row r="43" spans="1:17" ht="38.25" x14ac:dyDescent="0.2">
      <c r="A43" s="275"/>
      <c r="B43" s="275"/>
      <c r="D43" s="275"/>
      <c r="E43" s="275"/>
      <c r="F43" s="275" t="s">
        <v>658</v>
      </c>
      <c r="G43" s="275" t="s">
        <v>619</v>
      </c>
      <c r="H43" s="275" t="s">
        <v>620</v>
      </c>
      <c r="I43" s="275" t="s">
        <v>659</v>
      </c>
      <c r="J43" s="275"/>
      <c r="K43" s="275"/>
      <c r="L43" s="275"/>
      <c r="M43" s="275"/>
      <c r="N43" s="275"/>
    </row>
    <row r="44" spans="1:17" s="21" customFormat="1" ht="25.5" x14ac:dyDescent="0.2">
      <c r="A44" s="46" t="s">
        <v>660</v>
      </c>
      <c r="B44" s="46"/>
      <c r="C44" s="47">
        <f>SUM(C13+C17+C25+C34+C38+C42)</f>
        <v>15000000</v>
      </c>
      <c r="D44" s="47"/>
      <c r="E44" s="47"/>
      <c r="F44" s="48">
        <f>SUM(F13+F17+F25+F34+F38+F42)</f>
        <v>115213.20845896631</v>
      </c>
      <c r="G44" s="48">
        <f>SUM(G13+G17+G25+G34+G38)</f>
        <v>132447392.52888173</v>
      </c>
      <c r="H44" s="48">
        <f>SUM(H13+H17+H25+H34+H38)</f>
        <v>68.478269521611708</v>
      </c>
      <c r="I44" s="48">
        <f>SUM(I13+I17+I25+I34+I38)</f>
        <v>34585.537175300909</v>
      </c>
      <c r="J44" s="21" t="s">
        <v>661</v>
      </c>
      <c r="O44" s="24"/>
      <c r="P44" s="24"/>
      <c r="Q44" s="109"/>
    </row>
    <row r="45" spans="1:17" x14ac:dyDescent="0.2">
      <c r="A45" s="275" t="s">
        <v>662</v>
      </c>
      <c r="B45" s="6" t="s">
        <v>663</v>
      </c>
      <c r="D45" s="275"/>
      <c r="E45" s="275"/>
      <c r="F45" s="26">
        <f>(F44*J45)+B153</f>
        <v>460728.71972122294</v>
      </c>
      <c r="G45" s="26">
        <f>G44*J45</f>
        <v>529789570.11552691</v>
      </c>
      <c r="H45" s="26">
        <f>H44*J45</f>
        <v>273.91307808644683</v>
      </c>
      <c r="I45" s="275"/>
      <c r="J45" s="275">
        <v>4</v>
      </c>
      <c r="K45" s="275"/>
      <c r="L45" s="275"/>
      <c r="M45" s="275"/>
      <c r="N45" s="275"/>
    </row>
    <row r="46" spans="1:17" x14ac:dyDescent="0.2">
      <c r="A46" s="275" t="s">
        <v>664</v>
      </c>
      <c r="B46" s="6" t="s">
        <v>665</v>
      </c>
      <c r="D46" s="275"/>
      <c r="E46" s="275"/>
      <c r="F46" s="26">
        <f>(F44*J46)+C153</f>
        <v>2767005.0673889276</v>
      </c>
      <c r="G46" s="26">
        <f>G44*J46</f>
        <v>3178737420.6931615</v>
      </c>
      <c r="H46" s="26">
        <f>H44*J46</f>
        <v>1643.478468518681</v>
      </c>
      <c r="I46" s="275"/>
      <c r="J46" s="275">
        <v>24</v>
      </c>
      <c r="K46" s="275"/>
      <c r="L46" s="275"/>
      <c r="M46" s="275"/>
      <c r="N46" s="275"/>
    </row>
    <row r="47" spans="1:17" x14ac:dyDescent="0.2">
      <c r="A47" s="275"/>
      <c r="B47" s="275"/>
      <c r="D47" s="275"/>
      <c r="E47" s="275"/>
      <c r="F47" s="275"/>
      <c r="G47" s="275"/>
      <c r="H47" s="275"/>
      <c r="I47" s="275"/>
      <c r="J47" s="275"/>
      <c r="K47" s="275"/>
      <c r="L47" s="275"/>
      <c r="M47" s="275"/>
      <c r="N47" s="275"/>
    </row>
    <row r="48" spans="1:17" ht="51" x14ac:dyDescent="0.2">
      <c r="A48" s="275" t="s">
        <v>666</v>
      </c>
      <c r="B48" s="275">
        <v>6.9826186944828067E-3</v>
      </c>
      <c r="D48" s="275"/>
      <c r="E48" s="275"/>
      <c r="F48" s="26">
        <f>(F46*J48)+C155</f>
        <v>0</v>
      </c>
      <c r="G48" s="275"/>
      <c r="H48" s="275"/>
      <c r="I48" s="275"/>
      <c r="J48" s="275"/>
      <c r="K48" s="275"/>
      <c r="L48" s="275"/>
      <c r="M48" s="275"/>
      <c r="N48" s="275"/>
    </row>
    <row r="49" spans="1:17" x14ac:dyDescent="0.2">
      <c r="A49" s="275"/>
      <c r="B49" s="275"/>
      <c r="D49" s="275"/>
      <c r="E49" s="275"/>
      <c r="F49" s="275"/>
      <c r="G49" s="7"/>
      <c r="H49" s="275"/>
      <c r="I49" s="275"/>
      <c r="J49" s="275"/>
      <c r="K49" s="275"/>
      <c r="L49" s="275"/>
      <c r="M49" s="275"/>
      <c r="N49" s="275"/>
    </row>
    <row r="50" spans="1:17" x14ac:dyDescent="0.2">
      <c r="A50" s="6" t="s">
        <v>667</v>
      </c>
      <c r="B50" s="275"/>
      <c r="D50" s="275"/>
      <c r="E50" s="275"/>
      <c r="F50" s="275"/>
      <c r="G50" s="275"/>
      <c r="H50" s="275"/>
      <c r="I50" s="275"/>
      <c r="J50" s="275"/>
      <c r="K50" s="275"/>
      <c r="L50" s="275"/>
      <c r="M50" s="275"/>
      <c r="N50" s="275"/>
    </row>
    <row r="51" spans="1:17" x14ac:dyDescent="0.2">
      <c r="A51" s="6" t="s">
        <v>668</v>
      </c>
      <c r="B51" s="275"/>
      <c r="D51" s="275"/>
      <c r="E51" s="275"/>
      <c r="F51" s="275"/>
      <c r="G51" s="275"/>
      <c r="H51" s="275"/>
      <c r="I51" s="275"/>
      <c r="J51" s="275"/>
      <c r="K51" s="275"/>
      <c r="L51" s="275"/>
      <c r="M51" s="275"/>
      <c r="N51" s="275"/>
    </row>
    <row r="52" spans="1:17" x14ac:dyDescent="0.2">
      <c r="A52" s="275"/>
      <c r="B52" s="275"/>
      <c r="D52" s="275"/>
      <c r="E52" s="275"/>
      <c r="F52" s="275"/>
      <c r="G52" s="275"/>
      <c r="H52" s="275"/>
      <c r="I52" s="275"/>
      <c r="J52" s="275"/>
      <c r="K52" s="275"/>
      <c r="L52" s="275"/>
      <c r="M52" s="275"/>
      <c r="N52" s="275"/>
    </row>
    <row r="53" spans="1:17" x14ac:dyDescent="0.2">
      <c r="A53" s="275"/>
      <c r="B53" s="275"/>
      <c r="D53" s="275"/>
      <c r="E53" s="275"/>
      <c r="F53" s="275"/>
      <c r="G53" s="275"/>
      <c r="H53" s="275"/>
      <c r="I53" s="275"/>
      <c r="J53" s="275"/>
      <c r="K53" s="275"/>
      <c r="L53" s="275"/>
      <c r="M53" s="275"/>
      <c r="N53" s="275"/>
    </row>
    <row r="54" spans="1:17" s="6" customFormat="1" x14ac:dyDescent="0.2">
      <c r="A54" s="6" t="s">
        <v>669</v>
      </c>
      <c r="B54" s="6" t="s">
        <v>670</v>
      </c>
      <c r="C54" s="8" t="s">
        <v>671</v>
      </c>
      <c r="D54" s="6" t="s">
        <v>672</v>
      </c>
      <c r="E54" s="6" t="s">
        <v>673</v>
      </c>
      <c r="F54" s="6" t="s">
        <v>674</v>
      </c>
      <c r="G54" s="6" t="s">
        <v>675</v>
      </c>
      <c r="H54" s="6" t="s">
        <v>676</v>
      </c>
      <c r="I54" s="6" t="s">
        <v>677</v>
      </c>
      <c r="J54" s="6" t="s">
        <v>678</v>
      </c>
      <c r="K54" s="6" t="s">
        <v>679</v>
      </c>
      <c r="L54" s="6" t="s">
        <v>680</v>
      </c>
      <c r="N54" s="6" t="s">
        <v>681</v>
      </c>
      <c r="O54" s="15" t="s">
        <v>682</v>
      </c>
      <c r="P54" s="15" t="s">
        <v>683</v>
      </c>
      <c r="Q54" s="111" t="s">
        <v>684</v>
      </c>
    </row>
    <row r="55" spans="1:17" s="6" customFormat="1" x14ac:dyDescent="0.2">
      <c r="A55" s="6" t="s">
        <v>685</v>
      </c>
      <c r="B55" s="6" t="s">
        <v>686</v>
      </c>
      <c r="C55" s="8" t="s">
        <v>687</v>
      </c>
      <c r="D55" s="6" t="s">
        <v>688</v>
      </c>
      <c r="E55" s="9">
        <v>11577.85317</v>
      </c>
      <c r="F55" s="9">
        <v>77205.0533</v>
      </c>
      <c r="G55" s="9">
        <v>3271817288</v>
      </c>
      <c r="H55" s="9">
        <v>19296421.960000001</v>
      </c>
      <c r="I55" s="9">
        <v>17.55781434</v>
      </c>
      <c r="J55" s="9">
        <v>12250331.189999999</v>
      </c>
      <c r="K55" s="9">
        <v>81267873.840000004</v>
      </c>
      <c r="L55" s="9">
        <v>69017542.650000006</v>
      </c>
      <c r="N55" s="9">
        <f>F55/E55</f>
        <v>6.6683392997287418</v>
      </c>
      <c r="O55" s="15">
        <f t="shared" ref="O55:O96" si="9">F55/J55*1000000</f>
        <v>6302.2829426050812</v>
      </c>
      <c r="P55" s="15">
        <f>H55/E55</f>
        <v>1666.6666675303848</v>
      </c>
      <c r="Q55" s="111">
        <f>I55/E55</f>
        <v>1.5165000006646309E-3</v>
      </c>
    </row>
    <row r="56" spans="1:17" s="6" customFormat="1" x14ac:dyDescent="0.2">
      <c r="A56" s="6" t="s">
        <v>685</v>
      </c>
      <c r="B56" s="6" t="s">
        <v>689</v>
      </c>
      <c r="C56" s="8" t="s">
        <v>690</v>
      </c>
      <c r="D56" s="6" t="s">
        <v>688</v>
      </c>
      <c r="E56" s="9">
        <v>10953.88702</v>
      </c>
      <c r="F56" s="9">
        <v>37408.615319999997</v>
      </c>
      <c r="G56" s="9">
        <v>2386134652</v>
      </c>
      <c r="H56" s="9">
        <v>18256478.359999999</v>
      </c>
      <c r="I56" s="9">
        <v>16.611569660000001</v>
      </c>
      <c r="J56" s="9">
        <v>186576.2556</v>
      </c>
      <c r="K56" s="9">
        <v>11123695.27</v>
      </c>
      <c r="L56" s="9">
        <v>10937119.01</v>
      </c>
      <c r="N56" s="9">
        <f t="shared" ref="N56:N96" si="10">F56/E56</f>
        <v>3.4150996127400259</v>
      </c>
      <c r="O56" s="15">
        <f t="shared" si="9"/>
        <v>200500.40772712344</v>
      </c>
      <c r="P56" s="15">
        <f t="shared" ref="P56:P58" si="11">H56/E56</f>
        <v>1666.6666660580547</v>
      </c>
      <c r="Q56" s="111">
        <f t="shared" ref="Q56:Q58" si="12">I56/E56</f>
        <v>1.5164999994677689E-3</v>
      </c>
    </row>
    <row r="57" spans="1:17" s="6" customFormat="1" x14ac:dyDescent="0.2">
      <c r="A57" s="6" t="s">
        <v>685</v>
      </c>
      <c r="B57" s="6" t="s">
        <v>691</v>
      </c>
      <c r="C57" s="8" t="s">
        <v>692</v>
      </c>
      <c r="D57" s="6" t="s">
        <v>688</v>
      </c>
      <c r="E57" s="9">
        <v>828.05302889999996</v>
      </c>
      <c r="F57" s="9">
        <v>4484.1616620000004</v>
      </c>
      <c r="G57" s="9">
        <v>393076309.30000001</v>
      </c>
      <c r="H57" s="9">
        <v>1380088.382</v>
      </c>
      <c r="I57" s="9">
        <v>0</v>
      </c>
      <c r="J57" s="9">
        <v>1131.6457270000001</v>
      </c>
      <c r="K57" s="9">
        <v>3086691.9070000001</v>
      </c>
      <c r="L57" s="9">
        <v>3085560.2609999999</v>
      </c>
      <c r="N57" s="9">
        <f t="shared" si="10"/>
        <v>5.4153073601540216</v>
      </c>
      <c r="O57" s="15">
        <f t="shared" si="9"/>
        <v>3962513.6692625005</v>
      </c>
      <c r="P57" s="15">
        <f t="shared" si="11"/>
        <v>1666.6666672704928</v>
      </c>
      <c r="Q57" s="111">
        <f t="shared" si="12"/>
        <v>0</v>
      </c>
    </row>
    <row r="58" spans="1:17" s="6" customFormat="1" x14ac:dyDescent="0.2">
      <c r="A58" s="6" t="s">
        <v>685</v>
      </c>
      <c r="B58" s="6" t="s">
        <v>693</v>
      </c>
      <c r="C58" s="8" t="s">
        <v>694</v>
      </c>
      <c r="D58" s="6" t="s">
        <v>688</v>
      </c>
      <c r="E58" s="9">
        <v>5735.77178</v>
      </c>
      <c r="F58" s="9">
        <v>8256.4995309999995</v>
      </c>
      <c r="G58" s="9">
        <v>791087010.10000002</v>
      </c>
      <c r="H58" s="9">
        <v>9559619.6329999994</v>
      </c>
      <c r="I58" s="9">
        <v>0</v>
      </c>
      <c r="J58" s="9">
        <v>46236.702989999998</v>
      </c>
      <c r="K58" s="9">
        <v>25232795.390000001</v>
      </c>
      <c r="L58" s="9">
        <v>25186558.68</v>
      </c>
      <c r="N58" s="9">
        <f t="shared" si="10"/>
        <v>1.439474903759159</v>
      </c>
      <c r="O58" s="15">
        <f t="shared" si="9"/>
        <v>178570.24824598117</v>
      </c>
      <c r="P58" s="15">
        <f t="shared" si="11"/>
        <v>1666.6666666085519</v>
      </c>
      <c r="Q58" s="111">
        <f t="shared" si="12"/>
        <v>0</v>
      </c>
    </row>
    <row r="59" spans="1:17" s="6" customFormat="1" x14ac:dyDescent="0.2">
      <c r="A59" s="40" t="s">
        <v>695</v>
      </c>
      <c r="B59" s="40" t="s">
        <v>696</v>
      </c>
      <c r="C59" s="41" t="s">
        <v>697</v>
      </c>
      <c r="D59" s="40" t="s">
        <v>688</v>
      </c>
      <c r="E59" s="42">
        <v>111342.3959</v>
      </c>
      <c r="F59" s="42">
        <v>71946.980219999998</v>
      </c>
      <c r="G59" s="42">
        <v>0</v>
      </c>
      <c r="H59" s="42">
        <v>0</v>
      </c>
      <c r="I59" s="42">
        <v>114.2372982</v>
      </c>
      <c r="J59" s="42">
        <v>26924542.93</v>
      </c>
      <c r="K59" s="42">
        <v>24834880.640000001</v>
      </c>
      <c r="L59" s="42">
        <v>-2089662.29</v>
      </c>
      <c r="M59" s="40"/>
      <c r="N59" s="42">
        <f t="shared" si="10"/>
        <v>0.646177762194176</v>
      </c>
      <c r="O59" s="43">
        <f t="shared" si="9"/>
        <v>2672.1709039611915</v>
      </c>
      <c r="P59" s="15">
        <f t="shared" ref="P59:P63" si="13">H59/E59</f>
        <v>0</v>
      </c>
      <c r="Q59" s="111">
        <f t="shared" ref="Q59:Q63" si="14">I59/E59</f>
        <v>1.0260000000592766E-3</v>
      </c>
    </row>
    <row r="60" spans="1:17" s="6" customFormat="1" x14ac:dyDescent="0.2">
      <c r="A60" s="6" t="s">
        <v>695</v>
      </c>
      <c r="B60" s="6" t="s">
        <v>696</v>
      </c>
      <c r="C60" s="8" t="s">
        <v>698</v>
      </c>
      <c r="D60" s="6" t="s">
        <v>688</v>
      </c>
      <c r="E60" s="9">
        <v>332368.20980000001</v>
      </c>
      <c r="F60" s="9">
        <v>147463.34080000001</v>
      </c>
      <c r="G60" s="9">
        <v>0</v>
      </c>
      <c r="H60" s="9">
        <v>0</v>
      </c>
      <c r="I60" s="9">
        <v>342.3392561</v>
      </c>
      <c r="J60" s="9">
        <v>67616891.269999996</v>
      </c>
      <c r="K60" s="9">
        <v>62003489.93</v>
      </c>
      <c r="L60" s="9">
        <v>-5613401.335</v>
      </c>
      <c r="N60" s="9">
        <f t="shared" si="10"/>
        <v>0.44367462486479958</v>
      </c>
      <c r="O60" s="15">
        <f t="shared" si="9"/>
        <v>2180.8654321472181</v>
      </c>
      <c r="P60" s="15">
        <f t="shared" si="13"/>
        <v>0</v>
      </c>
      <c r="Q60" s="111">
        <f t="shared" si="14"/>
        <v>1.0300000000180523E-3</v>
      </c>
    </row>
    <row r="61" spans="1:17" s="6" customFormat="1" x14ac:dyDescent="0.2">
      <c r="A61" s="6" t="s">
        <v>695</v>
      </c>
      <c r="B61" s="6" t="s">
        <v>696</v>
      </c>
      <c r="C61" s="8" t="s">
        <v>699</v>
      </c>
      <c r="D61" s="6" t="s">
        <v>688</v>
      </c>
      <c r="E61" s="9">
        <v>111502.54090000001</v>
      </c>
      <c r="F61" s="9">
        <v>72469.729380000004</v>
      </c>
      <c r="G61" s="9">
        <v>0</v>
      </c>
      <c r="H61" s="9">
        <v>0</v>
      </c>
      <c r="I61" s="9">
        <v>114.401607</v>
      </c>
      <c r="J61" s="9">
        <v>24567222.300000001</v>
      </c>
      <c r="K61" s="9">
        <v>23966215.440000001</v>
      </c>
      <c r="L61" s="9">
        <v>-601006.85889999999</v>
      </c>
      <c r="N61" s="9">
        <f t="shared" si="10"/>
        <v>0.64993791885867236</v>
      </c>
      <c r="O61" s="15">
        <f t="shared" si="9"/>
        <v>2949.8544237131764</v>
      </c>
      <c r="P61" s="15">
        <f t="shared" si="13"/>
        <v>0</v>
      </c>
      <c r="Q61" s="111">
        <f t="shared" si="14"/>
        <v>1.0260000003282435E-3</v>
      </c>
    </row>
    <row r="62" spans="1:17" s="6" customFormat="1" x14ac:dyDescent="0.2">
      <c r="A62" s="36" t="s">
        <v>695</v>
      </c>
      <c r="B62" s="36" t="s">
        <v>696</v>
      </c>
      <c r="C62" s="37" t="s">
        <v>700</v>
      </c>
      <c r="D62" s="36" t="s">
        <v>688</v>
      </c>
      <c r="E62" s="38">
        <v>33189.901080000003</v>
      </c>
      <c r="F62" s="38">
        <v>18573.877100000002</v>
      </c>
      <c r="G62" s="38">
        <v>0</v>
      </c>
      <c r="H62" s="38">
        <v>0</v>
      </c>
      <c r="I62" s="38">
        <v>34.185598120000002</v>
      </c>
      <c r="J62" s="38">
        <v>8846788.1449999996</v>
      </c>
      <c r="K62" s="38">
        <v>7026115.5269999998</v>
      </c>
      <c r="L62" s="38">
        <v>-1820672.618</v>
      </c>
      <c r="M62" s="36"/>
      <c r="N62" s="38">
        <f t="shared" si="10"/>
        <v>0.55962435848272196</v>
      </c>
      <c r="O62" s="39">
        <f t="shared" si="9"/>
        <v>2099.5051306272694</v>
      </c>
      <c r="P62" s="15">
        <f t="shared" si="13"/>
        <v>0</v>
      </c>
      <c r="Q62" s="111">
        <f t="shared" si="14"/>
        <v>1.0300000002289853E-3</v>
      </c>
    </row>
    <row r="63" spans="1:17" s="6" customFormat="1" x14ac:dyDescent="0.2">
      <c r="A63" s="36" t="s">
        <v>685</v>
      </c>
      <c r="B63" s="36" t="s">
        <v>691</v>
      </c>
      <c r="C63" s="37" t="s">
        <v>701</v>
      </c>
      <c r="D63" s="36" t="s">
        <v>688</v>
      </c>
      <c r="E63" s="38">
        <v>49444.197749999999</v>
      </c>
      <c r="F63" s="38">
        <v>297505.76819999999</v>
      </c>
      <c r="G63" s="38">
        <v>12139468197</v>
      </c>
      <c r="H63" s="38">
        <v>82406996.25</v>
      </c>
      <c r="I63" s="38">
        <v>18.74553147</v>
      </c>
      <c r="J63" s="38">
        <v>3112375.446</v>
      </c>
      <c r="K63" s="38">
        <v>274062410.30000001</v>
      </c>
      <c r="L63" s="38">
        <v>270950034.80000001</v>
      </c>
      <c r="M63" s="36"/>
      <c r="N63" s="38">
        <f t="shared" si="10"/>
        <v>6.0170006135856458</v>
      </c>
      <c r="O63" s="39">
        <f t="shared" si="9"/>
        <v>95588.007732920538</v>
      </c>
      <c r="P63" s="15">
        <f t="shared" si="13"/>
        <v>1666.6666666666667</v>
      </c>
      <c r="Q63" s="111">
        <f t="shared" si="14"/>
        <v>3.7912499996018236E-4</v>
      </c>
    </row>
    <row r="64" spans="1:17" s="16" customFormat="1" x14ac:dyDescent="0.2">
      <c r="A64" s="16" t="s">
        <v>685</v>
      </c>
      <c r="B64" s="16" t="s">
        <v>689</v>
      </c>
      <c r="C64" s="17" t="s">
        <v>702</v>
      </c>
      <c r="D64" s="16" t="s">
        <v>688</v>
      </c>
      <c r="E64" s="18">
        <v>1819.3091569999999</v>
      </c>
      <c r="F64" s="18">
        <v>7409.2096250000004</v>
      </c>
      <c r="G64" s="18">
        <v>528183135.5</v>
      </c>
      <c r="H64" s="18">
        <v>3032181.929</v>
      </c>
      <c r="I64" s="18">
        <v>0</v>
      </c>
      <c r="J64" s="18">
        <v>951675.76249999995</v>
      </c>
      <c r="K64" s="18">
        <v>7029582.3509999998</v>
      </c>
      <c r="L64" s="18">
        <v>6077906.5880000005</v>
      </c>
      <c r="N64" s="18">
        <f t="shared" si="10"/>
        <v>4.0725401708072644</v>
      </c>
      <c r="O64" s="19">
        <f t="shared" si="9"/>
        <v>7785.4348266014604</v>
      </c>
      <c r="P64" s="15">
        <f t="shared" ref="P64:P77" si="15">H64/E64</f>
        <v>1666.6666670331063</v>
      </c>
      <c r="Q64" s="111">
        <f t="shared" ref="Q64:Q77" si="16">I64/E64</f>
        <v>0</v>
      </c>
    </row>
    <row r="65" spans="1:17" s="16" customFormat="1" x14ac:dyDescent="0.2">
      <c r="A65" s="28" t="s">
        <v>685</v>
      </c>
      <c r="B65" s="28" t="s">
        <v>703</v>
      </c>
      <c r="C65" s="29" t="s">
        <v>704</v>
      </c>
      <c r="D65" s="28" t="s">
        <v>688</v>
      </c>
      <c r="E65" s="30">
        <v>10847.690790000001</v>
      </c>
      <c r="F65" s="30">
        <v>46249.677889999999</v>
      </c>
      <c r="G65" s="30">
        <v>3707191910</v>
      </c>
      <c r="H65" s="30">
        <v>18079484.649999999</v>
      </c>
      <c r="I65" s="30">
        <v>0</v>
      </c>
      <c r="J65" s="30">
        <v>6356578.6200000001</v>
      </c>
      <c r="K65" s="30">
        <v>39140590.219999999</v>
      </c>
      <c r="L65" s="30">
        <v>32784011.600000001</v>
      </c>
      <c r="M65" s="28"/>
      <c r="N65" s="30">
        <f t="shared" si="10"/>
        <v>4.2635505367313291</v>
      </c>
      <c r="O65" s="31">
        <f t="shared" si="9"/>
        <v>7275.8760104818775</v>
      </c>
      <c r="P65" s="15">
        <f t="shared" si="15"/>
        <v>1666.6666666666665</v>
      </c>
      <c r="Q65" s="111">
        <f t="shared" si="16"/>
        <v>0</v>
      </c>
    </row>
    <row r="66" spans="1:17" s="6" customFormat="1" x14ac:dyDescent="0.2">
      <c r="A66" s="10" t="s">
        <v>705</v>
      </c>
      <c r="B66" s="10" t="s">
        <v>706</v>
      </c>
      <c r="C66" s="11" t="s">
        <v>707</v>
      </c>
      <c r="D66" s="10" t="s">
        <v>688</v>
      </c>
      <c r="E66" s="12">
        <v>2123.6319189999999</v>
      </c>
      <c r="F66" s="12">
        <v>6140.8733089999996</v>
      </c>
      <c r="G66" s="12">
        <v>419910194.89999998</v>
      </c>
      <c r="H66" s="12">
        <v>3539386.5320000001</v>
      </c>
      <c r="I66" s="12">
        <v>7.8999107390000001</v>
      </c>
      <c r="J66" s="12">
        <v>1002431.799</v>
      </c>
      <c r="K66" s="12">
        <v>10666113.08</v>
      </c>
      <c r="L66" s="12">
        <v>9663681.2760000005</v>
      </c>
      <c r="M66" s="10"/>
      <c r="N66" s="12">
        <f t="shared" si="10"/>
        <v>2.8916844082338358</v>
      </c>
      <c r="O66" s="20">
        <f t="shared" si="9"/>
        <v>6125.9761662848041</v>
      </c>
      <c r="P66" s="15">
        <f t="shared" si="15"/>
        <v>1666.6666668236305</v>
      </c>
      <c r="Q66" s="111">
        <f t="shared" si="16"/>
        <v>3.7200000001506852E-3</v>
      </c>
    </row>
    <row r="67" spans="1:17" s="6" customFormat="1" x14ac:dyDescent="0.2">
      <c r="A67" s="10" t="s">
        <v>705</v>
      </c>
      <c r="B67" s="10" t="s">
        <v>706</v>
      </c>
      <c r="C67" s="11" t="s">
        <v>708</v>
      </c>
      <c r="D67" s="10" t="s">
        <v>688</v>
      </c>
      <c r="E67" s="12">
        <v>13517.771860000001</v>
      </c>
      <c r="F67" s="12">
        <v>19401.586009999999</v>
      </c>
      <c r="G67" s="12">
        <v>1419930262</v>
      </c>
      <c r="H67" s="12">
        <v>22529619.77</v>
      </c>
      <c r="I67" s="12">
        <v>50.286111339999998</v>
      </c>
      <c r="J67" s="12">
        <v>6235372.4960000003</v>
      </c>
      <c r="K67" s="12">
        <v>66578814.689999998</v>
      </c>
      <c r="L67" s="12">
        <v>60343442.200000003</v>
      </c>
      <c r="M67" s="10"/>
      <c r="N67" s="12">
        <f t="shared" si="10"/>
        <v>1.4352650873928863</v>
      </c>
      <c r="O67" s="20">
        <f t="shared" si="9"/>
        <v>3111.5360024515203</v>
      </c>
      <c r="P67" s="15">
        <f t="shared" si="15"/>
        <v>1666.6666669132555</v>
      </c>
      <c r="Q67" s="111">
        <f t="shared" si="16"/>
        <v>3.7200000015387147E-3</v>
      </c>
    </row>
    <row r="68" spans="1:17" s="6" customFormat="1" x14ac:dyDescent="0.2">
      <c r="A68" s="10" t="s">
        <v>705</v>
      </c>
      <c r="B68" s="10" t="s">
        <v>706</v>
      </c>
      <c r="C68" s="11" t="s">
        <v>709</v>
      </c>
      <c r="D68" s="10" t="s">
        <v>688</v>
      </c>
      <c r="E68" s="12">
        <v>3319.1933469999999</v>
      </c>
      <c r="F68" s="12">
        <v>5387.2798409999996</v>
      </c>
      <c r="G68" s="12">
        <v>379005284.80000001</v>
      </c>
      <c r="H68" s="12">
        <v>5531988.9110000003</v>
      </c>
      <c r="I68" s="12">
        <v>12.34739925</v>
      </c>
      <c r="J68" s="12">
        <v>4011297.6060000001</v>
      </c>
      <c r="K68" s="12">
        <v>16381252.41</v>
      </c>
      <c r="L68" s="12">
        <v>12369954.800000001</v>
      </c>
      <c r="M68" s="10"/>
      <c r="N68" s="12">
        <f t="shared" si="10"/>
        <v>1.6230690043619203</v>
      </c>
      <c r="O68" s="20">
        <f t="shared" si="9"/>
        <v>1343.0267135856086</v>
      </c>
      <c r="P68" s="15">
        <f t="shared" si="15"/>
        <v>1666.6666664658148</v>
      </c>
      <c r="Q68" s="111">
        <f t="shared" si="16"/>
        <v>3.7199999997469266E-3</v>
      </c>
    </row>
    <row r="69" spans="1:17" s="6" customFormat="1" x14ac:dyDescent="0.2">
      <c r="A69" s="10" t="s">
        <v>705</v>
      </c>
      <c r="B69" s="10" t="s">
        <v>706</v>
      </c>
      <c r="C69" s="11" t="s">
        <v>629</v>
      </c>
      <c r="D69" s="10" t="s">
        <v>688</v>
      </c>
      <c r="E69" s="12">
        <v>8263.9124640000009</v>
      </c>
      <c r="F69" s="12">
        <v>15312.26701</v>
      </c>
      <c r="G69" s="12">
        <v>1078639849</v>
      </c>
      <c r="H69" s="12">
        <v>13773187.439999999</v>
      </c>
      <c r="I69" s="12">
        <v>30.741754369999999</v>
      </c>
      <c r="J69" s="12">
        <v>5871075.7199999997</v>
      </c>
      <c r="K69" s="12">
        <v>40924538.340000004</v>
      </c>
      <c r="L69" s="12">
        <v>35053462.619999997</v>
      </c>
      <c r="M69" s="10"/>
      <c r="N69" s="12">
        <f t="shared" si="10"/>
        <v>1.8529076967725244</v>
      </c>
      <c r="O69" s="20">
        <f t="shared" si="9"/>
        <v>2608.0854242499877</v>
      </c>
      <c r="P69" s="15">
        <f t="shared" si="15"/>
        <v>1666.6666666666665</v>
      </c>
      <c r="Q69" s="111">
        <f t="shared" si="16"/>
        <v>3.7200000004743512E-3</v>
      </c>
    </row>
    <row r="70" spans="1:17" s="6" customFormat="1" x14ac:dyDescent="0.2">
      <c r="A70" s="10" t="s">
        <v>705</v>
      </c>
      <c r="B70" s="10" t="s">
        <v>706</v>
      </c>
      <c r="C70" s="11" t="s">
        <v>710</v>
      </c>
      <c r="D70" s="10" t="s">
        <v>688</v>
      </c>
      <c r="E70" s="12">
        <v>1269.0321759999999</v>
      </c>
      <c r="F70" s="12">
        <v>162.4519032</v>
      </c>
      <c r="G70" s="12">
        <v>20461868.789999999</v>
      </c>
      <c r="H70" s="12">
        <v>2115053.6260000002</v>
      </c>
      <c r="I70" s="12">
        <v>4.7207996940000001</v>
      </c>
      <c r="J70" s="12">
        <v>119161.3835</v>
      </c>
      <c r="K70" s="12">
        <v>6146182.7000000002</v>
      </c>
      <c r="L70" s="12">
        <v>6027021.3169999998</v>
      </c>
      <c r="M70" s="10"/>
      <c r="N70" s="12">
        <f t="shared" si="10"/>
        <v>0.12801243835443935</v>
      </c>
      <c r="O70" s="20">
        <f t="shared" si="9"/>
        <v>1363.2931947286429</v>
      </c>
      <c r="P70" s="15">
        <f t="shared" si="15"/>
        <v>1666.6666661413321</v>
      </c>
      <c r="Q70" s="111">
        <f t="shared" si="16"/>
        <v>3.719999999432639E-3</v>
      </c>
    </row>
    <row r="71" spans="1:17" s="6" customFormat="1" x14ac:dyDescent="0.2">
      <c r="A71" s="6" t="s">
        <v>685</v>
      </c>
      <c r="B71" s="6" t="s">
        <v>689</v>
      </c>
      <c r="C71" s="8" t="s">
        <v>711</v>
      </c>
      <c r="D71" s="6" t="s">
        <v>688</v>
      </c>
      <c r="E71" s="9">
        <v>5370.7427369999996</v>
      </c>
      <c r="F71" s="9">
        <v>24401.643489999999</v>
      </c>
      <c r="G71" s="9">
        <v>1465367932</v>
      </c>
      <c r="H71" s="9">
        <v>8951237.8949999996</v>
      </c>
      <c r="I71" s="9">
        <v>8.1447313599999998</v>
      </c>
      <c r="J71" s="9">
        <v>8363814.642</v>
      </c>
      <c r="K71" s="9">
        <v>28831974.170000002</v>
      </c>
      <c r="L71" s="9">
        <v>20468159.530000001</v>
      </c>
      <c r="N71" s="9">
        <f t="shared" si="10"/>
        <v>4.5434392755200781</v>
      </c>
      <c r="O71" s="15">
        <f t="shared" si="9"/>
        <v>2917.5256189279853</v>
      </c>
      <c r="P71" s="15">
        <f t="shared" si="15"/>
        <v>1666.6666666666667</v>
      </c>
      <c r="Q71" s="111">
        <f t="shared" si="16"/>
        <v>1.516499999877019E-3</v>
      </c>
    </row>
    <row r="72" spans="1:17" s="6" customFormat="1" x14ac:dyDescent="0.2">
      <c r="A72" s="6" t="s">
        <v>685</v>
      </c>
      <c r="B72" s="6" t="s">
        <v>689</v>
      </c>
      <c r="C72" s="8" t="s">
        <v>712</v>
      </c>
      <c r="D72" s="6" t="s">
        <v>688</v>
      </c>
      <c r="E72" s="9">
        <v>4000.3119430000002</v>
      </c>
      <c r="F72" s="9">
        <v>16490.148150000001</v>
      </c>
      <c r="G72" s="9">
        <v>1029112391</v>
      </c>
      <c r="H72" s="9">
        <v>6667186.5719999997</v>
      </c>
      <c r="I72" s="9">
        <v>6.066473062</v>
      </c>
      <c r="J72" s="9">
        <v>1687197.889</v>
      </c>
      <c r="K72" s="9">
        <v>14257373.75</v>
      </c>
      <c r="L72" s="9">
        <v>12570175.859999999</v>
      </c>
      <c r="N72" s="9">
        <f t="shared" si="10"/>
        <v>4.1222155634276243</v>
      </c>
      <c r="O72" s="15">
        <f t="shared" si="9"/>
        <v>9773.6894157529387</v>
      </c>
      <c r="P72" s="15">
        <f t="shared" si="15"/>
        <v>1666.6666667499933</v>
      </c>
      <c r="Q72" s="111">
        <f t="shared" si="16"/>
        <v>1.5165000001101164E-3</v>
      </c>
    </row>
    <row r="73" spans="1:17" s="6" customFormat="1" x14ac:dyDescent="0.2">
      <c r="A73" s="6" t="s">
        <v>685</v>
      </c>
      <c r="B73" s="6" t="s">
        <v>703</v>
      </c>
      <c r="C73" s="8" t="s">
        <v>713</v>
      </c>
      <c r="D73" s="6" t="s">
        <v>688</v>
      </c>
      <c r="E73" s="9">
        <v>5419.2444130000003</v>
      </c>
      <c r="F73" s="9">
        <v>23743.105800000001</v>
      </c>
      <c r="G73" s="9">
        <v>1708595695</v>
      </c>
      <c r="H73" s="9">
        <v>9032074.0219999999</v>
      </c>
      <c r="I73" s="9">
        <v>0</v>
      </c>
      <c r="J73" s="9">
        <v>4889234.3739999998</v>
      </c>
      <c r="K73" s="9">
        <v>20939280.57</v>
      </c>
      <c r="L73" s="9">
        <v>16050046.189999999</v>
      </c>
      <c r="N73" s="9">
        <f t="shared" si="10"/>
        <v>4.3812576054041132</v>
      </c>
      <c r="O73" s="15">
        <f t="shared" si="9"/>
        <v>4856.2011930254839</v>
      </c>
      <c r="P73" s="15">
        <f t="shared" si="15"/>
        <v>1666.6666667281756</v>
      </c>
      <c r="Q73" s="111">
        <f t="shared" si="16"/>
        <v>0</v>
      </c>
    </row>
    <row r="74" spans="1:17" s="6" customFormat="1" x14ac:dyDescent="0.2">
      <c r="A74" s="10" t="s">
        <v>685</v>
      </c>
      <c r="B74" s="10" t="s">
        <v>693</v>
      </c>
      <c r="C74" s="11" t="s">
        <v>714</v>
      </c>
      <c r="D74" s="10" t="s">
        <v>688</v>
      </c>
      <c r="E74" s="12">
        <v>19.98235901</v>
      </c>
      <c r="F74" s="12">
        <v>2.557990502</v>
      </c>
      <c r="G74" s="12">
        <v>322195.462</v>
      </c>
      <c r="H74" s="12">
        <v>33303.931680000002</v>
      </c>
      <c r="I74" s="12">
        <v>7.4334375999999994E-2</v>
      </c>
      <c r="J74" s="12">
        <v>28849.31998</v>
      </c>
      <c r="K74" s="12">
        <v>61040.898359999999</v>
      </c>
      <c r="L74" s="12">
        <v>32191.578379999999</v>
      </c>
      <c r="M74" s="10"/>
      <c r="N74" s="12">
        <f t="shared" si="10"/>
        <v>0.12801243840729093</v>
      </c>
      <c r="O74" s="20">
        <f t="shared" si="9"/>
        <v>88.667272011033376</v>
      </c>
      <c r="P74" s="15">
        <f t="shared" si="15"/>
        <v>1666.6666664998529</v>
      </c>
      <c r="Q74" s="111">
        <f t="shared" si="16"/>
        <v>3.7200000241613112E-3</v>
      </c>
    </row>
    <row r="75" spans="1:17" s="6" customFormat="1" x14ac:dyDescent="0.2">
      <c r="A75" s="36" t="s">
        <v>695</v>
      </c>
      <c r="B75" s="36" t="s">
        <v>696</v>
      </c>
      <c r="C75" s="37" t="s">
        <v>715</v>
      </c>
      <c r="D75" s="36" t="s">
        <v>688</v>
      </c>
      <c r="E75" s="38">
        <v>24551.409439999999</v>
      </c>
      <c r="F75" s="38">
        <v>15087.96097</v>
      </c>
      <c r="G75" s="38">
        <v>0</v>
      </c>
      <c r="H75" s="38">
        <v>0</v>
      </c>
      <c r="I75" s="38">
        <v>0</v>
      </c>
      <c r="J75" s="38">
        <v>4542722.8640000001</v>
      </c>
      <c r="K75" s="38">
        <v>2712859.3730000001</v>
      </c>
      <c r="L75" s="38">
        <v>-1829863.4909999999</v>
      </c>
      <c r="M75" s="36"/>
      <c r="N75" s="38">
        <f t="shared" si="10"/>
        <v>0.61454561323140067</v>
      </c>
      <c r="O75" s="39">
        <f t="shared" si="9"/>
        <v>3321.3474433072965</v>
      </c>
      <c r="P75" s="15">
        <f t="shared" si="15"/>
        <v>0</v>
      </c>
      <c r="Q75" s="111">
        <f t="shared" si="16"/>
        <v>0</v>
      </c>
    </row>
    <row r="76" spans="1:17" s="6" customFormat="1" x14ac:dyDescent="0.2">
      <c r="A76" s="10" t="s">
        <v>685</v>
      </c>
      <c r="B76" s="10" t="s">
        <v>693</v>
      </c>
      <c r="C76" s="11" t="s">
        <v>716</v>
      </c>
      <c r="D76" s="10" t="s">
        <v>688</v>
      </c>
      <c r="E76" s="12">
        <v>10937.861000000001</v>
      </c>
      <c r="F76" s="12">
        <v>2610.6561379999998</v>
      </c>
      <c r="G76" s="12">
        <v>344251793.80000001</v>
      </c>
      <c r="H76" s="12">
        <v>18229768.329999998</v>
      </c>
      <c r="I76" s="12">
        <v>16.587266199999998</v>
      </c>
      <c r="J76" s="12">
        <v>10485385.07</v>
      </c>
      <c r="K76" s="12">
        <v>24384553.5</v>
      </c>
      <c r="L76" s="12">
        <v>13899168.43</v>
      </c>
      <c r="M76" s="10"/>
      <c r="N76" s="12">
        <f t="shared" si="10"/>
        <v>0.23868068336213083</v>
      </c>
      <c r="O76" s="20">
        <f t="shared" si="9"/>
        <v>248.9804733513711</v>
      </c>
      <c r="P76" s="15">
        <f t="shared" si="15"/>
        <v>1666.6666663619146</v>
      </c>
      <c r="Q76" s="111">
        <f t="shared" si="16"/>
        <v>1.5164999994057337E-3</v>
      </c>
    </row>
    <row r="77" spans="1:17" s="6" customFormat="1" x14ac:dyDescent="0.2">
      <c r="A77" s="28" t="s">
        <v>685</v>
      </c>
      <c r="B77" s="28" t="s">
        <v>689</v>
      </c>
      <c r="C77" s="29" t="s">
        <v>717</v>
      </c>
      <c r="D77" s="28" t="s">
        <v>688</v>
      </c>
      <c r="E77" s="30">
        <v>744.98391560000005</v>
      </c>
      <c r="F77" s="30">
        <v>4397.9985219999999</v>
      </c>
      <c r="G77" s="30">
        <v>268345981.69999999</v>
      </c>
      <c r="H77" s="30">
        <v>1241639.8589999999</v>
      </c>
      <c r="I77" s="30">
        <v>0</v>
      </c>
      <c r="J77" s="30">
        <v>631233.34169999999</v>
      </c>
      <c r="K77" s="30">
        <v>2878524.3909999998</v>
      </c>
      <c r="L77" s="30">
        <v>2247291.0490000001</v>
      </c>
      <c r="M77" s="28"/>
      <c r="N77" s="30">
        <f t="shared" si="10"/>
        <v>5.9034811757753332</v>
      </c>
      <c r="O77" s="31">
        <f t="shared" si="9"/>
        <v>6967.3102345252755</v>
      </c>
      <c r="P77" s="15">
        <f t="shared" si="15"/>
        <v>1666.6666662192295</v>
      </c>
      <c r="Q77" s="111">
        <f t="shared" si="16"/>
        <v>0</v>
      </c>
    </row>
    <row r="78" spans="1:17" s="6" customFormat="1" x14ac:dyDescent="0.2">
      <c r="A78" s="28" t="s">
        <v>685</v>
      </c>
      <c r="B78" s="28" t="s">
        <v>703</v>
      </c>
      <c r="C78" s="29" t="s">
        <v>718</v>
      </c>
      <c r="D78" s="28" t="s">
        <v>688</v>
      </c>
      <c r="E78" s="30">
        <v>10963.67102</v>
      </c>
      <c r="F78" s="30">
        <v>41853.753499999999</v>
      </c>
      <c r="G78" s="30">
        <v>3055502741</v>
      </c>
      <c r="H78" s="30">
        <v>18272785.039999999</v>
      </c>
      <c r="I78" s="30">
        <v>16.626407109999999</v>
      </c>
      <c r="J78" s="30">
        <v>7444270.7800000003</v>
      </c>
      <c r="K78" s="30">
        <v>36636611.740000002</v>
      </c>
      <c r="L78" s="30">
        <v>29192340.960000001</v>
      </c>
      <c r="M78" s="28"/>
      <c r="N78" s="30">
        <f t="shared" si="10"/>
        <v>3.8174944709349732</v>
      </c>
      <c r="O78" s="31">
        <f t="shared" si="9"/>
        <v>5622.2771493543114</v>
      </c>
      <c r="P78" s="15">
        <f t="shared" ref="P78:P96" si="17">H78/E78</f>
        <v>1666.6666672747353</v>
      </c>
      <c r="Q78" s="111">
        <f t="shared" ref="Q78:Q96" si="18">I78/E78</f>
        <v>1.5165000007451883E-3</v>
      </c>
    </row>
    <row r="79" spans="1:17" s="6" customFormat="1" x14ac:dyDescent="0.2">
      <c r="A79" s="6" t="s">
        <v>685</v>
      </c>
      <c r="B79" s="6" t="s">
        <v>691</v>
      </c>
      <c r="C79" s="8" t="s">
        <v>719</v>
      </c>
      <c r="D79" s="6" t="s">
        <v>688</v>
      </c>
      <c r="E79" s="9">
        <v>307.4703816</v>
      </c>
      <c r="F79" s="9">
        <v>1664.9751940000001</v>
      </c>
      <c r="G79" s="9">
        <v>145950659</v>
      </c>
      <c r="H79" s="9">
        <v>512450.636</v>
      </c>
      <c r="I79" s="9">
        <v>0</v>
      </c>
      <c r="J79" s="9">
        <v>48068.777249999999</v>
      </c>
      <c r="K79" s="9">
        <v>579922.98120000004</v>
      </c>
      <c r="L79" s="9">
        <v>531854.20400000003</v>
      </c>
      <c r="N79" s="9">
        <f t="shared" si="10"/>
        <v>5.4150750564522019</v>
      </c>
      <c r="O79" s="15">
        <f t="shared" si="9"/>
        <v>34637.352752716426</v>
      </c>
      <c r="P79" s="15">
        <f t="shared" si="17"/>
        <v>1666.6666666666667</v>
      </c>
      <c r="Q79" s="111">
        <f t="shared" si="18"/>
        <v>0</v>
      </c>
    </row>
    <row r="80" spans="1:17" s="6" customFormat="1" x14ac:dyDescent="0.2">
      <c r="A80" s="32" t="s">
        <v>685</v>
      </c>
      <c r="B80" s="32" t="s">
        <v>691</v>
      </c>
      <c r="C80" s="33" t="s">
        <v>720</v>
      </c>
      <c r="D80" s="32" t="s">
        <v>688</v>
      </c>
      <c r="E80" s="34">
        <v>1155.031823</v>
      </c>
      <c r="F80" s="34">
        <v>6254.584014</v>
      </c>
      <c r="G80" s="34">
        <v>548272828.29999995</v>
      </c>
      <c r="H80" s="34">
        <v>1925053.0390000001</v>
      </c>
      <c r="I80" s="34">
        <v>0</v>
      </c>
      <c r="J80" s="34">
        <v>164614.19880000001</v>
      </c>
      <c r="K80" s="34">
        <v>1344516.4450000001</v>
      </c>
      <c r="L80" s="34">
        <v>1179902.246</v>
      </c>
      <c r="M80" s="32"/>
      <c r="N80" s="34">
        <f t="shared" si="10"/>
        <v>5.4150750563346168</v>
      </c>
      <c r="O80" s="35">
        <f t="shared" si="9"/>
        <v>37995.410235535521</v>
      </c>
      <c r="P80" s="15">
        <f t="shared" si="17"/>
        <v>1666.6666672438514</v>
      </c>
      <c r="Q80" s="111">
        <f t="shared" si="18"/>
        <v>0</v>
      </c>
    </row>
    <row r="81" spans="1:17" s="6" customFormat="1" x14ac:dyDescent="0.2">
      <c r="A81" s="6" t="s">
        <v>695</v>
      </c>
      <c r="B81" s="6" t="s">
        <v>696</v>
      </c>
      <c r="C81" s="8" t="s">
        <v>721</v>
      </c>
      <c r="D81" s="6" t="s">
        <v>688</v>
      </c>
      <c r="E81" s="9">
        <v>115987.7896</v>
      </c>
      <c r="F81" s="9">
        <v>23832.457590000002</v>
      </c>
      <c r="G81" s="9">
        <v>0</v>
      </c>
      <c r="H81" s="9">
        <v>0</v>
      </c>
      <c r="I81" s="9">
        <v>175.89548289999999</v>
      </c>
      <c r="J81" s="9">
        <v>20093272.699999999</v>
      </c>
      <c r="K81" s="9">
        <v>37066136</v>
      </c>
      <c r="L81" s="9">
        <v>16972863.289999999</v>
      </c>
      <c r="N81" s="9">
        <f t="shared" si="10"/>
        <v>0.20547384920593401</v>
      </c>
      <c r="O81" s="15">
        <f t="shared" si="9"/>
        <v>1186.091382216696</v>
      </c>
      <c r="P81" s="15">
        <f t="shared" si="17"/>
        <v>0</v>
      </c>
      <c r="Q81" s="111">
        <f t="shared" si="18"/>
        <v>1.5164999997551464E-3</v>
      </c>
    </row>
    <row r="82" spans="1:17" s="6" customFormat="1" x14ac:dyDescent="0.2">
      <c r="A82" s="6" t="s">
        <v>685</v>
      </c>
      <c r="B82" s="6" t="s">
        <v>686</v>
      </c>
      <c r="C82" s="8" t="s">
        <v>722</v>
      </c>
      <c r="D82" s="6" t="s">
        <v>688</v>
      </c>
      <c r="E82" s="9">
        <v>117475.54489999999</v>
      </c>
      <c r="F82" s="9">
        <v>299941.49979999999</v>
      </c>
      <c r="G82" s="9">
        <v>25686872734</v>
      </c>
      <c r="H82" s="9">
        <v>195792574.80000001</v>
      </c>
      <c r="I82" s="9">
        <v>178.15166379999999</v>
      </c>
      <c r="J82" s="9">
        <v>119356044</v>
      </c>
      <c r="K82" s="9">
        <v>288536953.10000002</v>
      </c>
      <c r="L82" s="9">
        <v>169180909.09999999</v>
      </c>
      <c r="N82" s="9">
        <f t="shared" si="10"/>
        <v>2.553225014238687</v>
      </c>
      <c r="O82" s="15">
        <f t="shared" si="9"/>
        <v>2512.9979994980399</v>
      </c>
      <c r="P82" s="15">
        <f t="shared" si="17"/>
        <v>1666.6666663829199</v>
      </c>
      <c r="Q82" s="111">
        <f t="shared" si="18"/>
        <v>1.516499999652268E-3</v>
      </c>
    </row>
    <row r="83" spans="1:17" s="6" customFormat="1" x14ac:dyDescent="0.2">
      <c r="A83" s="6" t="s">
        <v>685</v>
      </c>
      <c r="B83" s="6" t="s">
        <v>686</v>
      </c>
      <c r="C83" s="8" t="s">
        <v>723</v>
      </c>
      <c r="D83" s="6" t="s">
        <v>688</v>
      </c>
      <c r="E83" s="9">
        <v>169660.23360000001</v>
      </c>
      <c r="F83" s="9">
        <v>433180.7525</v>
      </c>
      <c r="G83" s="9">
        <v>37097430226</v>
      </c>
      <c r="H83" s="9">
        <v>282767056</v>
      </c>
      <c r="I83" s="9">
        <v>0</v>
      </c>
      <c r="J83" s="9">
        <v>35686764</v>
      </c>
      <c r="K83" s="9">
        <v>109043796.7</v>
      </c>
      <c r="L83" s="9">
        <v>73357032.689999998</v>
      </c>
      <c r="N83" s="9">
        <f t="shared" si="10"/>
        <v>2.5532250151281177</v>
      </c>
      <c r="O83" s="15">
        <f t="shared" si="9"/>
        <v>12138.415029729229</v>
      </c>
      <c r="P83" s="15">
        <f t="shared" si="17"/>
        <v>1666.6666666666665</v>
      </c>
      <c r="Q83" s="111">
        <f t="shared" si="18"/>
        <v>0</v>
      </c>
    </row>
    <row r="84" spans="1:17" s="6" customFormat="1" x14ac:dyDescent="0.2">
      <c r="A84" s="6" t="s">
        <v>685</v>
      </c>
      <c r="B84" s="6" t="s">
        <v>689</v>
      </c>
      <c r="C84" s="8" t="s">
        <v>724</v>
      </c>
      <c r="D84" s="6" t="s">
        <v>688</v>
      </c>
      <c r="E84" s="9">
        <v>15811.489509999999</v>
      </c>
      <c r="F84" s="9">
        <v>75437.963489999995</v>
      </c>
      <c r="G84" s="9">
        <v>5283422617</v>
      </c>
      <c r="H84" s="9">
        <v>26352482.52</v>
      </c>
      <c r="I84" s="9">
        <v>23.978123839999999</v>
      </c>
      <c r="J84" s="9">
        <v>15159021.359999999</v>
      </c>
      <c r="K84" s="9">
        <v>74054240.569999993</v>
      </c>
      <c r="L84" s="9">
        <v>58895219.210000001</v>
      </c>
      <c r="N84" s="9">
        <f t="shared" si="10"/>
        <v>4.771085193604887</v>
      </c>
      <c r="O84" s="15">
        <f t="shared" si="9"/>
        <v>4976.4402132882806</v>
      </c>
      <c r="P84" s="15">
        <f t="shared" si="17"/>
        <v>1666.6666668774837</v>
      </c>
      <c r="Q84" s="111">
        <f t="shared" si="18"/>
        <v>1.5164999998788856E-3</v>
      </c>
    </row>
    <row r="85" spans="1:17" s="6" customFormat="1" x14ac:dyDescent="0.2">
      <c r="A85" s="6" t="s">
        <v>685</v>
      </c>
      <c r="B85" s="6" t="s">
        <v>691</v>
      </c>
      <c r="C85" s="8" t="s">
        <v>725</v>
      </c>
      <c r="D85" s="6" t="s">
        <v>688</v>
      </c>
      <c r="E85" s="9">
        <v>19299.563689999999</v>
      </c>
      <c r="F85" s="9">
        <v>96607.604560000007</v>
      </c>
      <c r="G85" s="9">
        <v>3967271781</v>
      </c>
      <c r="H85" s="9">
        <v>32165939.489999998</v>
      </c>
      <c r="I85" s="9">
        <v>29.267788339999999</v>
      </c>
      <c r="J85" s="9">
        <v>9841081.6260000002</v>
      </c>
      <c r="K85" s="9">
        <v>98430115.819999993</v>
      </c>
      <c r="L85" s="9">
        <v>88589034.200000003</v>
      </c>
      <c r="N85" s="9">
        <f t="shared" si="10"/>
        <v>5.0056885280809169</v>
      </c>
      <c r="O85" s="15">
        <f t="shared" si="9"/>
        <v>9816.7669196812749</v>
      </c>
      <c r="P85" s="15">
        <f t="shared" si="17"/>
        <v>1666.6666670120976</v>
      </c>
      <c r="Q85" s="111">
        <f t="shared" si="18"/>
        <v>1.5165000002132173E-3</v>
      </c>
    </row>
    <row r="86" spans="1:17" s="6" customFormat="1" x14ac:dyDescent="0.2">
      <c r="A86" s="6" t="s">
        <v>685</v>
      </c>
      <c r="B86" s="6" t="s">
        <v>689</v>
      </c>
      <c r="C86" s="8" t="s">
        <v>726</v>
      </c>
      <c r="D86" s="6" t="s">
        <v>688</v>
      </c>
      <c r="E86" s="9">
        <v>923.93626540000002</v>
      </c>
      <c r="F86" s="9">
        <v>4989.1378489999997</v>
      </c>
      <c r="G86" s="9">
        <v>300780360</v>
      </c>
      <c r="H86" s="9">
        <v>1539893.7760000001</v>
      </c>
      <c r="I86" s="9">
        <v>0</v>
      </c>
      <c r="J86" s="9">
        <v>256642.19820000001</v>
      </c>
      <c r="K86" s="9">
        <v>3616106.16</v>
      </c>
      <c r="L86" s="9">
        <v>3359463.9610000001</v>
      </c>
      <c r="N86" s="9">
        <f t="shared" si="10"/>
        <v>5.3998723027069957</v>
      </c>
      <c r="O86" s="15">
        <f t="shared" si="9"/>
        <v>19440.052664729708</v>
      </c>
      <c r="P86" s="15">
        <f t="shared" si="17"/>
        <v>1666.6666670274419</v>
      </c>
      <c r="Q86" s="111">
        <f t="shared" si="18"/>
        <v>0</v>
      </c>
    </row>
    <row r="87" spans="1:17" s="6" customFormat="1" x14ac:dyDescent="0.2">
      <c r="A87" s="6" t="s">
        <v>685</v>
      </c>
      <c r="B87" s="6" t="s">
        <v>691</v>
      </c>
      <c r="C87" s="8" t="s">
        <v>727</v>
      </c>
      <c r="D87" s="6" t="s">
        <v>688</v>
      </c>
      <c r="E87" s="9">
        <v>5166.4709979999998</v>
      </c>
      <c r="F87" s="9">
        <v>38293.67151</v>
      </c>
      <c r="G87" s="9">
        <v>1784592307</v>
      </c>
      <c r="H87" s="9">
        <v>8610784.9959999993</v>
      </c>
      <c r="I87" s="9">
        <v>7.8349532679999996</v>
      </c>
      <c r="J87" s="9">
        <v>924697.87760000001</v>
      </c>
      <c r="K87" s="9">
        <v>29710328.359999999</v>
      </c>
      <c r="L87" s="9">
        <v>28785630.489999998</v>
      </c>
      <c r="N87" s="9">
        <f t="shared" si="10"/>
        <v>7.4119590577057179</v>
      </c>
      <c r="O87" s="15">
        <f t="shared" si="9"/>
        <v>41412.089762105883</v>
      </c>
      <c r="P87" s="15">
        <f t="shared" si="17"/>
        <v>1666.6666665376295</v>
      </c>
      <c r="Q87" s="111">
        <f t="shared" si="18"/>
        <v>1.5164999999096095E-3</v>
      </c>
    </row>
    <row r="88" spans="1:17" s="6" customFormat="1" x14ac:dyDescent="0.2">
      <c r="A88" s="6" t="s">
        <v>685</v>
      </c>
      <c r="B88" s="6" t="s">
        <v>693</v>
      </c>
      <c r="C88" s="8" t="s">
        <v>728</v>
      </c>
      <c r="D88" s="6" t="s">
        <v>688</v>
      </c>
      <c r="E88" s="9">
        <v>1693.3640519999999</v>
      </c>
      <c r="F88" s="9">
        <v>5860.6912789999997</v>
      </c>
      <c r="G88" s="9">
        <v>498127177.39999998</v>
      </c>
      <c r="H88" s="9">
        <v>2822273.42</v>
      </c>
      <c r="I88" s="9">
        <v>0</v>
      </c>
      <c r="J88" s="9">
        <v>3155218.5469999998</v>
      </c>
      <c r="K88" s="9">
        <v>7348863.5470000003</v>
      </c>
      <c r="L88" s="9">
        <v>4193645</v>
      </c>
      <c r="N88" s="9">
        <f t="shared" si="10"/>
        <v>3.4609753715263114</v>
      </c>
      <c r="O88" s="15">
        <f t="shared" si="9"/>
        <v>1857.4596946929014</v>
      </c>
      <c r="P88" s="15">
        <f t="shared" si="17"/>
        <v>1666.6666666666667</v>
      </c>
      <c r="Q88" s="111">
        <f t="shared" si="18"/>
        <v>0</v>
      </c>
    </row>
    <row r="89" spans="1:17" s="6" customFormat="1" x14ac:dyDescent="0.2">
      <c r="A89" s="6" t="s">
        <v>685</v>
      </c>
      <c r="B89" s="6" t="s">
        <v>691</v>
      </c>
      <c r="C89" s="8" t="s">
        <v>729</v>
      </c>
      <c r="D89" s="6" t="s">
        <v>688</v>
      </c>
      <c r="E89" s="9">
        <v>35357.314709999999</v>
      </c>
      <c r="F89" s="9">
        <v>191480.57990000001</v>
      </c>
      <c r="G89" s="9">
        <v>16784836786</v>
      </c>
      <c r="H89" s="9">
        <v>58928857.859999999</v>
      </c>
      <c r="I89" s="9">
        <v>0</v>
      </c>
      <c r="J89" s="9">
        <v>653647.38069999998</v>
      </c>
      <c r="K89" s="9">
        <v>132405022.5</v>
      </c>
      <c r="L89" s="9">
        <v>131751375.09999999</v>
      </c>
      <c r="N89" s="9">
        <f t="shared" si="10"/>
        <v>5.4155860384341956</v>
      </c>
      <c r="O89" s="15">
        <f t="shared" si="9"/>
        <v>292941.70764509268</v>
      </c>
      <c r="P89" s="15">
        <f t="shared" si="17"/>
        <v>1666.6666669494937</v>
      </c>
      <c r="Q89" s="111">
        <f t="shared" si="18"/>
        <v>0</v>
      </c>
    </row>
    <row r="90" spans="1:17" s="6" customFormat="1" x14ac:dyDescent="0.2">
      <c r="A90" s="6" t="s">
        <v>685</v>
      </c>
      <c r="B90" s="6" t="s">
        <v>703</v>
      </c>
      <c r="C90" s="8" t="s">
        <v>730</v>
      </c>
      <c r="D90" s="6" t="s">
        <v>688</v>
      </c>
      <c r="E90" s="9">
        <v>293.0511788</v>
      </c>
      <c r="F90" s="9">
        <v>1068.297431</v>
      </c>
      <c r="G90" s="9">
        <v>89187532.349999994</v>
      </c>
      <c r="H90" s="9">
        <v>488418.63130000001</v>
      </c>
      <c r="I90" s="9">
        <v>0</v>
      </c>
      <c r="J90" s="9">
        <v>163268.77129999999</v>
      </c>
      <c r="K90" s="9">
        <v>901343.55319999997</v>
      </c>
      <c r="L90" s="9">
        <v>738074.78189999994</v>
      </c>
      <c r="N90" s="9">
        <f t="shared" si="10"/>
        <v>3.645429564127725</v>
      </c>
      <c r="O90" s="15">
        <f t="shared" si="9"/>
        <v>6543.1828909708956</v>
      </c>
      <c r="P90" s="15">
        <f t="shared" si="17"/>
        <v>1666.666666552921</v>
      </c>
      <c r="Q90" s="111">
        <f t="shared" si="18"/>
        <v>0</v>
      </c>
    </row>
    <row r="91" spans="1:17" s="6" customFormat="1" x14ac:dyDescent="0.2">
      <c r="A91" s="6" t="s">
        <v>685</v>
      </c>
      <c r="B91" s="6" t="s">
        <v>691</v>
      </c>
      <c r="C91" s="8" t="s">
        <v>731</v>
      </c>
      <c r="D91" s="6" t="s">
        <v>688</v>
      </c>
      <c r="E91" s="9">
        <v>102.8197809</v>
      </c>
      <c r="F91" s="9">
        <v>556.50669159999995</v>
      </c>
      <c r="G91" s="9">
        <v>48786432.130000003</v>
      </c>
      <c r="H91" s="9">
        <v>171366.3015</v>
      </c>
      <c r="I91" s="9">
        <v>0</v>
      </c>
      <c r="J91" s="9">
        <v>38557.417840000002</v>
      </c>
      <c r="K91" s="9">
        <v>421693.0613</v>
      </c>
      <c r="L91" s="9">
        <v>383135.64350000001</v>
      </c>
      <c r="N91" s="9">
        <f t="shared" si="10"/>
        <v>5.412447748174495</v>
      </c>
      <c r="O91" s="15">
        <f t="shared" si="9"/>
        <v>14433.193994196161</v>
      </c>
      <c r="P91" s="15">
        <f t="shared" si="17"/>
        <v>1666.6666666666667</v>
      </c>
      <c r="Q91" s="111">
        <f t="shared" si="18"/>
        <v>0</v>
      </c>
    </row>
    <row r="92" spans="1:17" s="6" customFormat="1" x14ac:dyDescent="0.2">
      <c r="A92" s="6" t="s">
        <v>685</v>
      </c>
      <c r="B92" s="6" t="s">
        <v>691</v>
      </c>
      <c r="C92" s="8" t="s">
        <v>732</v>
      </c>
      <c r="D92" s="6" t="s">
        <v>688</v>
      </c>
      <c r="E92" s="9">
        <v>14506.72316</v>
      </c>
      <c r="F92" s="9">
        <v>83038.081049999993</v>
      </c>
      <c r="G92" s="9">
        <v>4562507007</v>
      </c>
      <c r="H92" s="9">
        <v>24177871.940000001</v>
      </c>
      <c r="I92" s="9">
        <v>0</v>
      </c>
      <c r="J92" s="9">
        <v>200962.2438</v>
      </c>
      <c r="K92" s="9">
        <v>70955797.189999998</v>
      </c>
      <c r="L92" s="9">
        <v>70754834.939999998</v>
      </c>
      <c r="N92" s="9">
        <f t="shared" si="10"/>
        <v>5.7241101339111786</v>
      </c>
      <c r="O92" s="15">
        <f t="shared" si="9"/>
        <v>413202.398021792</v>
      </c>
      <c r="P92" s="15">
        <f t="shared" si="17"/>
        <v>1666.666667126224</v>
      </c>
      <c r="Q92" s="111">
        <f t="shared" si="18"/>
        <v>0</v>
      </c>
    </row>
    <row r="93" spans="1:17" s="6" customFormat="1" x14ac:dyDescent="0.2">
      <c r="A93" s="6" t="s">
        <v>685</v>
      </c>
      <c r="B93" s="6" t="s">
        <v>689</v>
      </c>
      <c r="C93" s="8" t="s">
        <v>733</v>
      </c>
      <c r="D93" s="6" t="s">
        <v>688</v>
      </c>
      <c r="E93" s="9">
        <v>12.587534639999999</v>
      </c>
      <c r="F93" s="9">
        <v>92.361420620000004</v>
      </c>
      <c r="G93" s="9">
        <v>4809884.335</v>
      </c>
      <c r="H93" s="9">
        <v>20979.224399999999</v>
      </c>
      <c r="I93" s="9">
        <v>1.9088996E-2</v>
      </c>
      <c r="J93" s="9">
        <v>618.76473699999997</v>
      </c>
      <c r="K93" s="9">
        <v>47523.486199999999</v>
      </c>
      <c r="L93" s="9">
        <v>46904.721460000001</v>
      </c>
      <c r="N93" s="9">
        <f t="shared" si="10"/>
        <v>7.3375306016238309</v>
      </c>
      <c r="O93" s="15">
        <f t="shared" si="9"/>
        <v>149267.42766209057</v>
      </c>
      <c r="P93" s="15">
        <f t="shared" si="17"/>
        <v>1666.6666666666667</v>
      </c>
      <c r="Q93" s="111">
        <f t="shared" si="18"/>
        <v>1.5164999776318391E-3</v>
      </c>
    </row>
    <row r="94" spans="1:17" s="6" customFormat="1" x14ac:dyDescent="0.2">
      <c r="A94" s="6" t="s">
        <v>685</v>
      </c>
      <c r="B94" s="6" t="s">
        <v>703</v>
      </c>
      <c r="C94" s="8" t="s">
        <v>734</v>
      </c>
      <c r="D94" s="6" t="s">
        <v>688</v>
      </c>
      <c r="E94" s="9">
        <v>5570.5857390000001</v>
      </c>
      <c r="F94" s="9">
        <v>22890.481469999999</v>
      </c>
      <c r="G94" s="9">
        <v>1857727973</v>
      </c>
      <c r="H94" s="9">
        <v>9284309.5649999995</v>
      </c>
      <c r="I94" s="9">
        <v>8.4477932730000003</v>
      </c>
      <c r="J94" s="9">
        <v>2245341.3190000001</v>
      </c>
      <c r="K94" s="9">
        <v>19020893.890000001</v>
      </c>
      <c r="L94" s="9">
        <v>16775552.57</v>
      </c>
      <c r="N94" s="9">
        <f t="shared" si="10"/>
        <v>4.1091695815293505</v>
      </c>
      <c r="O94" s="15">
        <f t="shared" si="9"/>
        <v>10194.655608170367</v>
      </c>
      <c r="P94" s="15">
        <f t="shared" si="17"/>
        <v>1666.6666666666665</v>
      </c>
      <c r="Q94" s="111">
        <f t="shared" si="18"/>
        <v>1.5164999999652639E-3</v>
      </c>
    </row>
    <row r="95" spans="1:17" s="6" customFormat="1" x14ac:dyDescent="0.2">
      <c r="A95" s="6" t="s">
        <v>685</v>
      </c>
      <c r="B95" s="6" t="s">
        <v>691</v>
      </c>
      <c r="C95" s="8" t="s">
        <v>735</v>
      </c>
      <c r="D95" s="6" t="s">
        <v>688</v>
      </c>
      <c r="E95" s="9">
        <v>1631.2549610000001</v>
      </c>
      <c r="F95" s="9">
        <v>8835.1340020000007</v>
      </c>
      <c r="G95" s="9">
        <v>774459882.20000005</v>
      </c>
      <c r="H95" s="9">
        <v>2718758.2680000002</v>
      </c>
      <c r="I95" s="9">
        <v>0</v>
      </c>
      <c r="J95" s="9">
        <v>337944.5515</v>
      </c>
      <c r="K95" s="9">
        <v>6078518.2910000002</v>
      </c>
      <c r="L95" s="9">
        <v>5740573.7390000001</v>
      </c>
      <c r="N95" s="9">
        <f t="shared" si="10"/>
        <v>5.4161576290832194</v>
      </c>
      <c r="O95" s="15">
        <f t="shared" si="9"/>
        <v>26143.738559430512</v>
      </c>
      <c r="P95" s="15">
        <f t="shared" si="17"/>
        <v>1666.6666664623251</v>
      </c>
      <c r="Q95" s="111">
        <f t="shared" si="18"/>
        <v>0</v>
      </c>
    </row>
    <row r="96" spans="1:17" s="6" customFormat="1" x14ac:dyDescent="0.2">
      <c r="A96" s="6" t="s">
        <v>685</v>
      </c>
      <c r="B96" s="6" t="s">
        <v>689</v>
      </c>
      <c r="C96" s="8" t="s">
        <v>736</v>
      </c>
      <c r="D96" s="6" t="s">
        <v>688</v>
      </c>
      <c r="E96" s="9">
        <v>16046.05485</v>
      </c>
      <c r="F96" s="9">
        <v>89050.646070000003</v>
      </c>
      <c r="G96" s="9">
        <v>7337772982</v>
      </c>
      <c r="H96" s="9">
        <v>26743424.739999998</v>
      </c>
      <c r="I96" s="9">
        <v>24.33384217</v>
      </c>
      <c r="J96" s="9">
        <v>18078728.699999999</v>
      </c>
      <c r="K96" s="9">
        <v>77870876.599999994</v>
      </c>
      <c r="L96" s="9">
        <v>59792147.909999996</v>
      </c>
      <c r="N96" s="9">
        <f t="shared" si="10"/>
        <v>5.5496909927364486</v>
      </c>
      <c r="O96" s="15">
        <f t="shared" si="9"/>
        <v>4925.7139452510291</v>
      </c>
      <c r="P96" s="15">
        <f t="shared" si="17"/>
        <v>1666.6666660434603</v>
      </c>
      <c r="Q96" s="111">
        <f t="shared" si="18"/>
        <v>1.5164999993752359E-3</v>
      </c>
    </row>
    <row r="97" spans="1:14" x14ac:dyDescent="0.2">
      <c r="A97" s="275"/>
      <c r="B97" s="275"/>
      <c r="D97" s="275"/>
      <c r="E97" s="275"/>
      <c r="F97" s="275"/>
      <c r="G97" s="275"/>
      <c r="H97" s="275"/>
      <c r="I97" s="275"/>
      <c r="J97" s="275"/>
      <c r="K97" s="275"/>
      <c r="L97" s="275"/>
      <c r="M97" s="275"/>
      <c r="N97" s="275"/>
    </row>
    <row r="98" spans="1:14" x14ac:dyDescent="0.2">
      <c r="A98" s="275"/>
      <c r="B98" s="275"/>
      <c r="D98" s="275"/>
      <c r="E98" s="275"/>
      <c r="F98" s="275"/>
      <c r="G98" s="275"/>
      <c r="H98" s="275"/>
      <c r="I98" s="275"/>
      <c r="J98" s="275"/>
      <c r="K98" s="275"/>
      <c r="L98" s="275"/>
      <c r="M98" s="275"/>
      <c r="N98" s="275"/>
    </row>
    <row r="101" spans="1:14" x14ac:dyDescent="0.2">
      <c r="A101" s="275"/>
      <c r="B101" s="275"/>
      <c r="D101" s="275"/>
      <c r="E101" s="275"/>
      <c r="F101" s="275"/>
      <c r="G101" s="275"/>
      <c r="H101" s="275"/>
      <c r="I101" s="275"/>
      <c r="J101" s="275"/>
      <c r="K101" s="275"/>
      <c r="L101" s="275"/>
      <c r="M101" s="275"/>
      <c r="N101" s="275"/>
    </row>
    <row r="102" spans="1:14" x14ac:dyDescent="0.2">
      <c r="A102" s="275"/>
      <c r="B102" s="275"/>
      <c r="D102" s="275"/>
      <c r="E102" s="275"/>
      <c r="F102" s="275"/>
      <c r="G102" s="275"/>
      <c r="H102" s="275"/>
      <c r="I102" s="275"/>
      <c r="J102" s="275"/>
      <c r="K102" s="275"/>
      <c r="L102" s="275"/>
      <c r="M102" s="275"/>
      <c r="N102" s="275"/>
    </row>
    <row r="103" spans="1:14" ht="25.5" x14ac:dyDescent="0.2">
      <c r="A103" s="275" t="s">
        <v>737</v>
      </c>
      <c r="B103" s="275"/>
      <c r="D103" s="275"/>
      <c r="E103" s="275"/>
      <c r="F103" s="275"/>
      <c r="G103" s="275"/>
      <c r="H103" s="275"/>
      <c r="I103" s="275"/>
      <c r="J103" s="275"/>
      <c r="K103" s="275"/>
      <c r="L103" s="275"/>
      <c r="M103" s="275"/>
      <c r="N103" s="275"/>
    </row>
    <row r="104" spans="1:14" x14ac:dyDescent="0.2">
      <c r="A104" s="6" t="s">
        <v>652</v>
      </c>
      <c r="B104" s="275"/>
      <c r="D104" s="275"/>
      <c r="E104" s="275"/>
      <c r="F104" s="275"/>
      <c r="G104" s="275"/>
      <c r="H104" s="275"/>
      <c r="I104" s="275"/>
      <c r="J104" s="275"/>
      <c r="K104" s="275"/>
      <c r="L104" s="275"/>
      <c r="M104" s="275"/>
      <c r="N104" s="275"/>
    </row>
    <row r="105" spans="1:14" ht="38.25" x14ac:dyDescent="0.2">
      <c r="A105" s="275"/>
      <c r="B105" s="275" t="s">
        <v>738</v>
      </c>
      <c r="C105" s="5" t="s">
        <v>329</v>
      </c>
      <c r="D105" s="275" t="s">
        <v>739</v>
      </c>
      <c r="E105" s="275" t="s">
        <v>740</v>
      </c>
      <c r="F105" s="275" t="s">
        <v>741</v>
      </c>
      <c r="G105" s="275" t="s">
        <v>742</v>
      </c>
      <c r="H105" s="275"/>
      <c r="I105" s="275"/>
      <c r="J105" s="275"/>
      <c r="K105" s="275"/>
      <c r="L105" s="275"/>
      <c r="M105" s="275"/>
      <c r="N105" s="275"/>
    </row>
    <row r="106" spans="1:14" x14ac:dyDescent="0.2">
      <c r="A106" s="275" t="s">
        <v>743</v>
      </c>
      <c r="B106" s="275">
        <v>116</v>
      </c>
      <c r="D106" s="26">
        <f>D107</f>
        <v>27</v>
      </c>
      <c r="E106" s="14">
        <f>D106*B106</f>
        <v>3132</v>
      </c>
      <c r="F106" s="14">
        <f>E106*B$110/Constants!B$5*Constants!B$4</f>
        <v>165.71897447628604</v>
      </c>
      <c r="G106" s="7">
        <f>E106*B$111</f>
        <v>917.89837200000011</v>
      </c>
      <c r="H106" s="275"/>
      <c r="I106" s="275"/>
      <c r="J106" s="275"/>
      <c r="K106" s="275"/>
      <c r="L106" s="275"/>
      <c r="M106" s="275"/>
      <c r="N106" s="275"/>
    </row>
    <row r="107" spans="1:14" x14ac:dyDescent="0.2">
      <c r="A107" s="275" t="s">
        <v>744</v>
      </c>
      <c r="B107" s="275">
        <v>67.400000000000006</v>
      </c>
      <c r="C107" s="5">
        <v>1350000</v>
      </c>
      <c r="D107" s="14">
        <f>C107/B109</f>
        <v>27</v>
      </c>
      <c r="E107" s="14">
        <f>D107*B107</f>
        <v>1819.8000000000002</v>
      </c>
      <c r="F107" s="14">
        <f>E107*B$110/Constants!B$5*Constants!B$4</f>
        <v>96.288438618117922</v>
      </c>
      <c r="G107" s="7">
        <f>E107*B$111</f>
        <v>533.33060580000006</v>
      </c>
      <c r="H107" s="275"/>
      <c r="I107" s="275"/>
      <c r="J107" s="275"/>
      <c r="K107" s="275"/>
      <c r="L107" s="275"/>
      <c r="M107" s="275"/>
      <c r="N107" s="275"/>
    </row>
    <row r="108" spans="1:14" x14ac:dyDescent="0.2">
      <c r="A108" s="275"/>
      <c r="B108" s="275"/>
      <c r="D108" s="14"/>
      <c r="E108" s="14"/>
      <c r="F108" s="14"/>
      <c r="G108" s="7"/>
      <c r="H108" s="275"/>
      <c r="I108" s="275"/>
      <c r="J108" s="275"/>
      <c r="K108" s="275"/>
      <c r="L108" s="275"/>
      <c r="M108" s="275"/>
      <c r="N108" s="275"/>
    </row>
    <row r="109" spans="1:14" x14ac:dyDescent="0.2">
      <c r="A109" s="57" t="s">
        <v>745</v>
      </c>
      <c r="B109" s="57">
        <v>50000</v>
      </c>
      <c r="D109" s="275"/>
      <c r="E109" s="275"/>
      <c r="F109" s="275"/>
      <c r="G109" s="275"/>
      <c r="H109" s="275"/>
      <c r="I109" s="275"/>
      <c r="J109" s="275"/>
      <c r="K109" s="275"/>
      <c r="L109" s="275"/>
      <c r="M109" s="275"/>
      <c r="N109" s="275"/>
    </row>
    <row r="110" spans="1:14" ht="25.5" x14ac:dyDescent="0.2">
      <c r="A110" s="275" t="s">
        <v>23</v>
      </c>
      <c r="B110" s="275">
        <v>116.65</v>
      </c>
      <c r="D110" s="275"/>
      <c r="E110" s="275"/>
      <c r="F110" s="275"/>
      <c r="G110" s="275"/>
      <c r="H110" s="275"/>
      <c r="I110" s="275"/>
      <c r="J110" s="275"/>
      <c r="K110" s="275"/>
      <c r="L110" s="275"/>
      <c r="M110" s="275"/>
      <c r="N110" s="275"/>
    </row>
    <row r="111" spans="1:14" x14ac:dyDescent="0.2">
      <c r="A111" s="275" t="s">
        <v>24</v>
      </c>
      <c r="B111" s="275">
        <v>0.29307100000000003</v>
      </c>
      <c r="D111" s="275"/>
      <c r="E111" s="275"/>
      <c r="F111" s="275"/>
      <c r="G111" s="275"/>
      <c r="H111" s="275"/>
      <c r="I111" s="275"/>
      <c r="J111" s="275"/>
      <c r="K111" s="275"/>
      <c r="L111" s="275"/>
      <c r="M111" s="275"/>
      <c r="N111" s="275"/>
    </row>
    <row r="112" spans="1:14" x14ac:dyDescent="0.2">
      <c r="A112" s="275"/>
      <c r="B112" s="275"/>
      <c r="D112" s="275"/>
      <c r="E112" s="275"/>
      <c r="F112" s="275"/>
      <c r="G112" s="275"/>
      <c r="H112" s="275"/>
      <c r="I112" s="275"/>
      <c r="J112" s="275"/>
      <c r="K112" s="275"/>
      <c r="L112" s="275"/>
      <c r="M112" s="275"/>
      <c r="N112" s="275"/>
    </row>
    <row r="113" spans="1:14" x14ac:dyDescent="0.2">
      <c r="A113" s="275" t="s">
        <v>746</v>
      </c>
      <c r="B113" s="275"/>
      <c r="D113" s="275"/>
      <c r="E113" s="275"/>
      <c r="F113" s="275"/>
      <c r="G113" s="275"/>
      <c r="H113" s="275"/>
      <c r="I113" s="275"/>
      <c r="J113" s="275"/>
      <c r="K113" s="275"/>
      <c r="L113" s="275"/>
      <c r="M113" s="275"/>
      <c r="N113" s="275"/>
    </row>
    <row r="114" spans="1:14" ht="25.5" x14ac:dyDescent="0.2">
      <c r="A114" s="275" t="str">
        <f>'Electricity emission rates'!A66</f>
        <v>Year</v>
      </c>
      <c r="B114" s="6" t="str">
        <f>'Electricity emission rates'!E66</f>
        <v>CO2 per generation (MMT/TWh = 1 Metric Ton / MWh)</v>
      </c>
      <c r="D114" s="275" t="s">
        <v>747</v>
      </c>
      <c r="E114" s="275" t="s">
        <v>748</v>
      </c>
      <c r="F114" s="275"/>
      <c r="G114" s="275"/>
      <c r="H114" s="275"/>
      <c r="I114" s="275"/>
      <c r="J114" s="275"/>
      <c r="K114" s="275"/>
      <c r="L114" s="275"/>
      <c r="M114" s="275"/>
      <c r="N114" s="275"/>
    </row>
    <row r="115" spans="1:14" x14ac:dyDescent="0.2">
      <c r="A115" s="275">
        <f>'Electricity emission rates'!A67</f>
        <v>2050</v>
      </c>
      <c r="B115" s="185">
        <f>'Electricity emission rates'!E67</f>
        <v>0.12614035300000001</v>
      </c>
      <c r="D115" s="7">
        <f>$G$107*B115</f>
        <v>67.274510881315862</v>
      </c>
      <c r="E115" s="7">
        <f>$G$106*B115</f>
        <v>115.78402466220534</v>
      </c>
      <c r="F115" s="275"/>
      <c r="G115" s="275"/>
      <c r="H115" s="275"/>
      <c r="I115" s="275"/>
      <c r="J115" s="275"/>
      <c r="K115" s="275"/>
      <c r="L115" s="275"/>
      <c r="M115" s="275"/>
      <c r="N115" s="275"/>
    </row>
    <row r="116" spans="1:14" x14ac:dyDescent="0.2">
      <c r="A116" s="275">
        <f>'Electricity emission rates'!A68</f>
        <v>2049</v>
      </c>
      <c r="B116" s="185">
        <f>'Electricity emission rates'!E68</f>
        <v>0.125439408</v>
      </c>
      <c r="D116" s="7">
        <f t="shared" ref="D116:D143" si="19">$G$107*B116</f>
        <v>66.90067545983338</v>
      </c>
      <c r="E116" s="7">
        <f t="shared" ref="E116:E143" si="20">$G$106*B116</f>
        <v>115.14062838784379</v>
      </c>
      <c r="F116" s="275"/>
      <c r="G116" s="275"/>
      <c r="H116" s="275"/>
      <c r="I116" s="275"/>
      <c r="J116" s="275"/>
      <c r="K116" s="275"/>
      <c r="L116" s="275"/>
      <c r="M116" s="275"/>
      <c r="N116" s="275"/>
    </row>
    <row r="117" spans="1:14" x14ac:dyDescent="0.2">
      <c r="A117" s="275">
        <f>'Electricity emission rates'!A69</f>
        <v>2048</v>
      </c>
      <c r="B117" s="185">
        <f>'Electricity emission rates'!E69</f>
        <v>0.12116115</v>
      </c>
      <c r="D117" s="7">
        <f t="shared" si="19"/>
        <v>64.618949528924674</v>
      </c>
      <c r="E117" s="7">
        <f t="shared" si="20"/>
        <v>111.21362233464781</v>
      </c>
      <c r="F117" s="275"/>
      <c r="G117" s="275"/>
      <c r="H117" s="275"/>
      <c r="I117" s="275"/>
      <c r="J117" s="275"/>
      <c r="K117" s="275"/>
      <c r="L117" s="275"/>
      <c r="M117" s="275"/>
      <c r="N117" s="275"/>
    </row>
    <row r="118" spans="1:14" x14ac:dyDescent="0.2">
      <c r="A118" s="275">
        <f>'Electricity emission rates'!A70</f>
        <v>2047</v>
      </c>
      <c r="B118" s="185">
        <f>'Electricity emission rates'!E70</f>
        <v>0.11977204700000001</v>
      </c>
      <c r="D118" s="7">
        <f t="shared" si="19"/>
        <v>63.878098384416084</v>
      </c>
      <c r="E118" s="7">
        <f t="shared" si="20"/>
        <v>109.9385669524075</v>
      </c>
      <c r="F118" s="275"/>
      <c r="G118" s="275"/>
      <c r="H118" s="275"/>
      <c r="I118" s="275"/>
      <c r="J118" s="275"/>
      <c r="K118" s="275"/>
      <c r="L118" s="275"/>
      <c r="M118" s="275"/>
      <c r="N118" s="275"/>
    </row>
    <row r="119" spans="1:14" x14ac:dyDescent="0.2">
      <c r="A119" s="275">
        <f>'Electricity emission rates'!A71</f>
        <v>2046</v>
      </c>
      <c r="B119" s="185">
        <f>'Electricity emission rates'!E71</f>
        <v>0.120902733</v>
      </c>
      <c r="D119" s="7">
        <f t="shared" si="19"/>
        <v>64.481127833765655</v>
      </c>
      <c r="E119" s="7">
        <f t="shared" si="20"/>
        <v>110.97642179105068</v>
      </c>
      <c r="F119" s="275"/>
      <c r="G119" s="275"/>
      <c r="H119" s="275"/>
      <c r="I119" s="275"/>
      <c r="J119" s="275"/>
      <c r="K119" s="275"/>
      <c r="L119" s="275"/>
      <c r="M119" s="275"/>
      <c r="N119" s="275"/>
    </row>
    <row r="120" spans="1:14" x14ac:dyDescent="0.2">
      <c r="A120" s="275">
        <f>'Electricity emission rates'!A72</f>
        <v>2045</v>
      </c>
      <c r="B120" s="185">
        <f>'Electricity emission rates'!E72</f>
        <v>0.12004659400000001</v>
      </c>
      <c r="D120" s="7">
        <f t="shared" si="19"/>
        <v>64.024522702246657</v>
      </c>
      <c r="E120" s="7">
        <f t="shared" si="20"/>
        <v>110.19057319674499</v>
      </c>
      <c r="F120" s="275"/>
      <c r="G120" s="275"/>
      <c r="H120" s="275"/>
      <c r="I120" s="275"/>
      <c r="J120" s="275"/>
      <c r="K120" s="275"/>
      <c r="L120" s="275"/>
      <c r="M120" s="275"/>
      <c r="N120" s="275"/>
    </row>
    <row r="121" spans="1:14" x14ac:dyDescent="0.2">
      <c r="A121" s="275">
        <f>'Electricity emission rates'!A73</f>
        <v>2044</v>
      </c>
      <c r="B121" s="185">
        <f>'Electricity emission rates'!E73</f>
        <v>0.120255494</v>
      </c>
      <c r="D121" s="7">
        <f t="shared" si="19"/>
        <v>64.135935465798269</v>
      </c>
      <c r="E121" s="7">
        <f t="shared" si="20"/>
        <v>110.38232216665578</v>
      </c>
      <c r="F121" s="275"/>
      <c r="G121" s="275"/>
      <c r="H121" s="275"/>
      <c r="I121" s="275"/>
      <c r="J121" s="275"/>
      <c r="K121" s="275"/>
      <c r="L121" s="275"/>
      <c r="M121" s="275"/>
      <c r="N121" s="275"/>
    </row>
    <row r="122" spans="1:14" x14ac:dyDescent="0.2">
      <c r="A122" s="275">
        <f>'Electricity emission rates'!A74</f>
        <v>2043</v>
      </c>
      <c r="B122" s="185">
        <f>'Electricity emission rates'!E74</f>
        <v>0.11850186</v>
      </c>
      <c r="D122" s="7">
        <f t="shared" si="19"/>
        <v>63.200668782226792</v>
      </c>
      <c r="E122" s="7">
        <f t="shared" si="20"/>
        <v>108.77266437297193</v>
      </c>
      <c r="F122" s="275"/>
      <c r="G122" s="275"/>
      <c r="H122" s="275"/>
      <c r="I122" s="275"/>
      <c r="J122" s="275"/>
      <c r="K122" s="275"/>
      <c r="L122" s="275"/>
      <c r="M122" s="275"/>
      <c r="N122" s="275"/>
    </row>
    <row r="123" spans="1:14" x14ac:dyDescent="0.2">
      <c r="A123" s="275">
        <f>'Electricity emission rates'!A75</f>
        <v>2042</v>
      </c>
      <c r="B123" s="185">
        <f>'Electricity emission rates'!E75</f>
        <v>0.11735214400000001</v>
      </c>
      <c r="D123" s="7">
        <f t="shared" si="19"/>
        <v>62.587490051448846</v>
      </c>
      <c r="E123" s="7">
        <f t="shared" si="20"/>
        <v>107.71734192830958</v>
      </c>
      <c r="F123" s="275"/>
      <c r="G123" s="275"/>
      <c r="H123" s="275"/>
      <c r="I123" s="275"/>
      <c r="J123" s="275"/>
      <c r="K123" s="275"/>
      <c r="L123" s="275"/>
      <c r="M123" s="275"/>
      <c r="N123" s="275"/>
    </row>
    <row r="124" spans="1:14" x14ac:dyDescent="0.2">
      <c r="A124" s="275">
        <f>'Electricity emission rates'!A76</f>
        <v>2041</v>
      </c>
      <c r="B124" s="185">
        <f>'Electricity emission rates'!E76</f>
        <v>0.11614245600000001</v>
      </c>
      <c r="D124" s="7">
        <f t="shared" si="19"/>
        <v>61.942326417579856</v>
      </c>
      <c r="E124" s="7">
        <f t="shared" si="20"/>
        <v>106.60697128248165</v>
      </c>
      <c r="F124" s="275"/>
      <c r="G124" s="275"/>
      <c r="H124" s="275"/>
      <c r="I124" s="275"/>
      <c r="J124" s="275"/>
      <c r="K124" s="275"/>
      <c r="L124" s="275"/>
      <c r="M124" s="275"/>
      <c r="N124" s="275"/>
    </row>
    <row r="125" spans="1:14" x14ac:dyDescent="0.2">
      <c r="A125" s="275">
        <f>'Electricity emission rates'!A77</f>
        <v>2040</v>
      </c>
      <c r="B125" s="185">
        <f>'Electricity emission rates'!E77</f>
        <v>0.114314769</v>
      </c>
      <c r="D125" s="7">
        <f t="shared" si="19"/>
        <v>60.967565002657068</v>
      </c>
      <c r="E125" s="7">
        <f t="shared" si="20"/>
        <v>104.92934036065608</v>
      </c>
      <c r="F125" s="275"/>
      <c r="G125" s="275"/>
      <c r="H125" s="275"/>
      <c r="I125" s="275"/>
      <c r="J125" s="275"/>
      <c r="K125" s="275"/>
      <c r="L125" s="275"/>
      <c r="M125" s="275"/>
      <c r="N125" s="275"/>
    </row>
    <row r="126" spans="1:14" x14ac:dyDescent="0.2">
      <c r="A126" s="275">
        <f>'Electricity emission rates'!A78</f>
        <v>2039</v>
      </c>
      <c r="B126" s="185">
        <f>'Electricity emission rates'!E78</f>
        <v>0.11215070000000001</v>
      </c>
      <c r="D126" s="7">
        <f t="shared" si="19"/>
        <v>59.813400771894067</v>
      </c>
      <c r="E126" s="7">
        <f t="shared" si="20"/>
        <v>102.94294494866041</v>
      </c>
      <c r="F126" s="275"/>
      <c r="G126" s="275"/>
      <c r="H126" s="275"/>
      <c r="I126" s="275"/>
      <c r="J126" s="275"/>
      <c r="K126" s="275"/>
      <c r="L126" s="275"/>
      <c r="M126" s="275"/>
      <c r="N126" s="275"/>
    </row>
    <row r="127" spans="1:14" x14ac:dyDescent="0.2">
      <c r="A127" s="275">
        <f>'Electricity emission rates'!A79</f>
        <v>2038</v>
      </c>
      <c r="B127" s="185">
        <f>'Electricity emission rates'!E79</f>
        <v>0.107558958</v>
      </c>
      <c r="D127" s="7">
        <f t="shared" si="19"/>
        <v>57.364484229356762</v>
      </c>
      <c r="E127" s="7">
        <f t="shared" si="20"/>
        <v>98.728192442216383</v>
      </c>
      <c r="F127" s="275"/>
      <c r="G127" s="275"/>
      <c r="H127" s="275"/>
      <c r="I127" s="275"/>
      <c r="J127" s="275"/>
      <c r="K127" s="275"/>
      <c r="L127" s="275"/>
      <c r="M127" s="275"/>
      <c r="N127" s="275"/>
    </row>
    <row r="128" spans="1:14" x14ac:dyDescent="0.2">
      <c r="A128" s="275">
        <f>'Electricity emission rates'!A80</f>
        <v>2037</v>
      </c>
      <c r="B128" s="185">
        <f>'Electricity emission rates'!E80</f>
        <v>0.136688798</v>
      </c>
      <c r="D128" s="7">
        <f t="shared" si="19"/>
        <v>72.900319443413835</v>
      </c>
      <c r="E128" s="7">
        <f t="shared" si="20"/>
        <v>125.46642515483687</v>
      </c>
      <c r="F128" s="275"/>
      <c r="G128" s="275"/>
      <c r="H128" s="275"/>
      <c r="I128" s="275"/>
      <c r="J128" s="275"/>
      <c r="K128" s="275"/>
      <c r="L128" s="275"/>
      <c r="M128" s="275"/>
      <c r="N128" s="275"/>
    </row>
    <row r="129" spans="1:14" x14ac:dyDescent="0.2">
      <c r="A129" s="275">
        <f>'Electricity emission rates'!A81</f>
        <v>2036</v>
      </c>
      <c r="B129" s="185">
        <f>'Electricity emission rates'!E81</f>
        <v>0.13466524499999999</v>
      </c>
      <c r="D129" s="7">
        <f t="shared" si="19"/>
        <v>71.82109669605542</v>
      </c>
      <c r="E129" s="7">
        <f t="shared" si="20"/>
        <v>123.60900915048114</v>
      </c>
      <c r="F129" s="275"/>
      <c r="G129" s="275"/>
      <c r="H129" s="275"/>
      <c r="I129" s="275"/>
      <c r="J129" s="275"/>
      <c r="K129" s="275"/>
      <c r="L129" s="275"/>
      <c r="M129" s="275"/>
      <c r="N129" s="275"/>
    </row>
    <row r="130" spans="1:14" x14ac:dyDescent="0.2">
      <c r="A130" s="275">
        <f>'Electricity emission rates'!A82</f>
        <v>2035</v>
      </c>
      <c r="B130" s="185">
        <f>'Electricity emission rates'!E82</f>
        <v>0.13022985000000001</v>
      </c>
      <c r="D130" s="7">
        <f t="shared" si="19"/>
        <v>69.455564793743136</v>
      </c>
      <c r="E130" s="7">
        <f t="shared" si="20"/>
        <v>119.53776730080422</v>
      </c>
      <c r="F130" s="275"/>
      <c r="G130" s="275"/>
      <c r="H130" s="275"/>
      <c r="I130" s="275"/>
      <c r="J130" s="275"/>
      <c r="K130" s="275"/>
      <c r="L130" s="275"/>
      <c r="M130" s="275"/>
      <c r="N130" s="275"/>
    </row>
    <row r="131" spans="1:14" x14ac:dyDescent="0.2">
      <c r="A131" s="275">
        <f>'Electricity emission rates'!A83</f>
        <v>2034</v>
      </c>
      <c r="B131" s="185">
        <f>'Electricity emission rates'!E83</f>
        <v>0.12924324400000001</v>
      </c>
      <c r="D131" s="7">
        <f t="shared" si="19"/>
        <v>68.929377618077226</v>
      </c>
      <c r="E131" s="7">
        <f t="shared" si="20"/>
        <v>118.63216325959878</v>
      </c>
      <c r="F131" s="275"/>
      <c r="G131" s="275"/>
      <c r="H131" s="275"/>
      <c r="I131" s="275"/>
      <c r="J131" s="275"/>
      <c r="K131" s="275"/>
      <c r="L131" s="275"/>
      <c r="M131" s="275"/>
      <c r="N131" s="275"/>
    </row>
    <row r="132" spans="1:14" x14ac:dyDescent="0.2">
      <c r="A132" s="275">
        <f>'Electricity emission rates'!A84</f>
        <v>2033</v>
      </c>
      <c r="B132" s="185">
        <f>'Electricity emission rates'!E84</f>
        <v>0.12788165000000001</v>
      </c>
      <c r="D132" s="7">
        <f t="shared" si="19"/>
        <v>68.203197865203578</v>
      </c>
      <c r="E132" s="7">
        <f t="shared" si="20"/>
        <v>117.38235834367383</v>
      </c>
      <c r="F132" s="275"/>
      <c r="G132" s="275"/>
      <c r="H132" s="275"/>
      <c r="I132" s="275"/>
      <c r="J132" s="275"/>
      <c r="K132" s="275"/>
      <c r="L132" s="275"/>
      <c r="M132" s="275"/>
      <c r="N132" s="275"/>
    </row>
    <row r="133" spans="1:14" x14ac:dyDescent="0.2">
      <c r="A133" s="275">
        <f>'Electricity emission rates'!A85</f>
        <v>2032</v>
      </c>
      <c r="B133" s="185">
        <f>'Electricity emission rates'!E85</f>
        <v>0.123259163</v>
      </c>
      <c r="D133" s="7">
        <f t="shared" si="19"/>
        <v>65.737884073190955</v>
      </c>
      <c r="E133" s="7">
        <f t="shared" si="20"/>
        <v>113.13938505178265</v>
      </c>
      <c r="F133" s="275"/>
      <c r="G133" s="275"/>
      <c r="H133" s="275"/>
      <c r="I133" s="275"/>
      <c r="J133" s="275"/>
      <c r="K133" s="275"/>
      <c r="L133" s="275"/>
      <c r="M133" s="275"/>
      <c r="N133" s="275"/>
    </row>
    <row r="134" spans="1:14" x14ac:dyDescent="0.2">
      <c r="A134" s="275">
        <f>'Electricity emission rates'!A86</f>
        <v>2031</v>
      </c>
      <c r="B134" s="185">
        <f>'Electricity emission rates'!E86</f>
        <v>0.11993274800000001</v>
      </c>
      <c r="D134" s="7">
        <f t="shared" si="19"/>
        <v>63.96380514609875</v>
      </c>
      <c r="E134" s="7">
        <f t="shared" si="20"/>
        <v>110.08607413868627</v>
      </c>
      <c r="F134" s="275"/>
      <c r="G134" s="275"/>
      <c r="H134" s="275"/>
      <c r="I134" s="275"/>
      <c r="J134" s="275"/>
      <c r="K134" s="275"/>
      <c r="L134" s="275"/>
      <c r="M134" s="275"/>
      <c r="N134" s="275"/>
    </row>
    <row r="135" spans="1:14" x14ac:dyDescent="0.2">
      <c r="A135" s="275">
        <f>'Electricity emission rates'!A87</f>
        <v>2030</v>
      </c>
      <c r="B135" s="185">
        <f>'Electricity emission rates'!E87</f>
        <v>0.120325768</v>
      </c>
      <c r="D135" s="7">
        <f t="shared" si="19"/>
        <v>64.173414740790264</v>
      </c>
      <c r="E135" s="7">
        <f t="shared" si="20"/>
        <v>110.44682655684971</v>
      </c>
      <c r="F135" s="275"/>
      <c r="G135" s="275"/>
      <c r="H135" s="275"/>
      <c r="I135" s="275"/>
      <c r="J135" s="275"/>
      <c r="K135" s="275"/>
      <c r="L135" s="275"/>
      <c r="M135" s="275"/>
      <c r="N135" s="275"/>
    </row>
    <row r="136" spans="1:14" x14ac:dyDescent="0.2">
      <c r="A136" s="275">
        <f>'Electricity emission rates'!A88</f>
        <v>2029</v>
      </c>
      <c r="B136" s="185">
        <f>'Electricity emission rates'!E88</f>
        <v>0.137432261</v>
      </c>
      <c r="D136" s="7">
        <f t="shared" si="19"/>
        <v>73.296831015593725</v>
      </c>
      <c r="E136" s="7">
        <f t="shared" si="20"/>
        <v>126.14884863217911</v>
      </c>
      <c r="F136" s="275"/>
      <c r="G136" s="275"/>
      <c r="H136" s="275"/>
      <c r="I136" s="275"/>
      <c r="J136" s="275"/>
      <c r="K136" s="275"/>
      <c r="L136" s="275"/>
      <c r="M136" s="275"/>
      <c r="N136" s="275"/>
    </row>
    <row r="137" spans="1:14" x14ac:dyDescent="0.2">
      <c r="A137" s="275">
        <f>'Electricity emission rates'!A89</f>
        <v>2028</v>
      </c>
      <c r="B137" s="185">
        <f>'Electricity emission rates'!E89</f>
        <v>0.19275235399999999</v>
      </c>
      <c r="D137" s="7">
        <f t="shared" si="19"/>
        <v>102.80072972819606</v>
      </c>
      <c r="E137" s="7">
        <f t="shared" si="20"/>
        <v>176.92707193576769</v>
      </c>
      <c r="F137" s="275"/>
      <c r="G137" s="275"/>
      <c r="H137" s="275"/>
      <c r="I137" s="275"/>
      <c r="J137" s="275"/>
      <c r="K137" s="275"/>
      <c r="L137" s="275"/>
      <c r="M137" s="275"/>
      <c r="N137" s="275"/>
    </row>
    <row r="138" spans="1:14" x14ac:dyDescent="0.2">
      <c r="A138" s="275">
        <f>'Electricity emission rates'!A90</f>
        <v>2027</v>
      </c>
      <c r="B138" s="185">
        <f>'Electricity emission rates'!E90</f>
        <v>0.31149572800000003</v>
      </c>
      <c r="D138" s="7">
        <f t="shared" si="19"/>
        <v>166.13020531835207</v>
      </c>
      <c r="E138" s="7">
        <f t="shared" si="20"/>
        <v>285.92142161615487</v>
      </c>
      <c r="F138" s="275"/>
      <c r="G138" s="275"/>
      <c r="H138" s="275"/>
      <c r="I138" s="275"/>
      <c r="J138" s="275"/>
      <c r="K138" s="275"/>
      <c r="L138" s="275"/>
      <c r="M138" s="275"/>
      <c r="N138" s="275"/>
    </row>
    <row r="139" spans="1:14" x14ac:dyDescent="0.2">
      <c r="A139" s="275">
        <f>'Electricity emission rates'!A91</f>
        <v>2026</v>
      </c>
      <c r="B139" s="185">
        <f>'Electricity emission rates'!E91</f>
        <v>0.34404914399999997</v>
      </c>
      <c r="D139" s="7">
        <f t="shared" si="19"/>
        <v>183.49193839449143</v>
      </c>
      <c r="E139" s="7">
        <f t="shared" si="20"/>
        <v>315.80214916559356</v>
      </c>
      <c r="F139" s="275"/>
      <c r="G139" s="275"/>
      <c r="H139" s="275"/>
      <c r="I139" s="275"/>
      <c r="J139" s="275"/>
      <c r="K139" s="275"/>
      <c r="L139" s="275"/>
      <c r="M139" s="275"/>
      <c r="N139" s="275"/>
    </row>
    <row r="140" spans="1:14" x14ac:dyDescent="0.2">
      <c r="A140" s="275">
        <f>'Electricity emission rates'!A92</f>
        <v>2025</v>
      </c>
      <c r="B140" s="185">
        <f>'Electricity emission rates'!E92</f>
        <v>0.36955856500000001</v>
      </c>
      <c r="D140" s="7">
        <f t="shared" si="19"/>
        <v>197.09689335002869</v>
      </c>
      <c r="E140" s="7">
        <f t="shared" si="20"/>
        <v>339.21720517215624</v>
      </c>
      <c r="F140" s="275"/>
      <c r="G140" s="275"/>
      <c r="H140" s="275"/>
      <c r="I140" s="275"/>
      <c r="J140" s="275"/>
      <c r="K140" s="275"/>
      <c r="L140" s="275"/>
      <c r="M140" s="275"/>
      <c r="N140" s="275"/>
    </row>
    <row r="141" spans="1:14" x14ac:dyDescent="0.2">
      <c r="A141" s="275">
        <f>'Electricity emission rates'!A93</f>
        <v>2024</v>
      </c>
      <c r="B141" s="185">
        <f>'Electricity emission rates'!E93</f>
        <v>0.39391518800000003</v>
      </c>
      <c r="D141" s="7">
        <f t="shared" si="19"/>
        <v>210.08702584986094</v>
      </c>
      <c r="E141" s="7">
        <f t="shared" si="20"/>
        <v>361.57410977127398</v>
      </c>
      <c r="F141" s="275"/>
      <c r="G141" s="275"/>
      <c r="H141" s="275"/>
      <c r="I141" s="275"/>
      <c r="J141" s="275"/>
      <c r="K141" s="275"/>
      <c r="L141" s="275"/>
      <c r="M141" s="275"/>
      <c r="N141" s="275"/>
    </row>
    <row r="142" spans="1:14" x14ac:dyDescent="0.2">
      <c r="A142" s="275">
        <f>'Electricity emission rates'!A94</f>
        <v>2023</v>
      </c>
      <c r="B142" s="185">
        <f>'Electricity emission rates'!E94</f>
        <v>0.37451285000000001</v>
      </c>
      <c r="D142" s="7">
        <f t="shared" si="19"/>
        <v>199.73916517038455</v>
      </c>
      <c r="E142" s="7">
        <f t="shared" si="20"/>
        <v>343.76473530808028</v>
      </c>
      <c r="F142" s="275"/>
      <c r="G142" s="275"/>
      <c r="H142" s="275"/>
      <c r="I142" s="275"/>
      <c r="J142" s="275"/>
      <c r="K142" s="275"/>
      <c r="L142" s="275"/>
      <c r="M142" s="275"/>
      <c r="N142" s="275"/>
    </row>
    <row r="143" spans="1:14" x14ac:dyDescent="0.2">
      <c r="A143" s="275">
        <f>'Electricity emission rates'!A95</f>
        <v>2022</v>
      </c>
      <c r="B143" s="185">
        <f>'Electricity emission rates'!E95</f>
        <v>0.39487155800000001</v>
      </c>
      <c r="D143" s="7">
        <f t="shared" si="19"/>
        <v>210.59708724132986</v>
      </c>
      <c r="E143" s="7">
        <f t="shared" si="20"/>
        <v>362.45196023730364</v>
      </c>
      <c r="F143" s="275"/>
      <c r="G143" s="275"/>
      <c r="H143" s="275"/>
      <c r="I143" s="275"/>
      <c r="J143" s="275"/>
      <c r="K143" s="275"/>
      <c r="L143" s="275"/>
      <c r="M143" s="275"/>
      <c r="N143" s="275"/>
    </row>
    <row r="144" spans="1:14" x14ac:dyDescent="0.2">
      <c r="A144" s="275"/>
      <c r="B144" s="6"/>
      <c r="D144" s="275"/>
      <c r="E144" s="275"/>
      <c r="F144" s="275"/>
      <c r="G144" s="275"/>
      <c r="H144" s="275"/>
      <c r="I144" s="275"/>
      <c r="J144" s="275"/>
      <c r="K144" s="275"/>
      <c r="L144" s="275"/>
      <c r="M144" s="275"/>
      <c r="N144" s="275"/>
    </row>
    <row r="145" spans="1:14" x14ac:dyDescent="0.2">
      <c r="A145" s="57" t="s">
        <v>749</v>
      </c>
      <c r="B145" s="58">
        <v>4</v>
      </c>
      <c r="C145" s="59">
        <v>24</v>
      </c>
      <c r="D145" s="275"/>
      <c r="E145" s="275"/>
      <c r="F145" s="275"/>
      <c r="G145" s="275"/>
      <c r="H145" s="275"/>
      <c r="I145" s="275"/>
      <c r="J145" s="275"/>
      <c r="K145" s="275"/>
      <c r="L145" s="275"/>
      <c r="M145" s="275"/>
      <c r="N145" s="275"/>
    </row>
    <row r="146" spans="1:14" x14ac:dyDescent="0.2">
      <c r="A146" s="275" t="s">
        <v>750</v>
      </c>
      <c r="B146" s="275" t="s">
        <v>662</v>
      </c>
      <c r="C146" s="5" t="s">
        <v>664</v>
      </c>
      <c r="D146" s="275"/>
      <c r="E146" s="275"/>
      <c r="F146" s="275"/>
      <c r="G146" s="275"/>
      <c r="H146" s="275"/>
      <c r="I146" s="275"/>
      <c r="J146" s="275"/>
      <c r="K146" s="275"/>
      <c r="L146" s="275"/>
      <c r="M146" s="275"/>
      <c r="N146" s="275"/>
    </row>
    <row r="147" spans="1:14" x14ac:dyDescent="0.2">
      <c r="A147" s="275" t="s">
        <v>751</v>
      </c>
      <c r="B147" s="7">
        <f>F106*B145</f>
        <v>662.87589790514414</v>
      </c>
      <c r="C147" s="7">
        <f>F106*C145</f>
        <v>3977.2553874308651</v>
      </c>
      <c r="D147" s="275"/>
      <c r="E147" s="275"/>
      <c r="F147" s="275"/>
      <c r="G147" s="275"/>
      <c r="H147" s="275"/>
      <c r="I147" s="275"/>
      <c r="J147" s="275"/>
      <c r="K147" s="275"/>
      <c r="L147" s="275"/>
      <c r="M147" s="275"/>
      <c r="N147" s="275"/>
    </row>
    <row r="148" spans="1:14" x14ac:dyDescent="0.2">
      <c r="A148" s="275" t="s">
        <v>752</v>
      </c>
      <c r="B148" s="7">
        <f>F107*B145</f>
        <v>385.15375447247169</v>
      </c>
      <c r="C148" s="7">
        <f>F107*C145</f>
        <v>2310.92252683483</v>
      </c>
      <c r="D148" s="275"/>
      <c r="E148" s="275"/>
      <c r="F148" s="275"/>
      <c r="G148" s="275"/>
      <c r="H148" s="275"/>
      <c r="I148" s="275"/>
      <c r="J148" s="275"/>
      <c r="K148" s="275"/>
      <c r="L148" s="275"/>
      <c r="M148" s="275"/>
      <c r="N148" s="275"/>
    </row>
    <row r="149" spans="1:14" x14ac:dyDescent="0.2">
      <c r="A149" s="275" t="s">
        <v>753</v>
      </c>
      <c r="B149" s="7">
        <f>SUM(E135:E140)</f>
        <v>1354.4635230787012</v>
      </c>
      <c r="C149" s="7">
        <f>SUM(E115:E140)</f>
        <v>3595.6403203054174</v>
      </c>
      <c r="D149" s="275"/>
      <c r="E149" s="275"/>
      <c r="F149" s="275"/>
      <c r="G149" s="275"/>
      <c r="H149" s="275"/>
      <c r="I149" s="275"/>
      <c r="J149" s="275"/>
      <c r="K149" s="275"/>
      <c r="L149" s="275"/>
      <c r="M149" s="275"/>
      <c r="N149" s="275"/>
    </row>
    <row r="150" spans="1:14" x14ac:dyDescent="0.2">
      <c r="A150" s="275" t="s">
        <v>754</v>
      </c>
      <c r="B150" s="7">
        <f>SUM(D135:D140)</f>
        <v>786.99001254745224</v>
      </c>
      <c r="C150" s="7">
        <f>SUM(D115:D140)</f>
        <v>2089.1910136946994</v>
      </c>
      <c r="D150" s="275"/>
      <c r="E150" s="275"/>
      <c r="F150" s="275"/>
      <c r="G150" s="275"/>
      <c r="H150" s="275"/>
      <c r="I150" s="275"/>
      <c r="J150" s="275"/>
      <c r="K150" s="275"/>
      <c r="L150" s="275"/>
      <c r="M150" s="275"/>
      <c r="N150" s="275"/>
    </row>
    <row r="151" spans="1:14" x14ac:dyDescent="0.2">
      <c r="A151" s="275"/>
      <c r="B151" s="275"/>
      <c r="D151" s="275"/>
      <c r="E151" s="275"/>
      <c r="F151" s="275"/>
      <c r="G151" s="275"/>
      <c r="H151" s="275"/>
      <c r="I151" s="275"/>
      <c r="J151" s="275"/>
      <c r="K151" s="275"/>
      <c r="L151" s="275"/>
      <c r="M151" s="275"/>
      <c r="N151" s="275"/>
    </row>
    <row r="152" spans="1:14" ht="38.25" x14ac:dyDescent="0.2">
      <c r="A152" s="275" t="s">
        <v>755</v>
      </c>
      <c r="B152" s="7">
        <f>B147-B148</f>
        <v>277.72214343267245</v>
      </c>
      <c r="C152" s="7">
        <f>C147-C148</f>
        <v>1666.3328605960351</v>
      </c>
      <c r="D152" s="275"/>
      <c r="E152" s="293" t="s">
        <v>756</v>
      </c>
      <c r="F152" s="293"/>
      <c r="G152" s="293"/>
      <c r="H152" s="293"/>
      <c r="I152" s="275"/>
      <c r="J152" s="275"/>
      <c r="K152" s="275"/>
      <c r="L152" s="275"/>
      <c r="M152" s="275"/>
      <c r="N152" s="275"/>
    </row>
    <row r="153" spans="1:14" ht="38.25" x14ac:dyDescent="0.2">
      <c r="A153" s="44" t="s">
        <v>757</v>
      </c>
      <c r="B153" s="60">
        <f>B147-B150</f>
        <v>-124.1141146423081</v>
      </c>
      <c r="C153" s="60">
        <f>C147-C150</f>
        <v>1888.0643737361656</v>
      </c>
      <c r="D153" s="275"/>
      <c r="E153" s="275"/>
      <c r="F153" s="275"/>
      <c r="G153" s="275"/>
      <c r="H153" s="275"/>
      <c r="I153" s="275"/>
      <c r="J153" s="275"/>
      <c r="K153" s="275"/>
      <c r="L153" s="275"/>
      <c r="M153" s="275"/>
      <c r="N153" s="275"/>
    </row>
    <row r="154" spans="1:14" x14ac:dyDescent="0.2">
      <c r="A154" s="275"/>
      <c r="B154" s="275"/>
      <c r="D154" s="275"/>
      <c r="E154" s="275"/>
      <c r="F154" s="275"/>
      <c r="G154" s="275"/>
      <c r="H154" s="275"/>
      <c r="I154" s="275"/>
      <c r="J154" s="275"/>
      <c r="K154" s="275"/>
      <c r="L154" s="275"/>
      <c r="M154" s="275"/>
      <c r="N154" s="275"/>
    </row>
    <row r="155" spans="1:14" x14ac:dyDescent="0.2">
      <c r="A155" s="275"/>
      <c r="B155" s="275"/>
      <c r="D155" s="275"/>
      <c r="E155" s="275"/>
      <c r="F155" s="275"/>
      <c r="G155" s="275"/>
      <c r="H155" s="275"/>
      <c r="I155" s="275"/>
      <c r="J155" s="275"/>
      <c r="K155" s="275"/>
      <c r="L155" s="275"/>
      <c r="M155" s="275"/>
      <c r="N155" s="275"/>
    </row>
    <row r="156" spans="1:14" x14ac:dyDescent="0.2">
      <c r="A156" s="275"/>
      <c r="B156" s="275"/>
      <c r="D156" s="275"/>
      <c r="E156" s="275"/>
      <c r="F156" s="275"/>
      <c r="G156" s="275"/>
      <c r="H156" s="275"/>
      <c r="I156" s="275"/>
      <c r="J156" s="275"/>
      <c r="K156" s="275"/>
      <c r="L156" s="275"/>
      <c r="M156" s="275"/>
      <c r="N156" s="275"/>
    </row>
    <row r="157" spans="1:14" x14ac:dyDescent="0.2">
      <c r="A157" s="275"/>
      <c r="B157" s="275"/>
      <c r="D157" s="275"/>
      <c r="E157" s="275"/>
      <c r="F157" s="275"/>
      <c r="G157" s="275"/>
      <c r="H157" s="275"/>
      <c r="I157" s="275"/>
      <c r="J157" s="275"/>
      <c r="K157" s="275"/>
      <c r="L157" s="275"/>
      <c r="M157" s="275"/>
      <c r="N157" s="275"/>
    </row>
  </sheetData>
  <mergeCells count="7">
    <mergeCell ref="E152:H152"/>
    <mergeCell ref="A3:C3"/>
    <mergeCell ref="A19:F19"/>
    <mergeCell ref="A20:B21"/>
    <mergeCell ref="C26:F26"/>
    <mergeCell ref="A27:F27"/>
    <mergeCell ref="A15:F15"/>
  </mergeCells>
  <hyperlinks>
    <hyperlink ref="B6" r:id="rId1" xr:uid="{A26DE4E6-6C61-4F7F-8A5B-B1533AC3F5CD}"/>
    <hyperlink ref="B7" r:id="rId2" xr:uid="{E7A6E459-4824-49FD-909F-A47CF2A1FF21}"/>
    <hyperlink ref="B8" r:id="rId3" xr:uid="{7C1D23AA-35F9-424D-91A0-C7A22742C68A}"/>
    <hyperlink ref="B9" r:id="rId4" xr:uid="{6C8E2747-0E73-42DA-8159-85C8EF7844AF}"/>
    <hyperlink ref="B10" r:id="rId5" xr:uid="{FE7A77CA-7E94-44E1-8E1C-0CE2C71AC3D0}"/>
    <hyperlink ref="B16" r:id="rId6" xr:uid="{BB8F3818-30DB-41D6-AA4C-C238CEF3A3D9}"/>
    <hyperlink ref="B22" r:id="rId7" xr:uid="{7059C2D2-6639-40C0-AD3E-2A7E5DC15E6C}"/>
    <hyperlink ref="B23" r:id="rId8" xr:uid="{4EAC4C85-15FC-4B58-994F-DF4E9A51EF59}"/>
    <hyperlink ref="B24" r:id="rId9" xr:uid="{DAECA534-C577-4642-8F73-F0429F20311B}"/>
    <hyperlink ref="B30" r:id="rId10" xr:uid="{839DF832-42E9-4742-B98D-ABD0B6FEC388}"/>
    <hyperlink ref="B31" r:id="rId11" xr:uid="{95F58DAC-4614-4C56-8063-C5DDD07B1C3B}"/>
    <hyperlink ref="B32" r:id="rId12" xr:uid="{ABAE04DE-C724-4A22-A404-D4B3519E376A}"/>
  </hyperlinks>
  <pageMargins left="0.7" right="0.7" top="0.75" bottom="0.75" header="0.3" footer="0.3"/>
  <pageSetup orientation="portrait" verticalDpi="0"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8109C-31D5-4B7E-BD92-E869A1501BF9}">
  <dimension ref="A3:C214"/>
  <sheetViews>
    <sheetView workbookViewId="0">
      <selection activeCell="A7" sqref="A7"/>
    </sheetView>
  </sheetViews>
  <sheetFormatPr defaultRowHeight="12.75" x14ac:dyDescent="0.2"/>
  <cols>
    <col min="1" max="1" width="20.7109375" bestFit="1" customWidth="1"/>
    <col min="2" max="2" width="19.140625" customWidth="1"/>
  </cols>
  <sheetData>
    <row r="3" spans="1:3" x14ac:dyDescent="0.2">
      <c r="A3" t="s">
        <v>20</v>
      </c>
    </row>
    <row r="4" spans="1:3" x14ac:dyDescent="0.2">
      <c r="A4" t="s">
        <v>21</v>
      </c>
      <c r="B4">
        <v>0.90718474000000004</v>
      </c>
    </row>
    <row r="5" spans="1:3" x14ac:dyDescent="0.2">
      <c r="A5" t="s">
        <v>22</v>
      </c>
      <c r="B5">
        <v>2000</v>
      </c>
    </row>
    <row r="7" spans="1:3" ht="25.5" x14ac:dyDescent="0.2">
      <c r="A7" s="275" t="s">
        <v>23</v>
      </c>
      <c r="B7" s="275">
        <v>116.65</v>
      </c>
    </row>
    <row r="8" spans="1:3" x14ac:dyDescent="0.2">
      <c r="A8" s="275" t="s">
        <v>24</v>
      </c>
      <c r="B8" s="275">
        <v>0.29307100000000003</v>
      </c>
    </row>
    <row r="11" spans="1:3" x14ac:dyDescent="0.2">
      <c r="A11" t="s">
        <v>25</v>
      </c>
    </row>
    <row r="13" spans="1:3" x14ac:dyDescent="0.2">
      <c r="A13" t="s">
        <v>26</v>
      </c>
      <c r="B13" t="s">
        <v>27</v>
      </c>
      <c r="C13" t="s">
        <v>28</v>
      </c>
    </row>
    <row r="14" spans="1:3" x14ac:dyDescent="0.2">
      <c r="A14" t="s">
        <v>29</v>
      </c>
      <c r="B14" t="s">
        <v>30</v>
      </c>
      <c r="C14">
        <v>1</v>
      </c>
    </row>
    <row r="15" spans="1:3" x14ac:dyDescent="0.2">
      <c r="A15" t="s">
        <v>29</v>
      </c>
      <c r="B15" t="s">
        <v>31</v>
      </c>
      <c r="C15">
        <v>28</v>
      </c>
    </row>
    <row r="16" spans="1:3" x14ac:dyDescent="0.2">
      <c r="A16" t="s">
        <v>29</v>
      </c>
      <c r="B16" t="s">
        <v>32</v>
      </c>
      <c r="C16">
        <v>265</v>
      </c>
    </row>
    <row r="17" spans="1:3" x14ac:dyDescent="0.2">
      <c r="A17" t="s">
        <v>29</v>
      </c>
      <c r="B17" t="s">
        <v>33</v>
      </c>
      <c r="C17">
        <v>23500</v>
      </c>
    </row>
    <row r="18" spans="1:3" x14ac:dyDescent="0.2">
      <c r="A18" t="s">
        <v>29</v>
      </c>
      <c r="B18" t="s">
        <v>34</v>
      </c>
      <c r="C18">
        <v>1</v>
      </c>
    </row>
    <row r="19" spans="1:3" x14ac:dyDescent="0.2">
      <c r="A19" t="s">
        <v>29</v>
      </c>
      <c r="B19" t="s">
        <v>35</v>
      </c>
      <c r="C19">
        <v>2</v>
      </c>
    </row>
    <row r="20" spans="1:3" x14ac:dyDescent="0.2">
      <c r="A20" t="s">
        <v>29</v>
      </c>
      <c r="B20" t="s">
        <v>36</v>
      </c>
      <c r="C20">
        <v>182</v>
      </c>
    </row>
    <row r="21" spans="1:3" x14ac:dyDescent="0.2">
      <c r="A21" t="s">
        <v>29</v>
      </c>
      <c r="B21" t="s">
        <v>37</v>
      </c>
      <c r="C21">
        <v>333</v>
      </c>
    </row>
    <row r="22" spans="1:3" x14ac:dyDescent="0.2">
      <c r="A22" t="s">
        <v>29</v>
      </c>
      <c r="B22" t="s">
        <v>38</v>
      </c>
      <c r="C22">
        <v>160</v>
      </c>
    </row>
    <row r="23" spans="1:3" x14ac:dyDescent="0.2">
      <c r="A23" t="s">
        <v>29</v>
      </c>
      <c r="B23" t="s">
        <v>39</v>
      </c>
      <c r="C23">
        <v>301</v>
      </c>
    </row>
    <row r="24" spans="1:3" x14ac:dyDescent="0.2">
      <c r="A24" t="s">
        <v>29</v>
      </c>
      <c r="B24" t="s">
        <v>40</v>
      </c>
      <c r="C24">
        <v>1</v>
      </c>
    </row>
    <row r="25" spans="1:3" x14ac:dyDescent="0.2">
      <c r="A25" t="s">
        <v>29</v>
      </c>
      <c r="B25" t="s">
        <v>41</v>
      </c>
      <c r="C25">
        <v>1240</v>
      </c>
    </row>
    <row r="26" spans="1:3" x14ac:dyDescent="0.2">
      <c r="A26" t="s">
        <v>29</v>
      </c>
      <c r="B26" t="s">
        <v>42</v>
      </c>
      <c r="C26">
        <v>3630</v>
      </c>
    </row>
    <row r="27" spans="1:3" x14ac:dyDescent="0.2">
      <c r="A27" t="s">
        <v>29</v>
      </c>
      <c r="B27" t="s">
        <v>43</v>
      </c>
      <c r="C27">
        <v>31</v>
      </c>
    </row>
    <row r="28" spans="1:3" x14ac:dyDescent="0.2">
      <c r="A28" t="s">
        <v>29</v>
      </c>
      <c r="B28" t="s">
        <v>44</v>
      </c>
      <c r="C28">
        <v>27</v>
      </c>
    </row>
    <row r="29" spans="1:3" x14ac:dyDescent="0.2">
      <c r="A29" t="s">
        <v>29</v>
      </c>
      <c r="B29" t="s">
        <v>45</v>
      </c>
      <c r="C29">
        <v>470</v>
      </c>
    </row>
    <row r="30" spans="1:3" x14ac:dyDescent="0.2">
      <c r="A30" t="s">
        <v>29</v>
      </c>
      <c r="B30" t="s">
        <v>46</v>
      </c>
      <c r="C30">
        <v>1470</v>
      </c>
    </row>
    <row r="31" spans="1:3" x14ac:dyDescent="0.2">
      <c r="A31" t="s">
        <v>29</v>
      </c>
      <c r="B31" t="s">
        <v>47</v>
      </c>
      <c r="C31">
        <v>1</v>
      </c>
    </row>
    <row r="32" spans="1:3" x14ac:dyDescent="0.2">
      <c r="A32" t="s">
        <v>29</v>
      </c>
      <c r="B32" t="s">
        <v>48</v>
      </c>
      <c r="C32">
        <v>34</v>
      </c>
    </row>
    <row r="33" spans="1:3" x14ac:dyDescent="0.2">
      <c r="A33" t="s">
        <v>29</v>
      </c>
      <c r="B33" t="s">
        <v>48</v>
      </c>
      <c r="C33">
        <v>16</v>
      </c>
    </row>
    <row r="34" spans="1:3" x14ac:dyDescent="0.2">
      <c r="A34" t="s">
        <v>29</v>
      </c>
      <c r="B34" t="s">
        <v>49</v>
      </c>
      <c r="C34">
        <v>61</v>
      </c>
    </row>
    <row r="35" spans="1:3" x14ac:dyDescent="0.2">
      <c r="A35" t="s">
        <v>29</v>
      </c>
      <c r="B35" t="s">
        <v>50</v>
      </c>
      <c r="C35">
        <v>23</v>
      </c>
    </row>
    <row r="36" spans="1:3" x14ac:dyDescent="0.2">
      <c r="A36" t="s">
        <v>29</v>
      </c>
      <c r="B36" t="s">
        <v>51</v>
      </c>
      <c r="C36">
        <v>1</v>
      </c>
    </row>
    <row r="37" spans="1:3" x14ac:dyDescent="0.2">
      <c r="A37" t="s">
        <v>29</v>
      </c>
      <c r="B37" t="s">
        <v>52</v>
      </c>
      <c r="C37">
        <v>1</v>
      </c>
    </row>
    <row r="38" spans="1:3" x14ac:dyDescent="0.2">
      <c r="A38" t="s">
        <v>29</v>
      </c>
      <c r="B38" t="s">
        <v>53</v>
      </c>
      <c r="C38">
        <v>19</v>
      </c>
    </row>
    <row r="39" spans="1:3" x14ac:dyDescent="0.2">
      <c r="A39" t="s">
        <v>29</v>
      </c>
      <c r="B39" t="s">
        <v>54</v>
      </c>
      <c r="C39">
        <v>13</v>
      </c>
    </row>
    <row r="40" spans="1:3" x14ac:dyDescent="0.2">
      <c r="A40" t="s">
        <v>29</v>
      </c>
      <c r="B40" t="s">
        <v>55</v>
      </c>
      <c r="C40">
        <v>1</v>
      </c>
    </row>
    <row r="41" spans="1:3" x14ac:dyDescent="0.2">
      <c r="A41" t="s">
        <v>29</v>
      </c>
      <c r="B41" t="s">
        <v>56</v>
      </c>
      <c r="C41">
        <v>1</v>
      </c>
    </row>
    <row r="42" spans="1:3" x14ac:dyDescent="0.2">
      <c r="A42" t="s">
        <v>29</v>
      </c>
      <c r="B42" t="s">
        <v>57</v>
      </c>
      <c r="C42">
        <v>1</v>
      </c>
    </row>
    <row r="43" spans="1:3" x14ac:dyDescent="0.2">
      <c r="A43" t="s">
        <v>29</v>
      </c>
      <c r="B43" t="s">
        <v>58</v>
      </c>
      <c r="C43">
        <v>1</v>
      </c>
    </row>
    <row r="44" spans="1:3" x14ac:dyDescent="0.2">
      <c r="A44" t="s">
        <v>29</v>
      </c>
      <c r="B44" t="s">
        <v>59</v>
      </c>
      <c r="C44">
        <v>17</v>
      </c>
    </row>
    <row r="45" spans="1:3" x14ac:dyDescent="0.2">
      <c r="A45" t="s">
        <v>29</v>
      </c>
      <c r="B45" t="s">
        <v>60</v>
      </c>
      <c r="C45">
        <v>2640</v>
      </c>
    </row>
    <row r="46" spans="1:3" x14ac:dyDescent="0.2">
      <c r="A46" t="s">
        <v>29</v>
      </c>
      <c r="B46" t="s">
        <v>61</v>
      </c>
      <c r="C46">
        <v>20</v>
      </c>
    </row>
    <row r="47" spans="1:3" x14ac:dyDescent="0.2">
      <c r="A47" t="s">
        <v>29</v>
      </c>
      <c r="B47" t="s">
        <v>62</v>
      </c>
      <c r="C47">
        <v>7</v>
      </c>
    </row>
    <row r="48" spans="1:3" x14ac:dyDescent="0.2">
      <c r="A48" t="s">
        <v>29</v>
      </c>
      <c r="B48" t="s">
        <v>63</v>
      </c>
      <c r="C48">
        <v>33</v>
      </c>
    </row>
    <row r="49" spans="1:3" x14ac:dyDescent="0.2">
      <c r="A49" t="s">
        <v>29</v>
      </c>
      <c r="B49" t="s">
        <v>64</v>
      </c>
      <c r="C49">
        <v>979</v>
      </c>
    </row>
    <row r="50" spans="1:3" x14ac:dyDescent="0.2">
      <c r="A50" t="s">
        <v>29</v>
      </c>
      <c r="B50" t="s">
        <v>65</v>
      </c>
      <c r="C50">
        <v>3</v>
      </c>
    </row>
    <row r="51" spans="1:3" x14ac:dyDescent="0.2">
      <c r="A51" t="s">
        <v>29</v>
      </c>
      <c r="B51" t="s">
        <v>66</v>
      </c>
      <c r="C51">
        <v>184</v>
      </c>
    </row>
    <row r="52" spans="1:3" x14ac:dyDescent="0.2">
      <c r="A52" t="s">
        <v>29</v>
      </c>
      <c r="B52" t="s">
        <v>67</v>
      </c>
      <c r="C52">
        <v>173</v>
      </c>
    </row>
    <row r="53" spans="1:3" x14ac:dyDescent="0.2">
      <c r="A53" t="s">
        <v>29</v>
      </c>
      <c r="B53" t="s">
        <v>68</v>
      </c>
      <c r="C53">
        <v>122</v>
      </c>
    </row>
    <row r="54" spans="1:3" x14ac:dyDescent="0.2">
      <c r="A54" t="s">
        <v>29</v>
      </c>
      <c r="B54" t="s">
        <v>69</v>
      </c>
      <c r="C54">
        <v>56</v>
      </c>
    </row>
    <row r="55" spans="1:3" x14ac:dyDescent="0.2">
      <c r="A55" t="s">
        <v>29</v>
      </c>
      <c r="B55" t="s">
        <v>70</v>
      </c>
      <c r="C55">
        <v>1</v>
      </c>
    </row>
    <row r="56" spans="1:3" x14ac:dyDescent="0.2">
      <c r="A56" t="s">
        <v>29</v>
      </c>
      <c r="B56" t="s">
        <v>71</v>
      </c>
      <c r="C56">
        <v>1</v>
      </c>
    </row>
    <row r="57" spans="1:3" x14ac:dyDescent="0.2">
      <c r="A57" t="s">
        <v>29</v>
      </c>
      <c r="B57" t="s">
        <v>72</v>
      </c>
      <c r="C57">
        <v>1</v>
      </c>
    </row>
    <row r="58" spans="1:3" x14ac:dyDescent="0.2">
      <c r="A58" t="s">
        <v>29</v>
      </c>
      <c r="B58" t="s">
        <v>73</v>
      </c>
      <c r="C58">
        <v>17</v>
      </c>
    </row>
    <row r="59" spans="1:3" x14ac:dyDescent="0.2">
      <c r="A59" t="s">
        <v>29</v>
      </c>
      <c r="B59" t="s">
        <v>74</v>
      </c>
      <c r="C59">
        <v>1</v>
      </c>
    </row>
    <row r="60" spans="1:3" x14ac:dyDescent="0.2">
      <c r="A60" t="s">
        <v>29</v>
      </c>
      <c r="B60" t="s">
        <v>75</v>
      </c>
      <c r="C60">
        <v>1</v>
      </c>
    </row>
    <row r="61" spans="1:3" x14ac:dyDescent="0.2">
      <c r="A61" t="s">
        <v>29</v>
      </c>
      <c r="B61" t="s">
        <v>76</v>
      </c>
      <c r="C61">
        <v>1</v>
      </c>
    </row>
    <row r="62" spans="1:3" x14ac:dyDescent="0.2">
      <c r="A62" t="s">
        <v>29</v>
      </c>
      <c r="B62" t="s">
        <v>77</v>
      </c>
      <c r="C62">
        <v>1</v>
      </c>
    </row>
    <row r="63" spans="1:3" x14ac:dyDescent="0.2">
      <c r="A63" t="s">
        <v>29</v>
      </c>
      <c r="B63" t="s">
        <v>78</v>
      </c>
      <c r="C63">
        <v>1</v>
      </c>
    </row>
    <row r="64" spans="1:3" x14ac:dyDescent="0.2">
      <c r="A64" t="s">
        <v>29</v>
      </c>
      <c r="B64" t="s">
        <v>79</v>
      </c>
      <c r="C64">
        <v>52</v>
      </c>
    </row>
    <row r="65" spans="1:3" x14ac:dyDescent="0.2">
      <c r="A65" t="s">
        <v>29</v>
      </c>
      <c r="B65" t="s">
        <v>80</v>
      </c>
      <c r="C65">
        <v>376</v>
      </c>
    </row>
    <row r="66" spans="1:3" x14ac:dyDescent="0.2">
      <c r="A66" t="s">
        <v>29</v>
      </c>
      <c r="B66" t="s">
        <v>81</v>
      </c>
      <c r="C66">
        <v>421</v>
      </c>
    </row>
    <row r="67" spans="1:3" x14ac:dyDescent="0.2">
      <c r="A67" t="s">
        <v>29</v>
      </c>
      <c r="B67" t="s">
        <v>82</v>
      </c>
      <c r="C67">
        <v>4660</v>
      </c>
    </row>
    <row r="68" spans="1:3" x14ac:dyDescent="0.2">
      <c r="A68" t="s">
        <v>29</v>
      </c>
      <c r="B68" t="s">
        <v>83</v>
      </c>
      <c r="C68">
        <v>5820</v>
      </c>
    </row>
    <row r="69" spans="1:3" x14ac:dyDescent="0.2">
      <c r="A69" t="s">
        <v>29</v>
      </c>
      <c r="B69" t="s">
        <v>84</v>
      </c>
      <c r="C69">
        <v>8590</v>
      </c>
    </row>
    <row r="70" spans="1:3" x14ac:dyDescent="0.2">
      <c r="A70" t="s">
        <v>29</v>
      </c>
      <c r="B70" t="s">
        <v>85</v>
      </c>
      <c r="C70">
        <v>7670</v>
      </c>
    </row>
    <row r="71" spans="1:3" x14ac:dyDescent="0.2">
      <c r="A71" t="s">
        <v>29</v>
      </c>
      <c r="B71" t="s">
        <v>86</v>
      </c>
      <c r="C71">
        <v>10200</v>
      </c>
    </row>
    <row r="72" spans="1:3" x14ac:dyDescent="0.2">
      <c r="A72" t="s">
        <v>29</v>
      </c>
      <c r="B72" t="s">
        <v>87</v>
      </c>
      <c r="C72">
        <v>13900</v>
      </c>
    </row>
    <row r="73" spans="1:3" x14ac:dyDescent="0.2">
      <c r="A73" t="s">
        <v>29</v>
      </c>
      <c r="B73" t="s">
        <v>88</v>
      </c>
      <c r="C73">
        <v>1730</v>
      </c>
    </row>
    <row r="74" spans="1:3" x14ac:dyDescent="0.2">
      <c r="A74" t="s">
        <v>29</v>
      </c>
      <c r="B74" t="s">
        <v>89</v>
      </c>
      <c r="C74">
        <v>6630</v>
      </c>
    </row>
    <row r="75" spans="1:3" x14ac:dyDescent="0.2">
      <c r="A75" t="s">
        <v>29</v>
      </c>
      <c r="B75" t="s">
        <v>90</v>
      </c>
      <c r="C75">
        <v>0</v>
      </c>
    </row>
    <row r="76" spans="1:3" x14ac:dyDescent="0.2">
      <c r="A76" t="s">
        <v>29</v>
      </c>
      <c r="B76" t="s">
        <v>91</v>
      </c>
      <c r="C76">
        <v>16</v>
      </c>
    </row>
    <row r="77" spans="1:3" x14ac:dyDescent="0.2">
      <c r="A77" t="s">
        <v>29</v>
      </c>
      <c r="B77" t="s">
        <v>92</v>
      </c>
      <c r="C77">
        <v>12</v>
      </c>
    </row>
    <row r="78" spans="1:3" x14ac:dyDescent="0.2">
      <c r="A78" t="s">
        <v>29</v>
      </c>
      <c r="B78" t="s">
        <v>93</v>
      </c>
      <c r="C78">
        <v>231</v>
      </c>
    </row>
    <row r="79" spans="1:3" x14ac:dyDescent="0.2">
      <c r="A79" t="s">
        <v>29</v>
      </c>
      <c r="B79" t="s">
        <v>94</v>
      </c>
      <c r="C79">
        <v>1</v>
      </c>
    </row>
    <row r="80" spans="1:3" x14ac:dyDescent="0.2">
      <c r="A80" t="s">
        <v>29</v>
      </c>
      <c r="B80" t="s">
        <v>95</v>
      </c>
      <c r="C80">
        <v>751</v>
      </c>
    </row>
    <row r="81" spans="1:3" x14ac:dyDescent="0.2">
      <c r="A81" t="s">
        <v>29</v>
      </c>
      <c r="B81" t="s">
        <v>96</v>
      </c>
      <c r="C81">
        <v>144</v>
      </c>
    </row>
    <row r="82" spans="1:3" x14ac:dyDescent="0.2">
      <c r="A82" t="s">
        <v>29</v>
      </c>
      <c r="B82" t="s">
        <v>97</v>
      </c>
      <c r="C82">
        <v>27</v>
      </c>
    </row>
    <row r="83" spans="1:3" x14ac:dyDescent="0.2">
      <c r="A83" t="s">
        <v>29</v>
      </c>
      <c r="B83" t="s">
        <v>98</v>
      </c>
      <c r="C83">
        <v>144</v>
      </c>
    </row>
    <row r="84" spans="1:3" x14ac:dyDescent="0.2">
      <c r="A84" t="s">
        <v>29</v>
      </c>
      <c r="B84" t="s">
        <v>99</v>
      </c>
      <c r="C84">
        <v>583</v>
      </c>
    </row>
    <row r="85" spans="1:3" x14ac:dyDescent="0.2">
      <c r="A85" t="s">
        <v>29</v>
      </c>
      <c r="B85" t="s">
        <v>100</v>
      </c>
      <c r="C85">
        <v>29</v>
      </c>
    </row>
    <row r="86" spans="1:3" x14ac:dyDescent="0.2">
      <c r="A86" t="s">
        <v>29</v>
      </c>
      <c r="B86" t="s">
        <v>101</v>
      </c>
      <c r="C86">
        <v>654</v>
      </c>
    </row>
    <row r="87" spans="1:3" x14ac:dyDescent="0.2">
      <c r="A87" t="s">
        <v>29</v>
      </c>
      <c r="B87" t="s">
        <v>102</v>
      </c>
      <c r="C87">
        <v>6450</v>
      </c>
    </row>
    <row r="88" spans="1:3" x14ac:dyDescent="0.2">
      <c r="A88" t="s">
        <v>29</v>
      </c>
      <c r="B88" t="s">
        <v>103</v>
      </c>
      <c r="C88">
        <v>1</v>
      </c>
    </row>
    <row r="89" spans="1:3" x14ac:dyDescent="0.2">
      <c r="A89" t="s">
        <v>29</v>
      </c>
      <c r="B89" t="s">
        <v>104</v>
      </c>
      <c r="C89">
        <v>871</v>
      </c>
    </row>
    <row r="90" spans="1:3" x14ac:dyDescent="0.2">
      <c r="A90" t="s">
        <v>29</v>
      </c>
      <c r="B90" t="s">
        <v>105</v>
      </c>
      <c r="C90">
        <v>338</v>
      </c>
    </row>
    <row r="91" spans="1:3" x14ac:dyDescent="0.2">
      <c r="A91" t="s">
        <v>29</v>
      </c>
      <c r="B91" t="s">
        <v>106</v>
      </c>
      <c r="C91">
        <v>828</v>
      </c>
    </row>
    <row r="92" spans="1:3" x14ac:dyDescent="0.2">
      <c r="A92" t="s">
        <v>29</v>
      </c>
      <c r="B92" t="s">
        <v>107</v>
      </c>
      <c r="C92">
        <v>4240</v>
      </c>
    </row>
    <row r="93" spans="1:3" x14ac:dyDescent="0.2">
      <c r="A93" t="s">
        <v>29</v>
      </c>
      <c r="B93" t="s">
        <v>108</v>
      </c>
      <c r="C93">
        <v>627</v>
      </c>
    </row>
    <row r="94" spans="1:3" x14ac:dyDescent="0.2">
      <c r="A94" t="s">
        <v>29</v>
      </c>
      <c r="B94" t="s">
        <v>109</v>
      </c>
      <c r="C94">
        <v>1790</v>
      </c>
    </row>
    <row r="95" spans="1:3" x14ac:dyDescent="0.2">
      <c r="A95" t="s">
        <v>29</v>
      </c>
      <c r="B95" t="s">
        <v>110</v>
      </c>
      <c r="C95">
        <v>812</v>
      </c>
    </row>
    <row r="96" spans="1:3" x14ac:dyDescent="0.2">
      <c r="A96" t="s">
        <v>29</v>
      </c>
      <c r="B96" t="s">
        <v>111</v>
      </c>
      <c r="C96">
        <v>1</v>
      </c>
    </row>
    <row r="97" spans="1:3" x14ac:dyDescent="0.2">
      <c r="A97" t="s">
        <v>29</v>
      </c>
      <c r="B97" t="s">
        <v>112</v>
      </c>
      <c r="C97">
        <v>57</v>
      </c>
    </row>
    <row r="98" spans="1:3" x14ac:dyDescent="0.2">
      <c r="A98" t="s">
        <v>29</v>
      </c>
      <c r="B98" t="s">
        <v>113</v>
      </c>
      <c r="C98">
        <v>1</v>
      </c>
    </row>
    <row r="99" spans="1:3" x14ac:dyDescent="0.2">
      <c r="A99" t="s">
        <v>29</v>
      </c>
      <c r="B99" t="s">
        <v>114</v>
      </c>
      <c r="C99">
        <v>617</v>
      </c>
    </row>
    <row r="100" spans="1:3" x14ac:dyDescent="0.2">
      <c r="A100" t="s">
        <v>29</v>
      </c>
      <c r="B100" t="s">
        <v>115</v>
      </c>
      <c r="C100">
        <v>13</v>
      </c>
    </row>
    <row r="101" spans="1:3" x14ac:dyDescent="0.2">
      <c r="A101" t="s">
        <v>29</v>
      </c>
      <c r="B101" t="s">
        <v>115</v>
      </c>
      <c r="C101">
        <v>130</v>
      </c>
    </row>
    <row r="102" spans="1:3" x14ac:dyDescent="0.2">
      <c r="A102" t="s">
        <v>29</v>
      </c>
      <c r="B102" t="s">
        <v>116</v>
      </c>
      <c r="C102">
        <v>59</v>
      </c>
    </row>
    <row r="103" spans="1:3" x14ac:dyDescent="0.2">
      <c r="A103" t="s">
        <v>29</v>
      </c>
      <c r="B103" t="s">
        <v>117</v>
      </c>
      <c r="C103">
        <v>258</v>
      </c>
    </row>
    <row r="104" spans="1:3" x14ac:dyDescent="0.2">
      <c r="A104" t="s">
        <v>29</v>
      </c>
      <c r="B104" t="s">
        <v>118</v>
      </c>
      <c r="C104">
        <v>79</v>
      </c>
    </row>
    <row r="105" spans="1:3" x14ac:dyDescent="0.2">
      <c r="A105" t="s">
        <v>29</v>
      </c>
      <c r="B105" t="s">
        <v>119</v>
      </c>
      <c r="C105">
        <v>370</v>
      </c>
    </row>
    <row r="106" spans="1:3" x14ac:dyDescent="0.2">
      <c r="A106" t="s">
        <v>29</v>
      </c>
      <c r="B106" t="s">
        <v>120</v>
      </c>
      <c r="C106">
        <v>527</v>
      </c>
    </row>
    <row r="107" spans="1:3" x14ac:dyDescent="0.2">
      <c r="A107" t="s">
        <v>29</v>
      </c>
      <c r="B107" t="s">
        <v>121</v>
      </c>
      <c r="C107">
        <v>782</v>
      </c>
    </row>
    <row r="108" spans="1:3" x14ac:dyDescent="0.2">
      <c r="A108" t="s">
        <v>29</v>
      </c>
      <c r="B108" t="s">
        <v>122</v>
      </c>
      <c r="C108">
        <v>1980</v>
      </c>
    </row>
    <row r="109" spans="1:3" x14ac:dyDescent="0.2">
      <c r="A109" t="s">
        <v>29</v>
      </c>
      <c r="B109" t="s">
        <v>123</v>
      </c>
      <c r="C109">
        <v>148</v>
      </c>
    </row>
    <row r="110" spans="1:3" x14ac:dyDescent="0.2">
      <c r="A110" t="s">
        <v>29</v>
      </c>
      <c r="B110" t="s">
        <v>124</v>
      </c>
      <c r="C110">
        <v>1760</v>
      </c>
    </row>
    <row r="111" spans="1:3" x14ac:dyDescent="0.2">
      <c r="A111" t="s">
        <v>29</v>
      </c>
      <c r="B111" t="s">
        <v>125</v>
      </c>
      <c r="C111">
        <v>127</v>
      </c>
    </row>
    <row r="112" spans="1:3" x14ac:dyDescent="0.2">
      <c r="A112" t="s">
        <v>29</v>
      </c>
      <c r="B112" t="s">
        <v>126</v>
      </c>
      <c r="C112">
        <v>525</v>
      </c>
    </row>
    <row r="113" spans="1:3" x14ac:dyDescent="0.2">
      <c r="A113" t="s">
        <v>29</v>
      </c>
      <c r="B113" t="s">
        <v>127</v>
      </c>
      <c r="C113">
        <v>1</v>
      </c>
    </row>
    <row r="114" spans="1:3" x14ac:dyDescent="0.2">
      <c r="A114" t="s">
        <v>29</v>
      </c>
      <c r="B114" t="s">
        <v>128</v>
      </c>
      <c r="C114">
        <v>3170</v>
      </c>
    </row>
    <row r="115" spans="1:3" x14ac:dyDescent="0.2">
      <c r="A115" t="s">
        <v>29</v>
      </c>
      <c r="B115" t="s">
        <v>129</v>
      </c>
      <c r="C115">
        <v>1120</v>
      </c>
    </row>
    <row r="116" spans="1:3" x14ac:dyDescent="0.2">
      <c r="A116" t="s">
        <v>29</v>
      </c>
      <c r="B116" t="s">
        <v>130</v>
      </c>
      <c r="C116">
        <v>1</v>
      </c>
    </row>
    <row r="117" spans="1:3" x14ac:dyDescent="0.2">
      <c r="A117" t="s">
        <v>29</v>
      </c>
      <c r="B117" t="s">
        <v>131</v>
      </c>
      <c r="C117">
        <v>1300</v>
      </c>
    </row>
    <row r="118" spans="1:3" x14ac:dyDescent="0.2">
      <c r="A118" t="s">
        <v>29</v>
      </c>
      <c r="B118" t="s">
        <v>132</v>
      </c>
      <c r="C118">
        <v>328</v>
      </c>
    </row>
    <row r="119" spans="1:3" x14ac:dyDescent="0.2">
      <c r="A119" t="s">
        <v>29</v>
      </c>
      <c r="B119" t="s">
        <v>133</v>
      </c>
      <c r="C119">
        <v>4800</v>
      </c>
    </row>
    <row r="120" spans="1:3" x14ac:dyDescent="0.2">
      <c r="A120" t="s">
        <v>29</v>
      </c>
      <c r="B120" t="s">
        <v>134</v>
      </c>
      <c r="C120">
        <v>16</v>
      </c>
    </row>
    <row r="121" spans="1:3" x14ac:dyDescent="0.2">
      <c r="A121" t="s">
        <v>29</v>
      </c>
      <c r="B121" t="s">
        <v>135</v>
      </c>
      <c r="C121">
        <v>138</v>
      </c>
    </row>
    <row r="122" spans="1:3" x14ac:dyDescent="0.2">
      <c r="A122" t="s">
        <v>29</v>
      </c>
      <c r="B122" t="s">
        <v>136</v>
      </c>
      <c r="C122">
        <v>4</v>
      </c>
    </row>
    <row r="123" spans="1:3" x14ac:dyDescent="0.2">
      <c r="A123" t="s">
        <v>29</v>
      </c>
      <c r="B123" t="s">
        <v>137</v>
      </c>
      <c r="C123">
        <v>3350</v>
      </c>
    </row>
    <row r="124" spans="1:3" x14ac:dyDescent="0.2">
      <c r="A124" t="s">
        <v>29</v>
      </c>
      <c r="B124" t="s">
        <v>138</v>
      </c>
      <c r="C124">
        <v>12400</v>
      </c>
    </row>
    <row r="125" spans="1:3" x14ac:dyDescent="0.2">
      <c r="A125" t="s">
        <v>29</v>
      </c>
      <c r="B125" t="s">
        <v>139</v>
      </c>
      <c r="C125">
        <v>1210</v>
      </c>
    </row>
    <row r="126" spans="1:3" x14ac:dyDescent="0.2">
      <c r="A126" t="s">
        <v>29</v>
      </c>
      <c r="B126" t="s">
        <v>140</v>
      </c>
      <c r="C126">
        <v>1330</v>
      </c>
    </row>
    <row r="127" spans="1:3" x14ac:dyDescent="0.2">
      <c r="A127" t="s">
        <v>29</v>
      </c>
      <c r="B127" t="s">
        <v>141</v>
      </c>
      <c r="C127">
        <v>8060</v>
      </c>
    </row>
    <row r="128" spans="1:3" x14ac:dyDescent="0.2">
      <c r="A128" t="s">
        <v>29</v>
      </c>
      <c r="B128" t="s">
        <v>142</v>
      </c>
      <c r="C128">
        <v>716</v>
      </c>
    </row>
    <row r="129" spans="1:3" x14ac:dyDescent="0.2">
      <c r="A129" t="s">
        <v>29</v>
      </c>
      <c r="B129" t="s">
        <v>143</v>
      </c>
      <c r="C129">
        <v>4620</v>
      </c>
    </row>
    <row r="130" spans="1:3" x14ac:dyDescent="0.2">
      <c r="A130" t="s">
        <v>29</v>
      </c>
      <c r="B130" t="s">
        <v>144</v>
      </c>
      <c r="C130">
        <v>235</v>
      </c>
    </row>
    <row r="131" spans="1:3" x14ac:dyDescent="0.2">
      <c r="A131" t="s">
        <v>29</v>
      </c>
      <c r="B131" t="s">
        <v>145</v>
      </c>
      <c r="C131">
        <v>290</v>
      </c>
    </row>
    <row r="132" spans="1:3" x14ac:dyDescent="0.2">
      <c r="A132" t="s">
        <v>29</v>
      </c>
      <c r="B132" t="s">
        <v>146</v>
      </c>
      <c r="C132">
        <v>858</v>
      </c>
    </row>
    <row r="133" spans="1:3" x14ac:dyDescent="0.2">
      <c r="A133" t="s">
        <v>29</v>
      </c>
      <c r="B133" t="s">
        <v>147</v>
      </c>
      <c r="C133">
        <v>677</v>
      </c>
    </row>
    <row r="134" spans="1:3" x14ac:dyDescent="0.2">
      <c r="A134" t="s">
        <v>29</v>
      </c>
      <c r="B134" t="s">
        <v>148</v>
      </c>
      <c r="C134">
        <v>2360</v>
      </c>
    </row>
    <row r="135" spans="1:3" x14ac:dyDescent="0.2">
      <c r="A135" t="s">
        <v>29</v>
      </c>
      <c r="B135" t="s">
        <v>149</v>
      </c>
      <c r="C135">
        <v>804</v>
      </c>
    </row>
    <row r="136" spans="1:3" x14ac:dyDescent="0.2">
      <c r="A136" t="s">
        <v>29</v>
      </c>
      <c r="B136" t="s">
        <v>150</v>
      </c>
      <c r="C136">
        <v>116</v>
      </c>
    </row>
    <row r="137" spans="1:3" x14ac:dyDescent="0.2">
      <c r="A137" t="s">
        <v>29</v>
      </c>
      <c r="B137" t="s">
        <v>151</v>
      </c>
      <c r="C137">
        <v>1650</v>
      </c>
    </row>
    <row r="138" spans="1:3" x14ac:dyDescent="0.2">
      <c r="A138" t="s">
        <v>29</v>
      </c>
      <c r="B138" t="s">
        <v>152</v>
      </c>
      <c r="C138">
        <v>3070</v>
      </c>
    </row>
    <row r="139" spans="1:3" x14ac:dyDescent="0.2">
      <c r="A139" t="s">
        <v>29</v>
      </c>
      <c r="B139" t="s">
        <v>153</v>
      </c>
      <c r="C139">
        <v>4550</v>
      </c>
    </row>
    <row r="140" spans="1:3" x14ac:dyDescent="0.2">
      <c r="A140" t="s">
        <v>29</v>
      </c>
      <c r="B140" t="s">
        <v>154</v>
      </c>
      <c r="C140">
        <v>929</v>
      </c>
    </row>
    <row r="141" spans="1:3" x14ac:dyDescent="0.2">
      <c r="A141" t="s">
        <v>29</v>
      </c>
      <c r="B141" t="s">
        <v>155</v>
      </c>
      <c r="C141">
        <v>2620</v>
      </c>
    </row>
    <row r="142" spans="1:3" x14ac:dyDescent="0.2">
      <c r="A142" t="s">
        <v>29</v>
      </c>
      <c r="B142" t="s">
        <v>156</v>
      </c>
      <c r="C142">
        <v>2910</v>
      </c>
    </row>
    <row r="143" spans="1:3" x14ac:dyDescent="0.2">
      <c r="A143" t="s">
        <v>29</v>
      </c>
      <c r="B143" t="s">
        <v>157</v>
      </c>
      <c r="C143">
        <v>854</v>
      </c>
    </row>
    <row r="144" spans="1:3" x14ac:dyDescent="0.2">
      <c r="A144" t="s">
        <v>29</v>
      </c>
      <c r="B144" t="s">
        <v>158</v>
      </c>
      <c r="C144">
        <v>363</v>
      </c>
    </row>
    <row r="145" spans="1:3" x14ac:dyDescent="0.2">
      <c r="A145" t="s">
        <v>29</v>
      </c>
      <c r="B145" t="s">
        <v>159</v>
      </c>
      <c r="C145">
        <v>889</v>
      </c>
    </row>
    <row r="146" spans="1:3" x14ac:dyDescent="0.2">
      <c r="A146" t="s">
        <v>29</v>
      </c>
      <c r="B146" t="s">
        <v>160</v>
      </c>
      <c r="C146">
        <v>387</v>
      </c>
    </row>
    <row r="147" spans="1:3" x14ac:dyDescent="0.2">
      <c r="A147" t="s">
        <v>29</v>
      </c>
      <c r="B147" t="s">
        <v>161</v>
      </c>
      <c r="C147">
        <v>17</v>
      </c>
    </row>
    <row r="148" spans="1:3" x14ac:dyDescent="0.2">
      <c r="A148" t="s">
        <v>29</v>
      </c>
      <c r="B148" t="s">
        <v>162</v>
      </c>
      <c r="C148">
        <v>14</v>
      </c>
    </row>
    <row r="149" spans="1:3" x14ac:dyDescent="0.2">
      <c r="A149" t="s">
        <v>29</v>
      </c>
      <c r="B149" t="s">
        <v>163</v>
      </c>
      <c r="C149">
        <v>413</v>
      </c>
    </row>
    <row r="150" spans="1:3" x14ac:dyDescent="0.2">
      <c r="A150" t="s">
        <v>29</v>
      </c>
      <c r="B150" t="s">
        <v>164</v>
      </c>
      <c r="C150">
        <v>719</v>
      </c>
    </row>
    <row r="151" spans="1:3" x14ac:dyDescent="0.2">
      <c r="A151" t="s">
        <v>29</v>
      </c>
      <c r="B151" t="s">
        <v>165</v>
      </c>
      <c r="C151">
        <v>446</v>
      </c>
    </row>
    <row r="152" spans="1:3" x14ac:dyDescent="0.2">
      <c r="A152" t="s">
        <v>29</v>
      </c>
      <c r="B152" t="s">
        <v>166</v>
      </c>
      <c r="C152">
        <v>58</v>
      </c>
    </row>
    <row r="153" spans="1:3" x14ac:dyDescent="0.2">
      <c r="A153" t="s">
        <v>29</v>
      </c>
      <c r="B153" t="s">
        <v>167</v>
      </c>
      <c r="C153">
        <v>1</v>
      </c>
    </row>
    <row r="154" spans="1:3" x14ac:dyDescent="0.2">
      <c r="A154" t="s">
        <v>29</v>
      </c>
      <c r="B154" t="s">
        <v>168</v>
      </c>
      <c r="C154">
        <v>236</v>
      </c>
    </row>
    <row r="155" spans="1:3" x14ac:dyDescent="0.2">
      <c r="A155" t="s">
        <v>29</v>
      </c>
      <c r="B155" t="s">
        <v>169</v>
      </c>
      <c r="C155">
        <v>221</v>
      </c>
    </row>
    <row r="156" spans="1:3" x14ac:dyDescent="0.2">
      <c r="A156" t="s">
        <v>29</v>
      </c>
      <c r="B156" t="s">
        <v>170</v>
      </c>
      <c r="C156">
        <v>2730</v>
      </c>
    </row>
    <row r="157" spans="1:3" x14ac:dyDescent="0.2">
      <c r="A157" t="s">
        <v>29</v>
      </c>
      <c r="B157" t="s">
        <v>170</v>
      </c>
      <c r="C157">
        <v>4920</v>
      </c>
    </row>
    <row r="158" spans="1:3" x14ac:dyDescent="0.2">
      <c r="A158" t="s">
        <v>29</v>
      </c>
      <c r="B158" t="s">
        <v>171</v>
      </c>
      <c r="C158">
        <v>2850</v>
      </c>
    </row>
    <row r="159" spans="1:3" x14ac:dyDescent="0.2">
      <c r="A159" t="s">
        <v>29</v>
      </c>
      <c r="B159" t="s">
        <v>171</v>
      </c>
      <c r="C159">
        <v>4490</v>
      </c>
    </row>
    <row r="160" spans="1:3" x14ac:dyDescent="0.2">
      <c r="A160" t="s">
        <v>29</v>
      </c>
      <c r="B160" t="s">
        <v>172</v>
      </c>
      <c r="C160">
        <v>5300</v>
      </c>
    </row>
    <row r="161" spans="1:3" x14ac:dyDescent="0.2">
      <c r="A161" t="s">
        <v>29</v>
      </c>
      <c r="B161" t="s">
        <v>173</v>
      </c>
      <c r="C161">
        <v>3890</v>
      </c>
    </row>
    <row r="162" spans="1:3" x14ac:dyDescent="0.2">
      <c r="A162" t="s">
        <v>29</v>
      </c>
      <c r="B162" t="s">
        <v>174</v>
      </c>
      <c r="C162">
        <v>2820</v>
      </c>
    </row>
    <row r="163" spans="1:3" x14ac:dyDescent="0.2">
      <c r="A163" t="s">
        <v>29</v>
      </c>
      <c r="B163" t="s">
        <v>174</v>
      </c>
      <c r="C163">
        <v>7330</v>
      </c>
    </row>
    <row r="164" spans="1:3" x14ac:dyDescent="0.2">
      <c r="A164" t="s">
        <v>29</v>
      </c>
      <c r="B164" t="s">
        <v>175</v>
      </c>
      <c r="C164">
        <v>1750</v>
      </c>
    </row>
    <row r="165" spans="1:3" x14ac:dyDescent="0.2">
      <c r="A165" t="s">
        <v>29</v>
      </c>
      <c r="B165" t="s">
        <v>176</v>
      </c>
      <c r="C165">
        <v>6290</v>
      </c>
    </row>
    <row r="166" spans="1:3" x14ac:dyDescent="0.2">
      <c r="A166" t="s">
        <v>29</v>
      </c>
      <c r="B166" t="s">
        <v>177</v>
      </c>
      <c r="C166">
        <v>41</v>
      </c>
    </row>
    <row r="167" spans="1:3" x14ac:dyDescent="0.2">
      <c r="A167" t="s">
        <v>29</v>
      </c>
      <c r="B167" t="s">
        <v>178</v>
      </c>
      <c r="C167">
        <v>1</v>
      </c>
    </row>
    <row r="168" spans="1:3" x14ac:dyDescent="0.2">
      <c r="A168" t="s">
        <v>29</v>
      </c>
      <c r="B168" t="s">
        <v>179</v>
      </c>
      <c r="C168">
        <v>11100</v>
      </c>
    </row>
    <row r="169" spans="1:3" x14ac:dyDescent="0.2">
      <c r="A169" t="s">
        <v>29</v>
      </c>
      <c r="B169" t="s">
        <v>180</v>
      </c>
      <c r="C169">
        <v>1</v>
      </c>
    </row>
    <row r="170" spans="1:3" x14ac:dyDescent="0.2">
      <c r="A170" t="s">
        <v>29</v>
      </c>
      <c r="B170" t="s">
        <v>181</v>
      </c>
      <c r="C170">
        <v>0</v>
      </c>
    </row>
    <row r="171" spans="1:3" x14ac:dyDescent="0.2">
      <c r="A171" t="s">
        <v>29</v>
      </c>
      <c r="B171" t="s">
        <v>182</v>
      </c>
      <c r="C171">
        <v>0</v>
      </c>
    </row>
    <row r="172" spans="1:3" x14ac:dyDescent="0.2">
      <c r="A172" t="s">
        <v>29</v>
      </c>
      <c r="B172" t="s">
        <v>183</v>
      </c>
      <c r="C172">
        <v>491</v>
      </c>
    </row>
    <row r="173" spans="1:3" x14ac:dyDescent="0.2">
      <c r="A173" t="s">
        <v>29</v>
      </c>
      <c r="B173" t="s">
        <v>184</v>
      </c>
      <c r="C173">
        <v>12400</v>
      </c>
    </row>
    <row r="174" spans="1:3" x14ac:dyDescent="0.2">
      <c r="A174" t="s">
        <v>29</v>
      </c>
      <c r="B174" t="s">
        <v>185</v>
      </c>
      <c r="C174">
        <v>5350</v>
      </c>
    </row>
    <row r="175" spans="1:3" x14ac:dyDescent="0.2">
      <c r="A175" t="s">
        <v>29</v>
      </c>
      <c r="B175" t="s">
        <v>186</v>
      </c>
      <c r="C175">
        <v>5560</v>
      </c>
    </row>
    <row r="176" spans="1:3" x14ac:dyDescent="0.2">
      <c r="A176" t="s">
        <v>29</v>
      </c>
      <c r="B176" t="s">
        <v>187</v>
      </c>
      <c r="C176">
        <v>523</v>
      </c>
    </row>
    <row r="177" spans="1:3" x14ac:dyDescent="0.2">
      <c r="A177" t="s">
        <v>29</v>
      </c>
      <c r="B177" t="s">
        <v>188</v>
      </c>
      <c r="C177">
        <v>3</v>
      </c>
    </row>
    <row r="178" spans="1:3" x14ac:dyDescent="0.2">
      <c r="A178" t="s">
        <v>29</v>
      </c>
      <c r="B178" t="s">
        <v>189</v>
      </c>
      <c r="C178">
        <v>2</v>
      </c>
    </row>
    <row r="179" spans="1:3" x14ac:dyDescent="0.2">
      <c r="A179" t="s">
        <v>29</v>
      </c>
      <c r="B179" t="s">
        <v>190</v>
      </c>
      <c r="C179">
        <v>95</v>
      </c>
    </row>
    <row r="180" spans="1:3" x14ac:dyDescent="0.2">
      <c r="A180" t="s">
        <v>29</v>
      </c>
      <c r="B180" t="s">
        <v>191</v>
      </c>
      <c r="C180">
        <v>9</v>
      </c>
    </row>
    <row r="181" spans="1:3" x14ac:dyDescent="0.2">
      <c r="A181" t="s">
        <v>29</v>
      </c>
      <c r="B181" t="s">
        <v>192</v>
      </c>
      <c r="C181">
        <v>16100</v>
      </c>
    </row>
    <row r="182" spans="1:3" x14ac:dyDescent="0.2">
      <c r="A182" t="s">
        <v>29</v>
      </c>
      <c r="B182" t="s">
        <v>193</v>
      </c>
      <c r="C182">
        <v>2</v>
      </c>
    </row>
    <row r="183" spans="1:3" x14ac:dyDescent="0.2">
      <c r="A183" t="s">
        <v>29</v>
      </c>
      <c r="B183" t="s">
        <v>194</v>
      </c>
      <c r="C183">
        <v>7620</v>
      </c>
    </row>
    <row r="184" spans="1:3" x14ac:dyDescent="0.2">
      <c r="A184" t="s">
        <v>29</v>
      </c>
      <c r="B184" t="s">
        <v>195</v>
      </c>
      <c r="C184">
        <v>1</v>
      </c>
    </row>
    <row r="185" spans="1:3" x14ac:dyDescent="0.2">
      <c r="A185" t="s">
        <v>29</v>
      </c>
      <c r="B185" t="s">
        <v>196</v>
      </c>
      <c r="C185">
        <v>2</v>
      </c>
    </row>
    <row r="186" spans="1:3" x14ac:dyDescent="0.2">
      <c r="A186" t="s">
        <v>29</v>
      </c>
      <c r="B186" t="s">
        <v>197</v>
      </c>
      <c r="C186">
        <v>9200</v>
      </c>
    </row>
    <row r="187" spans="1:3" x14ac:dyDescent="0.2">
      <c r="A187" t="s">
        <v>29</v>
      </c>
      <c r="B187" t="s">
        <v>198</v>
      </c>
      <c r="C187">
        <v>2</v>
      </c>
    </row>
    <row r="188" spans="1:3" x14ac:dyDescent="0.2">
      <c r="A188" t="s">
        <v>29</v>
      </c>
      <c r="B188" t="s">
        <v>199</v>
      </c>
      <c r="C188">
        <v>392</v>
      </c>
    </row>
    <row r="189" spans="1:3" x14ac:dyDescent="0.2">
      <c r="A189" t="s">
        <v>29</v>
      </c>
      <c r="B189" t="s">
        <v>200</v>
      </c>
      <c r="C189">
        <v>9540</v>
      </c>
    </row>
    <row r="190" spans="1:3" x14ac:dyDescent="0.2">
      <c r="A190" t="s">
        <v>29</v>
      </c>
      <c r="B190" t="s">
        <v>201</v>
      </c>
      <c r="C190">
        <v>7190</v>
      </c>
    </row>
    <row r="191" spans="1:3" x14ac:dyDescent="0.2">
      <c r="A191" t="s">
        <v>29</v>
      </c>
      <c r="B191" t="s">
        <v>202</v>
      </c>
      <c r="C191">
        <v>7240</v>
      </c>
    </row>
    <row r="192" spans="1:3" x14ac:dyDescent="0.2">
      <c r="A192" t="s">
        <v>29</v>
      </c>
      <c r="B192" t="s">
        <v>203</v>
      </c>
      <c r="C192">
        <v>6290</v>
      </c>
    </row>
    <row r="193" spans="1:3" x14ac:dyDescent="0.2">
      <c r="A193" t="s">
        <v>29</v>
      </c>
      <c r="B193" t="s">
        <v>204</v>
      </c>
      <c r="C193">
        <v>2</v>
      </c>
    </row>
    <row r="194" spans="1:3" x14ac:dyDescent="0.2">
      <c r="A194" t="s">
        <v>29</v>
      </c>
      <c r="B194" t="s">
        <v>205</v>
      </c>
      <c r="C194">
        <v>580</v>
      </c>
    </row>
    <row r="195" spans="1:3" x14ac:dyDescent="0.2">
      <c r="A195" t="s">
        <v>29</v>
      </c>
      <c r="B195" t="s">
        <v>206</v>
      </c>
      <c r="C195">
        <v>7820</v>
      </c>
    </row>
    <row r="196" spans="1:3" x14ac:dyDescent="0.2">
      <c r="A196" t="s">
        <v>29</v>
      </c>
      <c r="B196" t="s">
        <v>207</v>
      </c>
      <c r="C196">
        <v>7910</v>
      </c>
    </row>
    <row r="197" spans="1:3" x14ac:dyDescent="0.2">
      <c r="A197" t="s">
        <v>29</v>
      </c>
      <c r="B197" t="s">
        <v>208</v>
      </c>
      <c r="C197">
        <v>8550</v>
      </c>
    </row>
    <row r="198" spans="1:3" x14ac:dyDescent="0.2">
      <c r="A198" t="s">
        <v>29</v>
      </c>
      <c r="B198" t="s">
        <v>209</v>
      </c>
      <c r="C198">
        <v>8900</v>
      </c>
    </row>
    <row r="199" spans="1:3" x14ac:dyDescent="0.2">
      <c r="A199" t="s">
        <v>29</v>
      </c>
      <c r="B199" t="s">
        <v>210</v>
      </c>
      <c r="C199">
        <v>2</v>
      </c>
    </row>
    <row r="200" spans="1:3" x14ac:dyDescent="0.2">
      <c r="A200" t="s">
        <v>29</v>
      </c>
      <c r="B200" t="s">
        <v>211</v>
      </c>
      <c r="C200">
        <v>376</v>
      </c>
    </row>
    <row r="201" spans="1:3" x14ac:dyDescent="0.2">
      <c r="A201" t="s">
        <v>29</v>
      </c>
      <c r="B201" t="s">
        <v>212</v>
      </c>
      <c r="C201">
        <v>1</v>
      </c>
    </row>
    <row r="202" spans="1:3" x14ac:dyDescent="0.2">
      <c r="A202" t="s">
        <v>29</v>
      </c>
      <c r="B202" t="s">
        <v>213</v>
      </c>
      <c r="C202">
        <v>6490</v>
      </c>
    </row>
    <row r="203" spans="1:3" x14ac:dyDescent="0.2">
      <c r="A203" t="s">
        <v>29</v>
      </c>
      <c r="B203" t="s">
        <v>214</v>
      </c>
      <c r="C203">
        <v>530</v>
      </c>
    </row>
    <row r="204" spans="1:3" x14ac:dyDescent="0.2">
      <c r="A204" t="s">
        <v>29</v>
      </c>
      <c r="B204" t="s">
        <v>215</v>
      </c>
      <c r="C204">
        <v>76</v>
      </c>
    </row>
    <row r="205" spans="1:3" x14ac:dyDescent="0.2">
      <c r="A205" t="s">
        <v>29</v>
      </c>
      <c r="B205" t="s">
        <v>216</v>
      </c>
      <c r="C205">
        <v>216</v>
      </c>
    </row>
    <row r="206" spans="1:3" x14ac:dyDescent="0.2">
      <c r="A206" t="s">
        <v>29</v>
      </c>
      <c r="B206" t="s">
        <v>217</v>
      </c>
      <c r="C206">
        <v>4090</v>
      </c>
    </row>
    <row r="207" spans="1:3" x14ac:dyDescent="0.2">
      <c r="A207" t="s">
        <v>29</v>
      </c>
      <c r="B207" t="s">
        <v>218</v>
      </c>
      <c r="C207">
        <v>1</v>
      </c>
    </row>
    <row r="208" spans="1:3" x14ac:dyDescent="0.2">
      <c r="A208" t="s">
        <v>29</v>
      </c>
      <c r="B208" t="s">
        <v>219</v>
      </c>
      <c r="C208">
        <v>222</v>
      </c>
    </row>
    <row r="209" spans="1:3" x14ac:dyDescent="0.2">
      <c r="A209" t="s">
        <v>29</v>
      </c>
      <c r="B209" t="s">
        <v>220</v>
      </c>
      <c r="C209">
        <v>1</v>
      </c>
    </row>
    <row r="210" spans="1:3" x14ac:dyDescent="0.2">
      <c r="A210" t="s">
        <v>29</v>
      </c>
      <c r="B210" t="s">
        <v>221</v>
      </c>
      <c r="C210">
        <v>2</v>
      </c>
    </row>
    <row r="211" spans="1:3" x14ac:dyDescent="0.2">
      <c r="A211" t="s">
        <v>29</v>
      </c>
      <c r="B211" t="s">
        <v>222</v>
      </c>
      <c r="C211">
        <v>588</v>
      </c>
    </row>
    <row r="212" spans="1:3" x14ac:dyDescent="0.2">
      <c r="A212" t="s">
        <v>29</v>
      </c>
      <c r="B212" t="s">
        <v>223</v>
      </c>
      <c r="C212">
        <v>17400</v>
      </c>
    </row>
    <row r="213" spans="1:3" x14ac:dyDescent="0.2">
      <c r="A213" t="s">
        <v>29</v>
      </c>
      <c r="B213" t="s">
        <v>224</v>
      </c>
      <c r="C213">
        <v>1</v>
      </c>
    </row>
    <row r="214" spans="1:3" x14ac:dyDescent="0.2">
      <c r="A214" t="s">
        <v>29</v>
      </c>
      <c r="B214" t="s">
        <v>225</v>
      </c>
      <c r="C214">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3A90C-C58B-4D36-9D2D-9020D90A4605}">
  <dimension ref="A1:Y103"/>
  <sheetViews>
    <sheetView topLeftCell="A70" workbookViewId="0">
      <selection activeCell="I35" sqref="I35"/>
    </sheetView>
  </sheetViews>
  <sheetFormatPr defaultRowHeight="12.75" x14ac:dyDescent="0.2"/>
  <cols>
    <col min="1" max="1" width="10.28515625" customWidth="1"/>
    <col min="2" max="2" width="12.42578125" style="156" customWidth="1"/>
    <col min="3" max="3" width="17.7109375" bestFit="1" customWidth="1"/>
    <col min="4" max="4" width="12.28515625" customWidth="1"/>
    <col min="5" max="5" width="11" customWidth="1"/>
    <col min="6" max="6" width="11.7109375" customWidth="1"/>
    <col min="7" max="7" width="12" customWidth="1"/>
    <col min="8" max="8" width="11.7109375" customWidth="1"/>
    <col min="9" max="9" width="10.42578125" customWidth="1"/>
    <col min="10" max="12" width="8.7109375" customWidth="1"/>
  </cols>
  <sheetData>
    <row r="1" spans="1:25" ht="18.75" x14ac:dyDescent="0.3">
      <c r="A1" s="75" t="s">
        <v>226</v>
      </c>
    </row>
    <row r="2" spans="1:25" ht="18.75" x14ac:dyDescent="0.3">
      <c r="A2" s="184" t="s">
        <v>227</v>
      </c>
    </row>
    <row r="3" spans="1:25" x14ac:dyDescent="0.2">
      <c r="A3" s="113" t="s">
        <v>228</v>
      </c>
    </row>
    <row r="4" spans="1:25" x14ac:dyDescent="0.2">
      <c r="A4" s="2" t="s">
        <v>229</v>
      </c>
    </row>
    <row r="5" spans="1:25" x14ac:dyDescent="0.2">
      <c r="A5" t="s">
        <v>230</v>
      </c>
    </row>
    <row r="7" spans="1:25" s="72" customFormat="1" x14ac:dyDescent="0.2">
      <c r="A7" s="154" t="s">
        <v>231</v>
      </c>
      <c r="B7" s="157"/>
    </row>
    <row r="8" spans="1:25" s="72" customFormat="1" x14ac:dyDescent="0.2">
      <c r="A8" s="152" t="s">
        <v>232</v>
      </c>
      <c r="B8" s="157"/>
    </row>
    <row r="9" spans="1:25" s="72" customFormat="1" x14ac:dyDescent="0.2">
      <c r="B9" s="157"/>
    </row>
    <row r="10" spans="1:25" s="72" customFormat="1" x14ac:dyDescent="0.2">
      <c r="A10" s="153" t="s">
        <v>233</v>
      </c>
      <c r="B10" s="158"/>
      <c r="C10" s="151"/>
    </row>
    <row r="11" spans="1:25" s="72" customFormat="1" x14ac:dyDescent="0.2">
      <c r="A11" s="153" t="s">
        <v>234</v>
      </c>
      <c r="B11" s="157"/>
    </row>
    <row r="13" spans="1:25" ht="15" x14ac:dyDescent="0.25">
      <c r="A13" s="134"/>
      <c r="B13" s="159" t="s">
        <v>235</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row>
    <row r="14" spans="1:25" ht="15" x14ac:dyDescent="0.25">
      <c r="A14" s="134"/>
      <c r="B14" s="160" t="s">
        <v>236</v>
      </c>
      <c r="C14" s="136"/>
      <c r="D14" s="136"/>
      <c r="E14" s="136"/>
      <c r="F14" s="136"/>
      <c r="G14" s="136"/>
      <c r="H14" s="136"/>
      <c r="I14" s="136"/>
      <c r="J14" s="137" t="s">
        <v>237</v>
      </c>
      <c r="K14" s="138"/>
      <c r="L14" s="138"/>
      <c r="M14" s="138"/>
      <c r="N14" s="138"/>
      <c r="O14" s="138"/>
      <c r="P14" s="138"/>
      <c r="Q14" s="138"/>
      <c r="R14" s="147" t="s">
        <v>238</v>
      </c>
      <c r="S14" s="148"/>
      <c r="T14" s="148"/>
      <c r="U14" s="148"/>
      <c r="V14" s="148"/>
      <c r="W14" s="148"/>
      <c r="X14" s="148"/>
      <c r="Y14" s="148"/>
    </row>
    <row r="15" spans="1:25" ht="15" x14ac:dyDescent="0.25">
      <c r="A15" s="134"/>
      <c r="B15" s="161" t="s">
        <v>239</v>
      </c>
      <c r="C15" s="139"/>
      <c r="D15" s="139"/>
      <c r="E15" s="139"/>
      <c r="F15" s="139"/>
      <c r="G15" s="139"/>
      <c r="H15" s="139"/>
      <c r="I15" s="139"/>
      <c r="J15" s="140" t="s">
        <v>239</v>
      </c>
      <c r="K15" s="140"/>
      <c r="L15" s="140"/>
      <c r="M15" s="140"/>
      <c r="N15" s="140"/>
      <c r="O15" s="140"/>
      <c r="P15" s="140"/>
      <c r="Q15" s="140"/>
      <c r="R15" s="149" t="s">
        <v>239</v>
      </c>
      <c r="S15" s="149"/>
      <c r="T15" s="149"/>
      <c r="U15" s="149"/>
      <c r="V15" s="149"/>
      <c r="W15" s="149"/>
      <c r="X15" s="149"/>
      <c r="Y15" s="149"/>
    </row>
    <row r="16" spans="1:25" ht="15" x14ac:dyDescent="0.25">
      <c r="A16" s="134"/>
      <c r="B16" s="162">
        <v>2024</v>
      </c>
      <c r="C16" s="141">
        <v>2026</v>
      </c>
      <c r="D16" s="141">
        <v>2028</v>
      </c>
      <c r="E16" s="141">
        <v>2030</v>
      </c>
      <c r="F16" s="141">
        <v>2035</v>
      </c>
      <c r="G16" s="141">
        <v>2040</v>
      </c>
      <c r="H16" s="141">
        <v>2045</v>
      </c>
      <c r="I16" s="141">
        <v>2050</v>
      </c>
      <c r="J16" s="142">
        <v>2024</v>
      </c>
      <c r="K16" s="142">
        <v>2026</v>
      </c>
      <c r="L16" s="142">
        <v>2028</v>
      </c>
      <c r="M16" s="142">
        <v>2030</v>
      </c>
      <c r="N16" s="142">
        <v>2035</v>
      </c>
      <c r="O16" s="142">
        <v>2040</v>
      </c>
      <c r="P16" s="142">
        <v>2045</v>
      </c>
      <c r="Q16" s="142">
        <v>2050</v>
      </c>
      <c r="R16" s="150">
        <v>2024</v>
      </c>
      <c r="S16" s="150">
        <v>2026</v>
      </c>
      <c r="T16" s="150">
        <v>2028</v>
      </c>
      <c r="U16" s="150">
        <v>2030</v>
      </c>
      <c r="V16" s="150">
        <v>2035</v>
      </c>
      <c r="W16" s="150">
        <v>2040</v>
      </c>
      <c r="X16" s="150">
        <v>2045</v>
      </c>
      <c r="Y16" s="150">
        <v>2050</v>
      </c>
    </row>
    <row r="17" spans="1:25" x14ac:dyDescent="0.2">
      <c r="A17" s="134" t="s">
        <v>240</v>
      </c>
      <c r="B17" s="163">
        <v>242.3</v>
      </c>
      <c r="C17" s="143">
        <v>186</v>
      </c>
      <c r="D17" s="143">
        <v>116.2</v>
      </c>
      <c r="E17" s="143">
        <v>82.6</v>
      </c>
      <c r="F17" s="143">
        <v>97.9</v>
      </c>
      <c r="G17" s="143">
        <v>98.5</v>
      </c>
      <c r="H17" s="143">
        <v>66.3</v>
      </c>
      <c r="I17" s="143">
        <v>39.6</v>
      </c>
      <c r="J17" s="143">
        <v>18.7</v>
      </c>
      <c r="K17" s="143">
        <v>13.1</v>
      </c>
      <c r="L17" s="143">
        <v>6</v>
      </c>
      <c r="M17" s="143">
        <v>4.5</v>
      </c>
      <c r="N17" s="143">
        <v>6.2</v>
      </c>
      <c r="O17" s="143">
        <v>6.2</v>
      </c>
      <c r="P17" s="143">
        <v>3.6</v>
      </c>
      <c r="Q17" s="143">
        <v>1.8</v>
      </c>
      <c r="R17" s="143">
        <v>2.65</v>
      </c>
      <c r="S17" s="143">
        <v>1.84</v>
      </c>
      <c r="T17" s="143">
        <v>0.81</v>
      </c>
      <c r="U17" s="143">
        <v>0.62</v>
      </c>
      <c r="V17" s="143">
        <v>0.87</v>
      </c>
      <c r="W17" s="143">
        <v>0.86</v>
      </c>
      <c r="X17" s="143">
        <v>0.48</v>
      </c>
      <c r="Y17" s="143">
        <v>0.24</v>
      </c>
    </row>
    <row r="18" spans="1:25" x14ac:dyDescent="0.2">
      <c r="A18" t="s">
        <v>241</v>
      </c>
      <c r="B18" s="156">
        <f>B17*Constants!$C$14</f>
        <v>242.3</v>
      </c>
      <c r="C18">
        <f>C17*Constants!$C$14</f>
        <v>186</v>
      </c>
      <c r="D18">
        <f>D17*Constants!$C$14</f>
        <v>116.2</v>
      </c>
      <c r="E18">
        <f>E17*Constants!$C$14</f>
        <v>82.6</v>
      </c>
      <c r="F18">
        <f>F17*Constants!$C$14</f>
        <v>97.9</v>
      </c>
      <c r="G18">
        <f>G17*Constants!$C$14</f>
        <v>98.5</v>
      </c>
      <c r="H18">
        <f>H17*Constants!$C$14</f>
        <v>66.3</v>
      </c>
      <c r="I18">
        <f>I17*Constants!$C$14</f>
        <v>39.6</v>
      </c>
      <c r="J18">
        <f>J17*Constants!$C$15</f>
        <v>523.6</v>
      </c>
      <c r="K18">
        <f>K17*Constants!$C$15</f>
        <v>366.8</v>
      </c>
      <c r="L18">
        <f>L17*Constants!$C$15</f>
        <v>168</v>
      </c>
      <c r="M18">
        <f>M17*Constants!$C$15</f>
        <v>126</v>
      </c>
      <c r="N18">
        <f>N17*Constants!$C$15</f>
        <v>173.6</v>
      </c>
      <c r="O18">
        <f>O17*Constants!$C$15</f>
        <v>173.6</v>
      </c>
      <c r="P18">
        <f>P17*Constants!$C$15</f>
        <v>100.8</v>
      </c>
      <c r="Q18">
        <f>Q17*Constants!$C$15</f>
        <v>50.4</v>
      </c>
      <c r="R18">
        <f>R17*Constants!$C$16</f>
        <v>702.25</v>
      </c>
      <c r="S18">
        <f>S17*Constants!$C$16</f>
        <v>487.6</v>
      </c>
      <c r="T18">
        <f>T17*Constants!$C$16</f>
        <v>214.65</v>
      </c>
      <c r="U18">
        <f>U17*Constants!$C$16</f>
        <v>164.3</v>
      </c>
      <c r="V18">
        <f>V17*Constants!$C$16</f>
        <v>230.55</v>
      </c>
      <c r="W18">
        <f>W17*Constants!$C$16</f>
        <v>227.9</v>
      </c>
      <c r="X18">
        <f>X17*Constants!$C$16</f>
        <v>127.19999999999999</v>
      </c>
      <c r="Y18">
        <f>Y17*Constants!$C$16</f>
        <v>63.599999999999994</v>
      </c>
    </row>
    <row r="19" spans="1:25" x14ac:dyDescent="0.2">
      <c r="A19" t="s">
        <v>242</v>
      </c>
      <c r="B19" s="156">
        <f>B18</f>
        <v>242.3</v>
      </c>
      <c r="C19">
        <f t="shared" ref="C19:I19" si="0">C18</f>
        <v>186</v>
      </c>
      <c r="D19">
        <f t="shared" si="0"/>
        <v>116.2</v>
      </c>
      <c r="E19">
        <f t="shared" si="0"/>
        <v>82.6</v>
      </c>
      <c r="F19">
        <f t="shared" si="0"/>
        <v>97.9</v>
      </c>
      <c r="G19">
        <f t="shared" si="0"/>
        <v>98.5</v>
      </c>
      <c r="H19">
        <f t="shared" si="0"/>
        <v>66.3</v>
      </c>
      <c r="I19">
        <f t="shared" si="0"/>
        <v>39.6</v>
      </c>
      <c r="J19">
        <f>J18/1000</f>
        <v>0.52360000000000007</v>
      </c>
      <c r="K19">
        <f t="shared" ref="K19:Y19" si="1">K18/1000</f>
        <v>0.36680000000000001</v>
      </c>
      <c r="L19">
        <f t="shared" si="1"/>
        <v>0.16800000000000001</v>
      </c>
      <c r="M19">
        <f t="shared" si="1"/>
        <v>0.126</v>
      </c>
      <c r="N19">
        <f t="shared" si="1"/>
        <v>0.1736</v>
      </c>
      <c r="O19">
        <f t="shared" si="1"/>
        <v>0.1736</v>
      </c>
      <c r="P19">
        <f t="shared" si="1"/>
        <v>0.1008</v>
      </c>
      <c r="Q19">
        <f t="shared" si="1"/>
        <v>5.04E-2</v>
      </c>
      <c r="R19">
        <f t="shared" si="1"/>
        <v>0.70225000000000004</v>
      </c>
      <c r="S19">
        <f t="shared" si="1"/>
        <v>0.48760000000000003</v>
      </c>
      <c r="T19">
        <f t="shared" si="1"/>
        <v>0.21465000000000001</v>
      </c>
      <c r="U19">
        <f t="shared" si="1"/>
        <v>0.1643</v>
      </c>
      <c r="V19">
        <f t="shared" si="1"/>
        <v>0.23055</v>
      </c>
      <c r="W19">
        <f t="shared" si="1"/>
        <v>0.22790000000000002</v>
      </c>
      <c r="X19">
        <f t="shared" si="1"/>
        <v>0.12719999999999998</v>
      </c>
      <c r="Y19">
        <f t="shared" si="1"/>
        <v>6.359999999999999E-2</v>
      </c>
    </row>
    <row r="22" spans="1:25" ht="15" x14ac:dyDescent="0.25">
      <c r="B22" s="159" t="s">
        <v>235</v>
      </c>
      <c r="C22" s="135"/>
      <c r="D22" s="135"/>
      <c r="E22" s="135"/>
      <c r="F22" s="135"/>
      <c r="G22" s="135"/>
      <c r="H22" s="135"/>
      <c r="I22" s="135"/>
    </row>
    <row r="23" spans="1:25" ht="15" x14ac:dyDescent="0.25">
      <c r="B23" s="164" t="s">
        <v>243</v>
      </c>
      <c r="C23" s="144"/>
      <c r="D23" s="144"/>
      <c r="E23" s="144"/>
      <c r="F23" s="144"/>
      <c r="G23" s="144"/>
      <c r="H23" s="144"/>
      <c r="I23" s="144"/>
    </row>
    <row r="24" spans="1:25" ht="15" x14ac:dyDescent="0.25">
      <c r="B24" s="165" t="s">
        <v>239</v>
      </c>
      <c r="C24" s="145"/>
      <c r="D24" s="145"/>
      <c r="E24" s="145"/>
      <c r="F24" s="145"/>
      <c r="G24" s="145"/>
      <c r="H24" s="145"/>
      <c r="I24" s="145"/>
    </row>
    <row r="25" spans="1:25" ht="15" x14ac:dyDescent="0.25">
      <c r="B25" s="166">
        <v>2024</v>
      </c>
      <c r="C25" s="146">
        <v>2026</v>
      </c>
      <c r="D25" s="146">
        <v>2028</v>
      </c>
      <c r="E25" s="146">
        <v>2030</v>
      </c>
      <c r="F25" s="146">
        <v>2035</v>
      </c>
      <c r="G25" s="146">
        <v>2040</v>
      </c>
      <c r="H25" s="146">
        <v>2045</v>
      </c>
      <c r="I25" s="146">
        <v>2050</v>
      </c>
    </row>
    <row r="26" spans="1:25" x14ac:dyDescent="0.2">
      <c r="A26" t="s">
        <v>242</v>
      </c>
      <c r="B26" s="167">
        <f>B19+J19+R19</f>
        <v>243.52584999999999</v>
      </c>
      <c r="C26" s="167">
        <f t="shared" ref="C26:I26" si="2">C19+K19+S19</f>
        <v>186.8544</v>
      </c>
      <c r="D26" s="167">
        <f t="shared" si="2"/>
        <v>116.58265000000002</v>
      </c>
      <c r="E26" s="167">
        <f t="shared" si="2"/>
        <v>82.890299999999996</v>
      </c>
      <c r="F26" s="167">
        <f t="shared" si="2"/>
        <v>98.304149999999993</v>
      </c>
      <c r="G26" s="167">
        <f t="shared" si="2"/>
        <v>98.901499999999999</v>
      </c>
      <c r="H26" s="167">
        <f t="shared" si="2"/>
        <v>66.528000000000006</v>
      </c>
      <c r="I26" s="167">
        <f t="shared" si="2"/>
        <v>39.714000000000006</v>
      </c>
    </row>
    <row r="27" spans="1:25" x14ac:dyDescent="0.2">
      <c r="A27" t="s">
        <v>244</v>
      </c>
      <c r="B27" s="168">
        <f>B26/1000</f>
        <v>0.24352584999999999</v>
      </c>
      <c r="C27" s="155">
        <f t="shared" ref="C27:I27" si="3">C26/1000</f>
        <v>0.1868544</v>
      </c>
      <c r="D27" s="155">
        <f t="shared" si="3"/>
        <v>0.11658265000000001</v>
      </c>
      <c r="E27" s="155">
        <f t="shared" si="3"/>
        <v>8.28903E-2</v>
      </c>
      <c r="F27" s="155">
        <f t="shared" si="3"/>
        <v>9.8304149999999993E-2</v>
      </c>
      <c r="G27" s="155">
        <f t="shared" si="3"/>
        <v>9.8901500000000003E-2</v>
      </c>
      <c r="H27" s="155">
        <f t="shared" si="3"/>
        <v>6.6528000000000004E-2</v>
      </c>
      <c r="I27" s="155">
        <f t="shared" si="3"/>
        <v>3.9714000000000006E-2</v>
      </c>
    </row>
    <row r="28" spans="1:25" x14ac:dyDescent="0.2">
      <c r="B28" s="168"/>
      <c r="C28" s="155"/>
      <c r="D28" s="155"/>
      <c r="E28" s="155"/>
      <c r="F28" s="155"/>
      <c r="G28" s="155"/>
      <c r="H28" s="155"/>
      <c r="I28" s="155"/>
    </row>
    <row r="29" spans="1:25" x14ac:dyDescent="0.2">
      <c r="A29">
        <v>6.9826186944828067E-3</v>
      </c>
      <c r="B29" s="168"/>
      <c r="C29" s="155"/>
      <c r="D29" s="155"/>
      <c r="E29" s="155"/>
      <c r="F29" s="155"/>
      <c r="G29" s="155"/>
      <c r="H29" s="155"/>
      <c r="I29" s="155"/>
    </row>
    <row r="30" spans="1:25" ht="38.25" x14ac:dyDescent="0.2">
      <c r="A30" s="175" t="s">
        <v>245</v>
      </c>
      <c r="B30" s="174" t="s">
        <v>244</v>
      </c>
      <c r="C30" s="176" t="s">
        <v>246</v>
      </c>
      <c r="D30" s="155"/>
      <c r="E30" s="155"/>
      <c r="H30" s="155"/>
      <c r="I30" s="155" t="s">
        <v>247</v>
      </c>
      <c r="J30" s="155"/>
      <c r="K30" s="155"/>
      <c r="L30" s="155"/>
      <c r="M30" s="155" t="s">
        <v>248</v>
      </c>
    </row>
    <row r="31" spans="1:25" x14ac:dyDescent="0.2">
      <c r="A31" s="175">
        <v>2050</v>
      </c>
      <c r="B31" s="168">
        <f>I27</f>
        <v>3.9714000000000006E-2</v>
      </c>
      <c r="C31" s="177">
        <f t="shared" ref="C31:C57" si="4">N32</f>
        <v>3.1800000000000002E-2</v>
      </c>
      <c r="D31" s="155"/>
      <c r="F31" t="s">
        <v>245</v>
      </c>
      <c r="G31" s="156" t="s">
        <v>244</v>
      </c>
      <c r="I31" s="155" t="s">
        <v>249</v>
      </c>
      <c r="J31" s="155"/>
      <c r="K31" s="155"/>
      <c r="L31" s="155"/>
      <c r="M31" s="155" t="s">
        <v>250</v>
      </c>
      <c r="N31" t="s">
        <v>251</v>
      </c>
      <c r="O31" s="70" t="s">
        <v>252</v>
      </c>
    </row>
    <row r="32" spans="1:25" x14ac:dyDescent="0.2">
      <c r="A32" s="175">
        <v>2049</v>
      </c>
      <c r="B32" s="168"/>
      <c r="C32" s="178">
        <f t="shared" si="4"/>
        <v>5.0099999999999999E-2</v>
      </c>
      <c r="D32" s="155"/>
      <c r="F32" s="155" t="s">
        <v>253</v>
      </c>
      <c r="G32" s="155"/>
      <c r="I32" s="155" t="s">
        <v>254</v>
      </c>
      <c r="J32" s="155"/>
      <c r="K32" s="155"/>
      <c r="L32" s="155"/>
      <c r="M32" s="182">
        <v>2050</v>
      </c>
      <c r="N32">
        <v>3.1800000000000002E-2</v>
      </c>
      <c r="O32" s="70">
        <v>100</v>
      </c>
    </row>
    <row r="33" spans="1:15" x14ac:dyDescent="0.2">
      <c r="A33" s="175">
        <v>2048</v>
      </c>
      <c r="B33" s="168"/>
      <c r="C33" s="178">
        <f t="shared" si="4"/>
        <v>6.4500000000000002E-2</v>
      </c>
      <c r="D33" s="155"/>
      <c r="F33">
        <v>2024</v>
      </c>
      <c r="G33" s="172">
        <v>0.24353</v>
      </c>
      <c r="I33" s="155" t="s">
        <v>255</v>
      </c>
      <c r="J33" s="155"/>
      <c r="K33" s="155"/>
      <c r="L33" s="155"/>
      <c r="M33" s="182">
        <v>2049</v>
      </c>
      <c r="N33">
        <v>5.0099999999999999E-2</v>
      </c>
      <c r="O33" s="70">
        <v>96.153800000000004</v>
      </c>
    </row>
    <row r="34" spans="1:15" x14ac:dyDescent="0.2">
      <c r="A34" s="175">
        <v>2047</v>
      </c>
      <c r="B34" s="168"/>
      <c r="C34" s="178">
        <f t="shared" si="4"/>
        <v>7.5600000000000001E-2</v>
      </c>
      <c r="D34" s="155"/>
      <c r="F34">
        <v>2026</v>
      </c>
      <c r="G34" s="172">
        <v>0.18684999999999999</v>
      </c>
      <c r="I34" s="155" t="s">
        <v>256</v>
      </c>
      <c r="J34" s="155"/>
      <c r="K34" s="155"/>
      <c r="L34" s="155"/>
      <c r="M34" s="182">
        <v>2048</v>
      </c>
      <c r="N34">
        <v>6.4500000000000002E-2</v>
      </c>
      <c r="O34" s="70">
        <v>92.307699999999997</v>
      </c>
    </row>
    <row r="35" spans="1:15" x14ac:dyDescent="0.2">
      <c r="A35" s="175">
        <v>2046</v>
      </c>
      <c r="B35" s="168"/>
      <c r="C35" s="178">
        <f t="shared" si="4"/>
        <v>8.3500000000000005E-2</v>
      </c>
      <c r="D35" s="155"/>
      <c r="F35">
        <v>2028</v>
      </c>
      <c r="G35" s="172">
        <v>0.11658</v>
      </c>
      <c r="I35" s="155" t="s">
        <v>257</v>
      </c>
      <c r="J35" s="155"/>
      <c r="K35" s="155"/>
      <c r="L35" s="155"/>
      <c r="M35" s="182">
        <v>2047</v>
      </c>
      <c r="N35">
        <v>7.5600000000000001E-2</v>
      </c>
      <c r="O35" s="70">
        <v>88.461500000000001</v>
      </c>
    </row>
    <row r="36" spans="1:15" x14ac:dyDescent="0.2">
      <c r="A36" s="175">
        <v>2045</v>
      </c>
      <c r="B36" s="168">
        <f>H27</f>
        <v>6.6528000000000004E-2</v>
      </c>
      <c r="C36" s="178">
        <f t="shared" si="4"/>
        <v>8.8800000000000004E-2</v>
      </c>
      <c r="D36" s="155"/>
      <c r="F36">
        <v>2030</v>
      </c>
      <c r="G36" s="172">
        <v>8.2890000000000005E-2</v>
      </c>
      <c r="I36" s="155"/>
      <c r="J36" s="155"/>
      <c r="K36" s="155"/>
      <c r="L36" s="155"/>
      <c r="M36" s="182">
        <v>2046</v>
      </c>
      <c r="N36">
        <v>8.3500000000000005E-2</v>
      </c>
      <c r="O36" s="70">
        <v>84.615399999999994</v>
      </c>
    </row>
    <row r="37" spans="1:15" x14ac:dyDescent="0.2">
      <c r="A37" s="175">
        <v>2044</v>
      </c>
      <c r="B37" s="168"/>
      <c r="C37" s="178">
        <f t="shared" si="4"/>
        <v>9.1800000000000007E-2</v>
      </c>
      <c r="D37" s="155"/>
      <c r="F37">
        <v>2035</v>
      </c>
      <c r="G37" s="172">
        <v>9.8299999999999998E-2</v>
      </c>
      <c r="I37" s="155" t="s">
        <v>258</v>
      </c>
      <c r="J37" s="155"/>
      <c r="K37" s="155"/>
      <c r="L37" s="155"/>
      <c r="M37" s="182">
        <v>2045</v>
      </c>
      <c r="N37">
        <v>8.8800000000000004E-2</v>
      </c>
      <c r="O37" s="70">
        <v>80.769199999999998</v>
      </c>
    </row>
    <row r="38" spans="1:15" x14ac:dyDescent="0.2">
      <c r="A38" s="175">
        <v>2043</v>
      </c>
      <c r="B38" s="168"/>
      <c r="C38" s="178">
        <f t="shared" si="4"/>
        <v>9.2799999999999994E-2</v>
      </c>
      <c r="D38" s="155"/>
      <c r="F38">
        <v>2040</v>
      </c>
      <c r="G38" s="172">
        <v>9.8900000000000002E-2</v>
      </c>
      <c r="I38" s="155" t="s">
        <v>259</v>
      </c>
      <c r="J38" s="155"/>
      <c r="K38" s="155"/>
      <c r="L38" s="155"/>
      <c r="M38" s="182">
        <v>2044</v>
      </c>
      <c r="N38">
        <v>9.1800000000000007E-2</v>
      </c>
      <c r="O38" s="70">
        <v>76.923100000000005</v>
      </c>
    </row>
    <row r="39" spans="1:15" x14ac:dyDescent="0.2">
      <c r="A39" s="175">
        <v>2042</v>
      </c>
      <c r="B39" s="168"/>
      <c r="C39" s="178">
        <f t="shared" si="4"/>
        <v>9.2299999999999993E-2</v>
      </c>
      <c r="D39" s="155"/>
      <c r="F39">
        <v>2045</v>
      </c>
      <c r="G39" s="172">
        <v>6.6530000000000006E-2</v>
      </c>
      <c r="I39" s="155" t="s">
        <v>260</v>
      </c>
      <c r="J39" s="155"/>
      <c r="K39" s="155"/>
      <c r="L39" s="155"/>
      <c r="M39" s="182">
        <v>2043</v>
      </c>
      <c r="N39">
        <v>9.2799999999999994E-2</v>
      </c>
      <c r="O39" s="70">
        <v>73.076899999999995</v>
      </c>
    </row>
    <row r="40" spans="1:15" x14ac:dyDescent="0.2">
      <c r="A40" s="175">
        <v>2041</v>
      </c>
      <c r="B40" s="168"/>
      <c r="C40" s="178">
        <f t="shared" si="4"/>
        <v>9.0700000000000003E-2</v>
      </c>
      <c r="D40" s="155"/>
      <c r="I40" s="155" t="s">
        <v>261</v>
      </c>
      <c r="J40" s="155"/>
      <c r="K40" s="155"/>
      <c r="L40" s="155"/>
      <c r="M40" s="182">
        <v>2042</v>
      </c>
      <c r="N40">
        <v>9.2299999999999993E-2</v>
      </c>
      <c r="O40" s="70">
        <v>69.230800000000002</v>
      </c>
    </row>
    <row r="41" spans="1:15" x14ac:dyDescent="0.2">
      <c r="A41" s="175">
        <v>2040</v>
      </c>
      <c r="B41" s="168">
        <f>G27</f>
        <v>9.8901500000000003E-2</v>
      </c>
      <c r="C41" s="178">
        <f t="shared" si="4"/>
        <v>8.8200000000000001E-2</v>
      </c>
      <c r="D41" s="155"/>
      <c r="I41" s="155" t="s">
        <v>262</v>
      </c>
      <c r="J41" s="155"/>
      <c r="K41" s="155"/>
      <c r="L41" s="155"/>
      <c r="M41" s="182">
        <v>2041</v>
      </c>
      <c r="N41">
        <v>9.0700000000000003E-2</v>
      </c>
      <c r="O41" s="70">
        <v>65.384600000000006</v>
      </c>
    </row>
    <row r="42" spans="1:15" x14ac:dyDescent="0.2">
      <c r="A42" s="175">
        <v>2039</v>
      </c>
      <c r="B42" s="168"/>
      <c r="C42" s="178">
        <f t="shared" si="4"/>
        <v>8.5400000000000004E-2</v>
      </c>
      <c r="D42" s="155"/>
      <c r="I42" s="155" t="s">
        <v>263</v>
      </c>
      <c r="J42" s="155"/>
      <c r="K42" s="155"/>
      <c r="L42" s="155"/>
      <c r="M42" s="182">
        <v>2040</v>
      </c>
      <c r="N42">
        <v>8.8200000000000001E-2</v>
      </c>
      <c r="O42" s="70">
        <v>61.538499999999999</v>
      </c>
    </row>
    <row r="43" spans="1:15" x14ac:dyDescent="0.2">
      <c r="A43" s="175">
        <v>2038</v>
      </c>
      <c r="B43" s="168"/>
      <c r="C43" s="178">
        <f t="shared" si="4"/>
        <v>8.2400000000000001E-2</v>
      </c>
      <c r="D43" s="155"/>
      <c r="I43" s="155" t="s">
        <v>264</v>
      </c>
      <c r="J43" s="155"/>
      <c r="K43" s="155"/>
      <c r="L43" s="155"/>
      <c r="M43" s="182">
        <v>2039</v>
      </c>
      <c r="N43">
        <v>8.5400000000000004E-2</v>
      </c>
      <c r="O43" s="70">
        <v>57.692300000000003</v>
      </c>
    </row>
    <row r="44" spans="1:15" x14ac:dyDescent="0.2">
      <c r="A44" s="175">
        <v>2037</v>
      </c>
      <c r="B44" s="168"/>
      <c r="C44" s="178">
        <f t="shared" si="4"/>
        <v>7.9799999999999996E-2</v>
      </c>
      <c r="D44" s="155"/>
      <c r="I44" s="155" t="s">
        <v>265</v>
      </c>
      <c r="J44" s="155"/>
      <c r="K44" s="155"/>
      <c r="L44" s="155"/>
      <c r="M44" s="182">
        <v>2038</v>
      </c>
      <c r="N44">
        <v>8.2400000000000001E-2</v>
      </c>
      <c r="O44" s="70">
        <v>53.846200000000003</v>
      </c>
    </row>
    <row r="45" spans="1:15" x14ac:dyDescent="0.2">
      <c r="A45" s="175">
        <v>2036</v>
      </c>
      <c r="B45" s="168"/>
      <c r="C45" s="178">
        <f t="shared" si="4"/>
        <v>7.7899999999999997E-2</v>
      </c>
      <c r="D45" s="155"/>
      <c r="I45" s="155"/>
      <c r="J45" s="155"/>
      <c r="K45" s="155"/>
      <c r="L45" s="155"/>
      <c r="M45" s="182">
        <v>2037</v>
      </c>
      <c r="N45">
        <v>7.9799999999999996E-2</v>
      </c>
      <c r="O45" s="70">
        <v>50</v>
      </c>
    </row>
    <row r="46" spans="1:15" x14ac:dyDescent="0.2">
      <c r="A46" s="175">
        <v>2035</v>
      </c>
      <c r="B46" s="168">
        <f>F27</f>
        <v>9.8304149999999993E-2</v>
      </c>
      <c r="C46" s="178">
        <f t="shared" si="4"/>
        <v>7.6999999999999999E-2</v>
      </c>
      <c r="D46" s="155"/>
      <c r="I46" s="155"/>
      <c r="J46" s="155"/>
      <c r="K46" s="155"/>
      <c r="L46" s="155"/>
      <c r="M46" s="182">
        <v>2036</v>
      </c>
      <c r="N46">
        <v>7.7899999999999997E-2</v>
      </c>
      <c r="O46" s="70">
        <v>46.153799999999997</v>
      </c>
    </row>
    <row r="47" spans="1:15" x14ac:dyDescent="0.2">
      <c r="A47" s="175">
        <v>2034</v>
      </c>
      <c r="B47" s="168"/>
      <c r="C47" s="178">
        <f t="shared" si="4"/>
        <v>7.7499999999999999E-2</v>
      </c>
      <c r="D47" s="155"/>
      <c r="J47" s="155"/>
      <c r="K47" s="155"/>
      <c r="L47" s="155"/>
      <c r="M47" s="182">
        <v>2035</v>
      </c>
      <c r="N47">
        <v>7.6999999999999999E-2</v>
      </c>
      <c r="O47" s="70">
        <v>42.307699999999997</v>
      </c>
    </row>
    <row r="48" spans="1:15" x14ac:dyDescent="0.2">
      <c r="A48" s="175">
        <v>2033</v>
      </c>
      <c r="B48" s="168"/>
      <c r="C48" s="178">
        <f t="shared" si="4"/>
        <v>7.9799999999999996E-2</v>
      </c>
      <c r="D48" s="155"/>
      <c r="M48" s="183">
        <v>2034</v>
      </c>
      <c r="N48">
        <v>7.7499999999999999E-2</v>
      </c>
      <c r="O48" s="70">
        <v>38.461500000000001</v>
      </c>
    </row>
    <row r="49" spans="1:15" x14ac:dyDescent="0.2">
      <c r="A49" s="175">
        <v>2032</v>
      </c>
      <c r="B49" s="168"/>
      <c r="C49" s="178">
        <f t="shared" si="4"/>
        <v>8.43E-2</v>
      </c>
      <c r="D49" s="155"/>
      <c r="E49" s="155"/>
      <c r="G49" s="155"/>
      <c r="H49" s="155"/>
      <c r="I49" s="180">
        <v>70645.821503594998</v>
      </c>
      <c r="M49" s="183">
        <v>2033</v>
      </c>
      <c r="N49">
        <v>7.9799999999999996E-2</v>
      </c>
      <c r="O49" s="70">
        <v>34.615400000000001</v>
      </c>
    </row>
    <row r="50" spans="1:15" x14ac:dyDescent="0.2">
      <c r="A50" s="175">
        <v>2031</v>
      </c>
      <c r="B50" s="168"/>
      <c r="C50" s="178">
        <f t="shared" si="4"/>
        <v>9.1200000000000003E-2</v>
      </c>
      <c r="D50" s="155"/>
      <c r="E50" s="155"/>
      <c r="F50" s="155"/>
      <c r="G50" s="155"/>
      <c r="H50" s="155"/>
      <c r="I50" s="180">
        <v>-41.246846522524798</v>
      </c>
      <c r="M50" s="183">
        <v>2032</v>
      </c>
      <c r="N50">
        <v>8.43E-2</v>
      </c>
      <c r="O50" s="70">
        <v>30.769200000000001</v>
      </c>
    </row>
    <row r="51" spans="1:15" x14ac:dyDescent="0.2">
      <c r="A51" s="175">
        <v>2030</v>
      </c>
      <c r="B51" s="168">
        <f>E27</f>
        <v>8.28903E-2</v>
      </c>
      <c r="C51" s="178">
        <f t="shared" si="4"/>
        <v>0.10100000000000001</v>
      </c>
      <c r="D51" s="155"/>
      <c r="E51" s="155"/>
      <c r="F51" s="155"/>
      <c r="G51" s="155"/>
      <c r="H51" s="155"/>
      <c r="I51" s="180">
        <v>-3.2440874152115202E-3</v>
      </c>
      <c r="M51" s="183">
        <v>2031</v>
      </c>
      <c r="N51">
        <v>9.1200000000000003E-2</v>
      </c>
      <c r="O51" s="70">
        <v>26.923100000000002</v>
      </c>
    </row>
    <row r="52" spans="1:15" x14ac:dyDescent="0.2">
      <c r="A52" s="175">
        <v>2029</v>
      </c>
      <c r="B52" s="168"/>
      <c r="C52" s="178">
        <f t="shared" si="4"/>
        <v>0.114</v>
      </c>
      <c r="D52" s="155"/>
      <c r="E52" s="155"/>
      <c r="F52" s="155"/>
      <c r="G52" s="155"/>
      <c r="H52" s="155"/>
      <c r="I52" s="181">
        <v>-5.2711049403246999E-6</v>
      </c>
      <c r="M52" s="183">
        <v>2030</v>
      </c>
      <c r="N52">
        <v>0.10100000000000001</v>
      </c>
      <c r="O52" s="70">
        <v>23.076899999999998</v>
      </c>
    </row>
    <row r="53" spans="1:15" x14ac:dyDescent="0.2">
      <c r="A53" s="175">
        <v>2028</v>
      </c>
      <c r="B53" s="168">
        <f>D27</f>
        <v>0.11658265000000001</v>
      </c>
      <c r="C53" s="178">
        <f t="shared" si="4"/>
        <v>0.13059999999999999</v>
      </c>
      <c r="D53" s="155"/>
      <c r="E53" s="155"/>
      <c r="F53" s="155"/>
      <c r="G53" s="155"/>
      <c r="H53" s="155"/>
      <c r="I53" s="181">
        <v>2.60138162403225E-9</v>
      </c>
      <c r="M53" s="183">
        <v>2029</v>
      </c>
      <c r="N53">
        <v>0.114</v>
      </c>
      <c r="O53" s="70">
        <v>19.230799999999999</v>
      </c>
    </row>
    <row r="54" spans="1:15" x14ac:dyDescent="0.2">
      <c r="A54" s="175">
        <v>2027</v>
      </c>
      <c r="B54" s="168"/>
      <c r="C54" s="178">
        <f t="shared" si="4"/>
        <v>0.1512</v>
      </c>
      <c r="D54" s="155"/>
      <c r="E54" s="155"/>
      <c r="F54" s="155"/>
      <c r="G54" s="155"/>
      <c r="H54" s="155"/>
      <c r="I54" s="180">
        <v>1.30259371010997E-12</v>
      </c>
      <c r="M54" s="183">
        <v>2028</v>
      </c>
      <c r="N54">
        <v>0.13059999999999999</v>
      </c>
      <c r="O54" s="70">
        <v>15.384600000000001</v>
      </c>
    </row>
    <row r="55" spans="1:15" x14ac:dyDescent="0.2">
      <c r="A55" s="175">
        <v>2026</v>
      </c>
      <c r="B55" s="168">
        <f>C27</f>
        <v>0.1868544</v>
      </c>
      <c r="C55" s="178">
        <f t="shared" si="4"/>
        <v>0.17599999999999999</v>
      </c>
      <c r="D55" s="155"/>
      <c r="E55" s="155"/>
      <c r="F55" s="155"/>
      <c r="G55" s="155"/>
      <c r="H55" s="155"/>
      <c r="I55" s="180">
        <v>4.11188994839553E-16</v>
      </c>
      <c r="M55" s="183">
        <v>2027</v>
      </c>
      <c r="N55">
        <v>0.1512</v>
      </c>
      <c r="O55" s="70">
        <v>11.538500000000001</v>
      </c>
    </row>
    <row r="56" spans="1:15" x14ac:dyDescent="0.2">
      <c r="A56" s="175">
        <v>2025</v>
      </c>
      <c r="B56" s="168"/>
      <c r="C56" s="178">
        <f t="shared" si="4"/>
        <v>0.2054</v>
      </c>
      <c r="D56" s="155"/>
      <c r="E56" s="155"/>
      <c r="F56" s="155"/>
      <c r="G56" s="155"/>
      <c r="H56" s="155"/>
      <c r="I56" s="181">
        <v>-3.3300535386369299E-19</v>
      </c>
      <c r="M56" s="183">
        <v>2026</v>
      </c>
      <c r="N56">
        <v>0.17599999999999999</v>
      </c>
      <c r="O56" s="70">
        <v>7.6923000000000004</v>
      </c>
    </row>
    <row r="57" spans="1:15" x14ac:dyDescent="0.2">
      <c r="A57" s="175">
        <v>2024</v>
      </c>
      <c r="B57" s="156">
        <f>B27</f>
        <v>0.24352584999999999</v>
      </c>
      <c r="C57" s="178">
        <f t="shared" si="4"/>
        <v>0.2399</v>
      </c>
      <c r="M57" s="183">
        <v>2025</v>
      </c>
      <c r="N57">
        <v>0.2054</v>
      </c>
      <c r="O57" s="70">
        <v>3.8462000000000001</v>
      </c>
    </row>
    <row r="58" spans="1:15" x14ac:dyDescent="0.2">
      <c r="A58" s="49"/>
      <c r="M58" s="183">
        <v>2024</v>
      </c>
      <c r="N58">
        <v>0.2399</v>
      </c>
      <c r="O58" s="70">
        <v>0</v>
      </c>
    </row>
    <row r="59" spans="1:15" x14ac:dyDescent="0.2">
      <c r="A59" s="49"/>
    </row>
    <row r="60" spans="1:15" x14ac:dyDescent="0.2">
      <c r="A60" s="173" t="s">
        <v>266</v>
      </c>
    </row>
    <row r="61" spans="1:15" x14ac:dyDescent="0.2">
      <c r="A61" t="s">
        <v>267</v>
      </c>
    </row>
    <row r="62" spans="1:15" x14ac:dyDescent="0.2">
      <c r="A62" s="50" t="s">
        <v>268</v>
      </c>
      <c r="B62" s="169"/>
      <c r="C62" s="51"/>
      <c r="D62" s="51"/>
      <c r="E62" s="51"/>
      <c r="F62" s="51"/>
      <c r="G62" s="51"/>
      <c r="H62" s="49"/>
      <c r="I62" s="49"/>
      <c r="J62" s="49"/>
      <c r="K62" s="49"/>
      <c r="L62" s="49"/>
      <c r="M62" s="49"/>
    </row>
    <row r="63" spans="1:15" x14ac:dyDescent="0.2">
      <c r="A63" s="2" t="s">
        <v>269</v>
      </c>
      <c r="B63" s="170"/>
      <c r="C63" s="49"/>
      <c r="D63" s="49"/>
      <c r="E63" s="49"/>
      <c r="F63" s="49"/>
      <c r="G63" s="49"/>
      <c r="H63" s="49"/>
      <c r="I63" s="49"/>
      <c r="J63" s="49"/>
      <c r="K63" s="49"/>
      <c r="L63" s="49"/>
      <c r="M63" s="49"/>
    </row>
    <row r="64" spans="1:15" x14ac:dyDescent="0.2">
      <c r="A64" s="49" t="s">
        <v>270</v>
      </c>
      <c r="B64" s="170"/>
      <c r="C64" s="49"/>
      <c r="D64" s="49"/>
      <c r="E64" s="49"/>
      <c r="F64" s="49"/>
      <c r="G64" s="49"/>
      <c r="H64" s="49"/>
      <c r="I64" s="49"/>
      <c r="J64" s="49"/>
      <c r="K64" s="49"/>
      <c r="L64" s="49"/>
      <c r="M64" s="49"/>
    </row>
    <row r="65" spans="1:13" ht="38.25" x14ac:dyDescent="0.2">
      <c r="A65" s="49"/>
      <c r="B65" s="171" t="s">
        <v>271</v>
      </c>
      <c r="C65" s="53" t="s">
        <v>272</v>
      </c>
      <c r="D65" s="54">
        <v>0.90720000000000001</v>
      </c>
      <c r="E65" s="52" t="s">
        <v>273</v>
      </c>
      <c r="F65" s="49"/>
      <c r="G65" s="49"/>
      <c r="H65" s="49"/>
      <c r="I65" s="49"/>
      <c r="J65" s="49"/>
      <c r="K65" s="49"/>
      <c r="L65" s="49"/>
      <c r="M65" s="49"/>
    </row>
    <row r="66" spans="1:13" ht="114.75" x14ac:dyDescent="0.2">
      <c r="A66" s="49" t="s">
        <v>245</v>
      </c>
      <c r="B66" s="171" t="s">
        <v>274</v>
      </c>
      <c r="C66" s="52" t="s">
        <v>275</v>
      </c>
      <c r="D66" s="52" t="s">
        <v>276</v>
      </c>
      <c r="E66" s="56" t="s">
        <v>277</v>
      </c>
      <c r="F66" s="55" t="s">
        <v>278</v>
      </c>
      <c r="G66" s="55" t="s">
        <v>279</v>
      </c>
      <c r="H66" s="52"/>
      <c r="I66" s="52"/>
      <c r="J66" s="52"/>
      <c r="K66" s="52"/>
      <c r="L66" s="52"/>
      <c r="M66" s="52"/>
    </row>
    <row r="67" spans="1:13" x14ac:dyDescent="0.2">
      <c r="A67" s="49">
        <v>2050</v>
      </c>
      <c r="B67" s="170">
        <v>35.240029999999997</v>
      </c>
      <c r="C67" s="122">
        <v>253.44589999999999</v>
      </c>
      <c r="D67" s="122">
        <v>31.96975522</v>
      </c>
      <c r="E67" s="122">
        <v>0.12614035300000001</v>
      </c>
      <c r="F67" s="121">
        <v>31.944653949999999</v>
      </c>
      <c r="G67" s="121">
        <v>-68.055346049999997</v>
      </c>
      <c r="H67" s="49"/>
      <c r="I67" s="49"/>
      <c r="J67" s="49"/>
      <c r="K67" s="49"/>
      <c r="L67" s="49"/>
      <c r="M67" s="49"/>
    </row>
    <row r="68" spans="1:13" x14ac:dyDescent="0.2">
      <c r="A68" s="49">
        <v>2049</v>
      </c>
      <c r="B68" s="170">
        <v>34.763820000000003</v>
      </c>
      <c r="C68" s="122">
        <v>251.41810000000001</v>
      </c>
      <c r="D68" s="122">
        <v>31.537737499999999</v>
      </c>
      <c r="E68" s="122">
        <v>0.125439408</v>
      </c>
      <c r="F68" s="121">
        <v>31.76714175</v>
      </c>
      <c r="G68" s="121">
        <v>-68.232858250000007</v>
      </c>
      <c r="H68" s="49"/>
      <c r="I68" s="49"/>
      <c r="J68" s="49"/>
      <c r="K68" s="49"/>
      <c r="L68" s="49"/>
      <c r="M68" s="49"/>
    </row>
    <row r="69" spans="1:13" x14ac:dyDescent="0.2">
      <c r="A69" s="49">
        <v>2048</v>
      </c>
      <c r="B69" s="170">
        <v>33.733150000000002</v>
      </c>
      <c r="C69" s="122">
        <v>252.57859999999999</v>
      </c>
      <c r="D69" s="122">
        <v>30.602713680000001</v>
      </c>
      <c r="E69" s="122">
        <v>0.12116115</v>
      </c>
      <c r="F69" s="121">
        <v>30.683686309999999</v>
      </c>
      <c r="G69" s="121">
        <v>-69.316313690000001</v>
      </c>
      <c r="H69" s="49"/>
      <c r="I69" s="49"/>
      <c r="J69" s="49"/>
      <c r="K69" s="49"/>
      <c r="L69" s="49"/>
      <c r="M69" s="49"/>
    </row>
    <row r="70" spans="1:13" x14ac:dyDescent="0.2">
      <c r="A70" s="49">
        <v>2047</v>
      </c>
      <c r="B70" s="170">
        <v>33.250500000000002</v>
      </c>
      <c r="C70" s="122">
        <v>251.85220000000001</v>
      </c>
      <c r="D70" s="122">
        <v>30.164853600000001</v>
      </c>
      <c r="E70" s="122">
        <v>0.11977204700000001</v>
      </c>
      <c r="F70" s="121">
        <v>30.331900300000001</v>
      </c>
      <c r="G70" s="121">
        <v>-69.668099699999999</v>
      </c>
      <c r="H70" s="49"/>
      <c r="I70" s="49"/>
      <c r="J70" s="49"/>
      <c r="K70" s="49"/>
      <c r="L70" s="49"/>
      <c r="M70" s="49"/>
    </row>
    <row r="71" spans="1:13" x14ac:dyDescent="0.2">
      <c r="A71" s="49">
        <v>2046</v>
      </c>
      <c r="B71" s="170">
        <v>33.589449999999999</v>
      </c>
      <c r="C71" s="122">
        <v>252.0402</v>
      </c>
      <c r="D71" s="122">
        <v>30.472349040000001</v>
      </c>
      <c r="E71" s="122">
        <v>0.120902733</v>
      </c>
      <c r="F71" s="121">
        <v>30.618243</v>
      </c>
      <c r="G71" s="121">
        <v>-69.381756999999993</v>
      </c>
      <c r="H71" s="49"/>
      <c r="I71" s="49"/>
      <c r="J71" s="49"/>
      <c r="K71" s="49"/>
      <c r="L71" s="49"/>
      <c r="M71" s="49"/>
    </row>
    <row r="72" spans="1:13" x14ac:dyDescent="0.2">
      <c r="A72" s="49">
        <v>2045</v>
      </c>
      <c r="B72" s="170">
        <v>33.2485</v>
      </c>
      <c r="C72" s="122">
        <v>251.2611</v>
      </c>
      <c r="D72" s="122">
        <v>30.1630392</v>
      </c>
      <c r="E72" s="122">
        <v>0.12004659400000001</v>
      </c>
      <c r="F72" s="121">
        <v>30.401428360000001</v>
      </c>
      <c r="G72" s="121">
        <v>-69.598571640000003</v>
      </c>
      <c r="H72" s="49"/>
      <c r="I72" s="49"/>
      <c r="J72" s="49"/>
      <c r="K72" s="49"/>
      <c r="L72" s="49"/>
      <c r="M72" s="49"/>
    </row>
    <row r="73" spans="1:13" x14ac:dyDescent="0.2">
      <c r="A73" s="49">
        <v>2044</v>
      </c>
      <c r="B73" s="170">
        <v>33.24053</v>
      </c>
      <c r="C73" s="122">
        <v>250.7645</v>
      </c>
      <c r="D73" s="122">
        <v>30.155808820000001</v>
      </c>
      <c r="E73" s="122">
        <v>0.120255494</v>
      </c>
      <c r="F73" s="121">
        <v>30.45433169</v>
      </c>
      <c r="G73" s="121">
        <v>-69.545668309999996</v>
      </c>
      <c r="H73" s="49"/>
      <c r="I73" s="49"/>
      <c r="J73" s="49"/>
      <c r="K73" s="49"/>
      <c r="L73" s="49"/>
      <c r="M73" s="49"/>
    </row>
    <row r="74" spans="1:13" x14ac:dyDescent="0.2">
      <c r="A74" s="49">
        <v>2043</v>
      </c>
      <c r="B74" s="170">
        <v>32.588729999999998</v>
      </c>
      <c r="C74" s="122">
        <v>249.4855</v>
      </c>
      <c r="D74" s="122">
        <v>29.564495860000001</v>
      </c>
      <c r="E74" s="122">
        <v>0.11850186</v>
      </c>
      <c r="F74" s="121">
        <v>30.010229379999998</v>
      </c>
      <c r="G74" s="121">
        <v>-69.989770620000002</v>
      </c>
      <c r="H74" s="49"/>
      <c r="I74" s="49"/>
      <c r="J74" s="49"/>
      <c r="K74" s="49"/>
      <c r="L74" s="49"/>
      <c r="M74" s="49"/>
    </row>
    <row r="75" spans="1:13" x14ac:dyDescent="0.2">
      <c r="A75" s="49">
        <v>2042</v>
      </c>
      <c r="B75" s="170">
        <v>32.13326</v>
      </c>
      <c r="C75" s="122">
        <v>248.40870000000001</v>
      </c>
      <c r="D75" s="122">
        <v>29.151293469999999</v>
      </c>
      <c r="E75" s="122">
        <v>0.11735214400000001</v>
      </c>
      <c r="F75" s="121">
        <v>29.71906723</v>
      </c>
      <c r="G75" s="121">
        <v>-70.280932770000007</v>
      </c>
      <c r="H75" s="49"/>
      <c r="I75" s="49"/>
      <c r="J75" s="49"/>
      <c r="K75" s="49"/>
      <c r="L75" s="49"/>
      <c r="M75" s="49"/>
    </row>
    <row r="76" spans="1:13" x14ac:dyDescent="0.2">
      <c r="A76" s="49">
        <v>2041</v>
      </c>
      <c r="B76" s="170">
        <v>31.761710000000001</v>
      </c>
      <c r="C76" s="122">
        <v>248.09379999999999</v>
      </c>
      <c r="D76" s="122">
        <v>28.814223309999999</v>
      </c>
      <c r="E76" s="122">
        <v>0.11614245600000001</v>
      </c>
      <c r="F76" s="121">
        <v>29.412717610000001</v>
      </c>
      <c r="G76" s="121">
        <v>-70.587282389999999</v>
      </c>
      <c r="H76" s="49"/>
      <c r="I76" s="49"/>
      <c r="J76" s="49"/>
      <c r="K76" s="49"/>
      <c r="L76" s="49"/>
      <c r="M76" s="49"/>
    </row>
    <row r="77" spans="1:13" x14ac:dyDescent="0.2">
      <c r="A77" s="49">
        <v>2040</v>
      </c>
      <c r="B77" s="170">
        <v>31.015239999999999</v>
      </c>
      <c r="C77" s="122">
        <v>246.13640000000001</v>
      </c>
      <c r="D77" s="122">
        <v>28.137025730000001</v>
      </c>
      <c r="E77" s="122">
        <v>0.114314769</v>
      </c>
      <c r="F77" s="121">
        <v>28.94986149</v>
      </c>
      <c r="G77" s="121">
        <v>-71.050138509999996</v>
      </c>
      <c r="H77" s="49"/>
      <c r="I77" s="49"/>
      <c r="J77" s="49"/>
      <c r="K77" s="49"/>
      <c r="L77" s="49"/>
      <c r="M77" s="49"/>
    </row>
    <row r="78" spans="1:13" x14ac:dyDescent="0.2">
      <c r="A78" s="49">
        <v>2039</v>
      </c>
      <c r="B78" s="170">
        <v>30.406289999999998</v>
      </c>
      <c r="C78" s="122">
        <v>245.96</v>
      </c>
      <c r="D78" s="122">
        <v>27.584586290000001</v>
      </c>
      <c r="E78" s="122">
        <v>0.11215070000000001</v>
      </c>
      <c r="F78" s="121">
        <v>28.401817820000002</v>
      </c>
      <c r="G78" s="121">
        <v>-71.598182179999995</v>
      </c>
      <c r="H78" s="49"/>
      <c r="I78" s="49"/>
      <c r="J78" s="49"/>
      <c r="K78" s="49"/>
      <c r="L78" s="49"/>
      <c r="M78" s="49"/>
    </row>
    <row r="79" spans="1:13" x14ac:dyDescent="0.2">
      <c r="A79" s="49">
        <v>2038</v>
      </c>
      <c r="B79" s="170">
        <v>28.965810000000001</v>
      </c>
      <c r="C79" s="122">
        <v>244.31049999999999</v>
      </c>
      <c r="D79" s="122">
        <v>26.27778283</v>
      </c>
      <c r="E79" s="122">
        <v>0.107558958</v>
      </c>
      <c r="F79" s="121">
        <v>27.238973269999999</v>
      </c>
      <c r="G79" s="121">
        <v>-72.761026729999998</v>
      </c>
      <c r="H79" s="49"/>
      <c r="I79" s="49"/>
      <c r="J79" s="49"/>
      <c r="K79" s="49"/>
      <c r="L79" s="49"/>
      <c r="M79" s="49"/>
    </row>
    <row r="80" spans="1:13" x14ac:dyDescent="0.2">
      <c r="A80" s="49">
        <v>2037</v>
      </c>
      <c r="B80" s="170">
        <v>37.249369999999999</v>
      </c>
      <c r="C80" s="122">
        <v>247.22309999999999</v>
      </c>
      <c r="D80" s="122">
        <v>33.792628460000003</v>
      </c>
      <c r="E80" s="122">
        <v>0.136688798</v>
      </c>
      <c r="F80" s="121">
        <v>34.616015169999997</v>
      </c>
      <c r="G80" s="121">
        <v>-65.383984830000003</v>
      </c>
      <c r="H80" s="49"/>
      <c r="I80" s="49"/>
      <c r="J80" s="49"/>
      <c r="K80" s="49"/>
      <c r="L80" s="49"/>
      <c r="M80" s="49"/>
    </row>
    <row r="81" spans="1:13" x14ac:dyDescent="0.2">
      <c r="A81" s="49">
        <v>2036</v>
      </c>
      <c r="B81" s="170">
        <v>36.355429999999998</v>
      </c>
      <c r="C81" s="122">
        <v>244.91579999999999</v>
      </c>
      <c r="D81" s="122">
        <v>32.981646099999999</v>
      </c>
      <c r="E81" s="122">
        <v>0.13466524499999999</v>
      </c>
      <c r="F81" s="121">
        <v>34.103556419999997</v>
      </c>
      <c r="G81" s="121">
        <v>-65.896443579999996</v>
      </c>
      <c r="H81" s="49"/>
      <c r="I81" s="49"/>
      <c r="J81" s="49"/>
      <c r="K81" s="49"/>
      <c r="L81" s="49"/>
      <c r="M81" s="49"/>
    </row>
    <row r="82" spans="1:13" x14ac:dyDescent="0.2">
      <c r="A82" s="49">
        <v>2035</v>
      </c>
      <c r="B82" s="170">
        <v>34.801200000000001</v>
      </c>
      <c r="C82" s="122">
        <v>242.43020000000001</v>
      </c>
      <c r="D82" s="122">
        <v>31.571648639999999</v>
      </c>
      <c r="E82" s="122">
        <v>0.13022985000000001</v>
      </c>
      <c r="F82" s="121">
        <v>32.980306550000002</v>
      </c>
      <c r="G82" s="121">
        <v>-67.019693450000005</v>
      </c>
      <c r="H82" s="49"/>
      <c r="I82" s="49"/>
      <c r="J82" s="49"/>
      <c r="K82" s="49"/>
      <c r="L82" s="49"/>
      <c r="M82" s="49"/>
    </row>
    <row r="83" spans="1:13" x14ac:dyDescent="0.2">
      <c r="A83" s="49">
        <v>2034</v>
      </c>
      <c r="B83" s="170">
        <v>34.926789999999997</v>
      </c>
      <c r="C83" s="122">
        <v>245.16239999999999</v>
      </c>
      <c r="D83" s="122">
        <v>31.68558389</v>
      </c>
      <c r="E83" s="122">
        <v>0.12924324400000001</v>
      </c>
      <c r="F83" s="121">
        <v>32.73045157</v>
      </c>
      <c r="G83" s="121">
        <v>-67.26954843</v>
      </c>
      <c r="H83" s="49"/>
      <c r="I83" s="49"/>
      <c r="J83" s="49"/>
      <c r="K83" s="49"/>
      <c r="L83" s="49"/>
      <c r="M83" s="49"/>
    </row>
    <row r="84" spans="1:13" x14ac:dyDescent="0.2">
      <c r="A84" s="49">
        <v>2033</v>
      </c>
      <c r="B84" s="170">
        <v>34.844000000000001</v>
      </c>
      <c r="C84" s="122">
        <v>247.18539999999999</v>
      </c>
      <c r="D84" s="122">
        <v>31.610476800000001</v>
      </c>
      <c r="E84" s="122">
        <v>0.12788165000000001</v>
      </c>
      <c r="F84" s="121">
        <v>32.385632090000001</v>
      </c>
      <c r="G84" s="121">
        <v>-67.614367909999999</v>
      </c>
      <c r="H84" s="49"/>
      <c r="I84" s="49"/>
      <c r="J84" s="49"/>
      <c r="K84" s="49"/>
      <c r="L84" s="49"/>
      <c r="M84" s="49"/>
    </row>
    <row r="85" spans="1:13" x14ac:dyDescent="0.2">
      <c r="A85" s="49">
        <v>2032</v>
      </c>
      <c r="B85" s="170">
        <v>33.978659999999998</v>
      </c>
      <c r="C85" s="122">
        <v>250.0864</v>
      </c>
      <c r="D85" s="122">
        <v>30.825440350000001</v>
      </c>
      <c r="E85" s="122">
        <v>0.123259163</v>
      </c>
      <c r="F85" s="121">
        <v>31.215001579999999</v>
      </c>
      <c r="G85" s="121">
        <v>-68.784998419999994</v>
      </c>
      <c r="H85" s="49"/>
      <c r="I85" s="49"/>
      <c r="J85" s="49"/>
      <c r="K85" s="49"/>
      <c r="L85" s="49"/>
      <c r="M85" s="49"/>
    </row>
    <row r="86" spans="1:13" x14ac:dyDescent="0.2">
      <c r="A86" s="49">
        <v>2031</v>
      </c>
      <c r="B86" s="170">
        <v>32.702350000000003</v>
      </c>
      <c r="C86" s="122">
        <v>247.36840000000001</v>
      </c>
      <c r="D86" s="122">
        <v>29.66757192</v>
      </c>
      <c r="E86" s="122">
        <v>0.11993274800000001</v>
      </c>
      <c r="F86" s="121">
        <v>30.372597209999999</v>
      </c>
      <c r="G86" s="121">
        <v>-69.627402790000005</v>
      </c>
      <c r="H86" s="49"/>
      <c r="I86" s="49"/>
      <c r="J86" s="49"/>
      <c r="K86" s="49"/>
      <c r="L86" s="49"/>
      <c r="M86" s="49"/>
    </row>
    <row r="87" spans="1:13" x14ac:dyDescent="0.2">
      <c r="A87" s="49">
        <v>2030</v>
      </c>
      <c r="B87" s="170">
        <v>32.570920000000001</v>
      </c>
      <c r="C87" s="122">
        <v>245.56950000000001</v>
      </c>
      <c r="D87" s="122">
        <v>29.548338619999999</v>
      </c>
      <c r="E87" s="122">
        <v>0.120325768</v>
      </c>
      <c r="F87" s="121">
        <v>30.472128309999999</v>
      </c>
      <c r="G87" s="121">
        <v>-69.527871689999998</v>
      </c>
      <c r="H87" s="49"/>
      <c r="I87" s="49"/>
      <c r="J87" s="49"/>
      <c r="K87" s="49"/>
      <c r="L87" s="49"/>
      <c r="M87" s="49"/>
    </row>
    <row r="88" spans="1:13" x14ac:dyDescent="0.2">
      <c r="A88" s="49">
        <v>2029</v>
      </c>
      <c r="B88" s="170">
        <v>35.144680000000001</v>
      </c>
      <c r="C88" s="122">
        <v>231.99250000000001</v>
      </c>
      <c r="D88" s="122">
        <v>31.883253700000001</v>
      </c>
      <c r="E88" s="122">
        <v>0.137432261</v>
      </c>
      <c r="F88" s="121">
        <v>34.804294659999996</v>
      </c>
      <c r="G88" s="121">
        <v>-65.195705340000004</v>
      </c>
      <c r="H88" s="49"/>
      <c r="I88" s="49"/>
      <c r="J88" s="49"/>
      <c r="K88" s="49"/>
      <c r="L88" s="49"/>
      <c r="M88" s="49"/>
    </row>
    <row r="89" spans="1:13" x14ac:dyDescent="0.2">
      <c r="A89" s="49">
        <v>2028</v>
      </c>
      <c r="B89" s="170">
        <v>47.933210000000003</v>
      </c>
      <c r="C89" s="122">
        <v>225.60040000000001</v>
      </c>
      <c r="D89" s="122">
        <v>43.485008110000003</v>
      </c>
      <c r="E89" s="122">
        <v>0.19275235399999999</v>
      </c>
      <c r="F89" s="121">
        <v>48.813937070000001</v>
      </c>
      <c r="G89" s="121">
        <v>-51.186062929999999</v>
      </c>
      <c r="H89" s="49"/>
      <c r="I89" s="49"/>
      <c r="J89" s="49"/>
      <c r="K89" s="49"/>
      <c r="L89" s="49"/>
      <c r="M89" s="49"/>
    </row>
    <row r="90" spans="1:13" x14ac:dyDescent="0.2">
      <c r="A90" s="49">
        <v>2027</v>
      </c>
      <c r="B90" s="170">
        <v>73.019549999999995</v>
      </c>
      <c r="C90" s="122">
        <v>212.66210000000001</v>
      </c>
      <c r="D90" s="122">
        <v>66.243335759999994</v>
      </c>
      <c r="E90" s="122">
        <v>0.31149572800000003</v>
      </c>
      <c r="F90" s="121">
        <v>78.885329240000004</v>
      </c>
      <c r="G90" s="121">
        <v>-21.114670759999999</v>
      </c>
      <c r="H90" s="49"/>
      <c r="I90" s="49"/>
      <c r="J90" s="49"/>
      <c r="K90" s="49"/>
      <c r="L90" s="49"/>
      <c r="M90" s="49"/>
    </row>
    <row r="91" spans="1:13" x14ac:dyDescent="0.2">
      <c r="A91" s="49">
        <v>2026</v>
      </c>
      <c r="B91" s="170">
        <v>82.157319999999999</v>
      </c>
      <c r="C91" s="122">
        <v>216.63509999999999</v>
      </c>
      <c r="D91" s="122">
        <v>74.533120699999998</v>
      </c>
      <c r="E91" s="122">
        <v>0.34404914399999997</v>
      </c>
      <c r="F91" s="121">
        <v>87.129380960000006</v>
      </c>
      <c r="G91" s="121">
        <v>-12.870619039999999</v>
      </c>
      <c r="H91" s="49"/>
      <c r="I91" s="49"/>
      <c r="J91" s="49"/>
      <c r="K91" s="49"/>
      <c r="L91" s="49"/>
      <c r="M91" s="49"/>
    </row>
    <row r="92" spans="1:13" x14ac:dyDescent="0.2">
      <c r="A92" s="49">
        <v>2025</v>
      </c>
      <c r="B92" s="170">
        <v>89.79768</v>
      </c>
      <c r="C92" s="122">
        <v>220.43719999999999</v>
      </c>
      <c r="D92" s="122">
        <v>81.464455299999997</v>
      </c>
      <c r="E92" s="122">
        <v>0.36955856500000001</v>
      </c>
      <c r="F92" s="121">
        <v>93.589562889999996</v>
      </c>
      <c r="G92" s="121">
        <v>-6.4104371120000003</v>
      </c>
      <c r="H92" s="49"/>
      <c r="I92" s="49"/>
      <c r="J92" s="49"/>
      <c r="K92" s="49"/>
      <c r="L92" s="49"/>
      <c r="M92" s="49"/>
    </row>
    <row r="93" spans="1:13" x14ac:dyDescent="0.2">
      <c r="A93" s="49">
        <v>2024</v>
      </c>
      <c r="B93" s="170">
        <v>97.601780000000005</v>
      </c>
      <c r="C93" s="122">
        <v>224.78020000000001</v>
      </c>
      <c r="D93" s="122">
        <v>88.544334820000003</v>
      </c>
      <c r="E93" s="122">
        <v>0.39391518800000003</v>
      </c>
      <c r="F93" s="121">
        <v>99.757802380000001</v>
      </c>
      <c r="G93" s="121">
        <v>-0.242197621</v>
      </c>
      <c r="H93" s="49"/>
      <c r="I93" s="49"/>
      <c r="J93" s="49"/>
      <c r="K93" s="49"/>
      <c r="L93" s="49"/>
      <c r="M93" s="49"/>
    </row>
    <row r="94" spans="1:13" x14ac:dyDescent="0.2">
      <c r="A94" s="49">
        <v>2023</v>
      </c>
      <c r="B94" s="170">
        <v>91.204859999999996</v>
      </c>
      <c r="C94" s="122">
        <v>220.9298</v>
      </c>
      <c r="D94" s="122">
        <v>82.741048989999996</v>
      </c>
      <c r="E94" s="122">
        <v>0.37451285000000001</v>
      </c>
      <c r="F94" s="121">
        <v>94.844220179999994</v>
      </c>
      <c r="G94" s="121">
        <v>-5.1557798220000004</v>
      </c>
      <c r="H94" s="49"/>
      <c r="I94" s="49"/>
      <c r="J94" s="49"/>
      <c r="K94" s="49"/>
      <c r="L94" s="49"/>
      <c r="M94" s="49"/>
    </row>
    <row r="95" spans="1:13" x14ac:dyDescent="0.2">
      <c r="A95" s="49">
        <v>2022</v>
      </c>
      <c r="B95" s="170">
        <v>98.31823</v>
      </c>
      <c r="C95" s="122">
        <v>225.8818</v>
      </c>
      <c r="D95" s="122">
        <v>89.194298259999997</v>
      </c>
      <c r="E95" s="122">
        <v>0.39487155800000001</v>
      </c>
      <c r="F95" s="121">
        <v>100</v>
      </c>
      <c r="G95" s="121">
        <v>0</v>
      </c>
      <c r="H95" s="49"/>
      <c r="I95" s="49"/>
      <c r="J95" s="49"/>
      <c r="K95" s="49"/>
      <c r="L95" s="49"/>
      <c r="M95" s="49"/>
    </row>
    <row r="96" spans="1:13" x14ac:dyDescent="0.2">
      <c r="A96" s="49">
        <v>2021</v>
      </c>
      <c r="B96" s="170"/>
      <c r="C96" s="49"/>
      <c r="D96" s="49"/>
      <c r="E96" s="49"/>
      <c r="F96" s="49"/>
      <c r="G96" s="49"/>
      <c r="H96" s="49"/>
      <c r="I96" s="49"/>
      <c r="J96" s="49"/>
      <c r="K96" s="49"/>
      <c r="L96" s="49"/>
      <c r="M96" s="49"/>
    </row>
    <row r="101" spans="1:4" x14ac:dyDescent="0.2">
      <c r="A101" t="s">
        <v>280</v>
      </c>
    </row>
    <row r="102" spans="1:4" x14ac:dyDescent="0.2">
      <c r="B102" s="156" t="s">
        <v>281</v>
      </c>
      <c r="C102" t="s">
        <v>282</v>
      </c>
    </row>
    <row r="103" spans="1:4" x14ac:dyDescent="0.2">
      <c r="A103">
        <v>2022</v>
      </c>
      <c r="B103" s="191">
        <v>1677.0961620615069</v>
      </c>
      <c r="C103">
        <f>B103/2205</f>
        <v>0.76058782859932283</v>
      </c>
      <c r="D103" t="s">
        <v>283</v>
      </c>
    </row>
  </sheetData>
  <sortState xmlns:xlrd2="http://schemas.microsoft.com/office/spreadsheetml/2017/richdata2" ref="M31:O58">
    <sortCondition descending="1" ref="M32:M58"/>
  </sortState>
  <hyperlinks>
    <hyperlink ref="A63" r:id="rId1" location="/?id=62-AEO2023&amp;region=5-3&amp;cases=ref2023~lowZTC~highupIRA&amp;start=2021&amp;end=2050&amp;f=A&amp;linechart=~~~ref2023-d020623a.156-62-AEO2023.5-3~lowZTC-d020623a.156-62-AEO2023.5-3~highupIRA-d020623a.156-62-AEO2023.5-3~ref2023-d020623a.108-62-AEO2023.5-3~lowZTC-d020623a.108-62-AEO2023.5-3~highupIRA-d020623a.108-62-AEO2023.5-3&amp;map=&amp;sid=&amp;sourcekey=0" display="https://www.eia.gov/outlooks/aeo/data/browser/#/?id=62-AEO2023&amp;region=5-3&amp;cases=ref2023~lowZTC~highupIRA&amp;start=2021&amp;end=2050&amp;f=A&amp;linechart=~~~ref2023-d020623a.156-62-AEO2023.5-3~lowZTC-d020623a.156-62-AEO2023.5-3~highupIRA-d020623a.156-62-AEO2023.5-3~ref2023-d020623a.108-62-AEO2023.5-3~lowZTC-d020623a.108-62-AEO2023.5-3~highupIRA-d020623a.108-62-AEO2023.5-3&amp;map=&amp;sid=&amp;sourcekey=0" xr:uid="{01F29D24-4657-455F-B278-A3DE91403BD2}"/>
    <hyperlink ref="A4" r:id="rId2" xr:uid="{864FD58F-9686-4EC1-91B6-E29EF0DF1112}"/>
  </hyperlinks>
  <pageMargins left="0.7" right="0.7" top="0.75" bottom="0.75" header="0.3" footer="0.3"/>
  <pageSetup orientation="portrait" verticalDpi="0" r:id="rId3"/>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4B2FC-AF2D-4406-9484-714FACC010F3}">
  <dimension ref="A1:F8"/>
  <sheetViews>
    <sheetView workbookViewId="0">
      <selection activeCell="A15" sqref="A15"/>
    </sheetView>
  </sheetViews>
  <sheetFormatPr defaultRowHeight="12.75" x14ac:dyDescent="0.2"/>
  <cols>
    <col min="1" max="1" width="58.28515625" customWidth="1"/>
    <col min="5" max="5" width="9.7109375" bestFit="1" customWidth="1"/>
    <col min="6" max="6" width="14.7109375" customWidth="1"/>
  </cols>
  <sheetData>
    <row r="1" spans="1:6" x14ac:dyDescent="0.2">
      <c r="A1" t="s">
        <v>284</v>
      </c>
    </row>
    <row r="2" spans="1:6" x14ac:dyDescent="0.2">
      <c r="A2" t="s">
        <v>285</v>
      </c>
    </row>
    <row r="3" spans="1:6" ht="15" x14ac:dyDescent="0.25">
      <c r="A3" s="2" t="s">
        <v>286</v>
      </c>
      <c r="B3" s="61"/>
      <c r="C3" s="61"/>
      <c r="D3" s="61"/>
      <c r="E3" s="61"/>
    </row>
    <row r="4" spans="1:6" ht="15" x14ac:dyDescent="0.25">
      <c r="A4" s="99" t="s">
        <v>287</v>
      </c>
      <c r="B4" s="99" t="s">
        <v>288</v>
      </c>
      <c r="C4" s="99" t="s">
        <v>289</v>
      </c>
      <c r="D4" s="99" t="s">
        <v>290</v>
      </c>
      <c r="E4" s="99">
        <v>2030</v>
      </c>
      <c r="F4" s="99">
        <v>2050</v>
      </c>
    </row>
    <row r="5" spans="1:6" x14ac:dyDescent="0.2">
      <c r="A5">
        <v>2029</v>
      </c>
      <c r="B5">
        <v>2500</v>
      </c>
      <c r="C5" t="s">
        <v>291</v>
      </c>
      <c r="D5">
        <v>-13.413960152146402</v>
      </c>
      <c r="E5" s="188">
        <f>B5*D5*2</f>
        <v>-67069.800760732003</v>
      </c>
      <c r="F5" s="188">
        <f>B5*D5*22</f>
        <v>-737767.80836805201</v>
      </c>
    </row>
    <row r="6" spans="1:6" x14ac:dyDescent="0.2">
      <c r="A6">
        <v>2029</v>
      </c>
      <c r="B6">
        <v>2500</v>
      </c>
      <c r="C6" t="s">
        <v>292</v>
      </c>
      <c r="D6">
        <v>-9.4771956855268016</v>
      </c>
      <c r="E6" s="188">
        <f>B6*D6*2</f>
        <v>-47385.978427634007</v>
      </c>
      <c r="F6" s="188">
        <f>B6*D6*22</f>
        <v>-521245.76270397409</v>
      </c>
    </row>
    <row r="7" spans="1:6" x14ac:dyDescent="0.2">
      <c r="A7">
        <v>2029</v>
      </c>
      <c r="B7">
        <v>5000</v>
      </c>
      <c r="C7" t="s">
        <v>293</v>
      </c>
      <c r="D7">
        <v>-9.4771956855268016</v>
      </c>
      <c r="E7" s="188">
        <f>B7*D7*2</f>
        <v>-94771.956855268014</v>
      </c>
      <c r="F7" s="188">
        <f>B7*D7*22</f>
        <v>-1042491.5254079482</v>
      </c>
    </row>
    <row r="8" spans="1:6" ht="15" x14ac:dyDescent="0.25">
      <c r="B8" s="99">
        <v>10000</v>
      </c>
      <c r="E8" s="189">
        <f>SUM(E5:E7)</f>
        <v>-209227.73604363401</v>
      </c>
      <c r="F8" s="189">
        <f>SUM(F5:F7)</f>
        <v>-2301505.0964799742</v>
      </c>
    </row>
  </sheetData>
  <hyperlinks>
    <hyperlink ref="A3" r:id="rId1" xr:uid="{F469A812-A6D7-49AF-A71B-B7FF05CDF83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0F461-797B-4B87-B23E-F4D8A45EC050}">
  <dimension ref="A1:S15"/>
  <sheetViews>
    <sheetView topLeftCell="L3" workbookViewId="0">
      <selection activeCell="S4" sqref="S4:S13"/>
    </sheetView>
  </sheetViews>
  <sheetFormatPr defaultColWidth="9.140625" defaultRowHeight="12.75" x14ac:dyDescent="0.2"/>
  <cols>
    <col min="1" max="1" width="21.85546875" style="74" customWidth="1"/>
    <col min="2" max="4" width="11" style="74" bestFit="1" customWidth="1"/>
    <col min="5" max="5" width="14" style="74" customWidth="1"/>
    <col min="6" max="6" width="15.42578125" style="74" customWidth="1"/>
    <col min="7" max="7" width="12.85546875" style="74" customWidth="1"/>
    <col min="8" max="9" width="11" style="74" bestFit="1" customWidth="1"/>
    <col min="10" max="10" width="10.28515625" style="74" bestFit="1" customWidth="1"/>
    <col min="11" max="11" width="12.28515625" style="74" bestFit="1" customWidth="1"/>
    <col min="12" max="13" width="9.140625" style="74"/>
    <col min="14" max="14" width="13.28515625" style="74" customWidth="1"/>
    <col min="15" max="15" width="21.5703125" style="74" customWidth="1"/>
    <col min="16" max="16" width="16.7109375" style="74" customWidth="1"/>
    <col min="17" max="17" width="12.140625" style="74" customWidth="1"/>
    <col min="18" max="18" width="14.42578125" style="74" customWidth="1"/>
    <col min="19" max="16384" width="9.140625" style="74"/>
  </cols>
  <sheetData>
    <row r="1" spans="1:19" s="190" customFormat="1" ht="30.75" customHeight="1" x14ac:dyDescent="0.25">
      <c r="A1" s="284" t="s">
        <v>294</v>
      </c>
      <c r="B1" s="285"/>
      <c r="C1" s="285"/>
      <c r="D1" s="285"/>
      <c r="E1" s="285"/>
      <c r="F1" s="285"/>
      <c r="G1" s="285"/>
      <c r="H1" s="285"/>
      <c r="I1" s="285"/>
      <c r="J1" s="285"/>
      <c r="K1" s="285"/>
      <c r="L1" s="275"/>
      <c r="M1" s="275"/>
      <c r="N1" s="275"/>
      <c r="O1" s="275"/>
      <c r="P1" s="275"/>
      <c r="Q1" s="275"/>
      <c r="R1" s="275"/>
      <c r="S1" s="275"/>
    </row>
    <row r="2" spans="1:19" ht="39" customHeight="1" x14ac:dyDescent="0.2">
      <c r="A2" s="78" t="s">
        <v>286</v>
      </c>
      <c r="B2" s="275"/>
      <c r="C2" s="275"/>
      <c r="D2" s="275"/>
      <c r="E2" s="275"/>
      <c r="F2" s="275"/>
      <c r="G2" s="275"/>
      <c r="H2" s="275"/>
      <c r="I2" s="275"/>
      <c r="J2" s="275"/>
      <c r="K2" s="275"/>
      <c r="L2" s="275"/>
      <c r="M2" s="275"/>
      <c r="N2" s="275"/>
      <c r="O2" s="275"/>
      <c r="P2" s="275"/>
      <c r="Q2" s="275"/>
      <c r="R2" s="275"/>
      <c r="S2" s="275"/>
    </row>
    <row r="3" spans="1:19" ht="67.5" x14ac:dyDescent="0.35">
      <c r="A3" s="79" t="s">
        <v>295</v>
      </c>
      <c r="B3" s="62" t="s">
        <v>296</v>
      </c>
      <c r="C3" s="62" t="s">
        <v>297</v>
      </c>
      <c r="D3" s="62" t="s">
        <v>298</v>
      </c>
      <c r="E3" s="62" t="s">
        <v>299</v>
      </c>
      <c r="F3" s="62" t="s">
        <v>300</v>
      </c>
      <c r="G3" s="62" t="s">
        <v>301</v>
      </c>
      <c r="H3" s="62" t="s">
        <v>302</v>
      </c>
      <c r="I3" s="62" t="s">
        <v>303</v>
      </c>
      <c r="J3" s="62" t="s">
        <v>304</v>
      </c>
      <c r="K3" s="62" t="s">
        <v>305</v>
      </c>
      <c r="L3" s="66" t="s">
        <v>306</v>
      </c>
      <c r="M3" s="67" t="s">
        <v>307</v>
      </c>
      <c r="N3" s="67" t="s">
        <v>295</v>
      </c>
      <c r="O3" s="67" t="s">
        <v>308</v>
      </c>
      <c r="P3" s="67" t="s">
        <v>309</v>
      </c>
      <c r="Q3" s="21" t="s">
        <v>310</v>
      </c>
      <c r="R3" s="21" t="s">
        <v>311</v>
      </c>
      <c r="S3" s="275"/>
    </row>
    <row r="4" spans="1:19" ht="90.75" x14ac:dyDescent="0.25">
      <c r="A4" s="63" t="s">
        <v>312</v>
      </c>
      <c r="B4" s="64">
        <v>-0.34492400000000001</v>
      </c>
      <c r="C4" s="64">
        <v>-1.6993999999999999E-2</v>
      </c>
      <c r="D4" s="64">
        <v>-9.4408000000000006E-2</v>
      </c>
      <c r="E4" s="64">
        <v>5.28E-3</v>
      </c>
      <c r="F4" s="64">
        <v>-0.66493899999999995</v>
      </c>
      <c r="G4" s="64">
        <v>-2.5471000000000001E-2</v>
      </c>
      <c r="H4" s="64">
        <v>-6.2108999999999998E-2</v>
      </c>
      <c r="I4" s="64">
        <v>-0.18310399999999999</v>
      </c>
      <c r="J4" s="64">
        <v>0</v>
      </c>
      <c r="K4" s="65">
        <v>-1.3866689999999999</v>
      </c>
      <c r="L4" s="80">
        <v>2000</v>
      </c>
      <c r="M4" s="68">
        <f t="shared" ref="M4:M11" si="0">K4*L4</f>
        <v>-2773.3379999999997</v>
      </c>
      <c r="N4" s="280" t="s">
        <v>312</v>
      </c>
      <c r="O4" s="80" t="s">
        <v>313</v>
      </c>
      <c r="P4" s="80">
        <v>2026.5</v>
      </c>
      <c r="Q4" s="281">
        <f>(2031-P4)*M4</f>
        <v>-12480.020999999999</v>
      </c>
      <c r="R4" s="281">
        <f>(2051-P4)*M4</f>
        <v>-67946.780999999988</v>
      </c>
      <c r="S4" s="275"/>
    </row>
    <row r="5" spans="1:19" ht="31.5" x14ac:dyDescent="0.25">
      <c r="A5" s="63" t="s">
        <v>314</v>
      </c>
      <c r="B5" s="64">
        <v>-0.41959000000000002</v>
      </c>
      <c r="C5" s="64">
        <v>-1.6993999999999999E-2</v>
      </c>
      <c r="D5" s="64">
        <v>-9.4408000000000006E-2</v>
      </c>
      <c r="E5" s="64" t="s">
        <v>315</v>
      </c>
      <c r="F5" s="64">
        <v>-0.38669199999999998</v>
      </c>
      <c r="G5" s="64">
        <v>-2.5274999999999999E-2</v>
      </c>
      <c r="H5" s="64">
        <v>3.3607999999999999E-2</v>
      </c>
      <c r="I5" s="64">
        <v>-0.121305</v>
      </c>
      <c r="J5" s="64">
        <v>0</v>
      </c>
      <c r="K5" s="65">
        <v>-1.030656</v>
      </c>
      <c r="L5" s="80">
        <v>20000</v>
      </c>
      <c r="M5" s="68">
        <f t="shared" si="0"/>
        <v>-20613.12</v>
      </c>
      <c r="N5" s="80" t="s">
        <v>314</v>
      </c>
      <c r="O5" s="80" t="s">
        <v>316</v>
      </c>
      <c r="P5" s="80">
        <v>2025</v>
      </c>
      <c r="Q5" s="281">
        <f t="shared" ref="Q5:Q11" si="1">(2031-P5)*M5</f>
        <v>-123678.72</v>
      </c>
      <c r="R5" s="281">
        <f t="shared" ref="R5:R11" si="2">(2051-P5)*M5</f>
        <v>-535941.12</v>
      </c>
      <c r="S5" s="275"/>
    </row>
    <row r="6" spans="1:19" ht="51.75" x14ac:dyDescent="0.25">
      <c r="A6" s="63" t="s">
        <v>317</v>
      </c>
      <c r="B6" s="64">
        <v>-1.2898E-2</v>
      </c>
      <c r="C6" s="64">
        <v>-8.4969999999999993E-3</v>
      </c>
      <c r="D6" s="64">
        <v>-5.5071000000000002E-2</v>
      </c>
      <c r="E6" s="64" t="s">
        <v>315</v>
      </c>
      <c r="F6" s="64">
        <v>-0.23149800000000001</v>
      </c>
      <c r="G6" s="64">
        <v>-1.2637000000000001E-2</v>
      </c>
      <c r="H6" s="64">
        <v>6.2444E-2</v>
      </c>
      <c r="I6" s="64">
        <v>-0.10784299999999999</v>
      </c>
      <c r="J6" s="64">
        <v>0</v>
      </c>
      <c r="K6" s="65">
        <v>-0.36600100000000002</v>
      </c>
      <c r="L6" s="80">
        <v>6500</v>
      </c>
      <c r="M6" s="68">
        <f t="shared" si="0"/>
        <v>-2379.0065</v>
      </c>
      <c r="N6" s="80" t="s">
        <v>317</v>
      </c>
      <c r="O6" s="80" t="s">
        <v>313</v>
      </c>
      <c r="P6" s="80">
        <v>2026.5</v>
      </c>
      <c r="Q6" s="281">
        <f t="shared" si="1"/>
        <v>-10705.52925</v>
      </c>
      <c r="R6" s="281">
        <f t="shared" si="2"/>
        <v>-58285.659249999997</v>
      </c>
      <c r="S6" s="275"/>
    </row>
    <row r="7" spans="1:19" ht="47.25" x14ac:dyDescent="0.25">
      <c r="A7" s="63" t="s">
        <v>318</v>
      </c>
      <c r="B7" s="277">
        <v>6.0589999999999998E-2</v>
      </c>
      <c r="C7" s="64" t="s">
        <v>315</v>
      </c>
      <c r="D7" s="278">
        <v>-5.9129000000000001E-2</v>
      </c>
      <c r="E7" s="278">
        <v>2.24E-4</v>
      </c>
      <c r="F7" s="278">
        <v>-0.238117</v>
      </c>
      <c r="G7" s="278">
        <v>0</v>
      </c>
      <c r="H7" s="278">
        <v>4.7089999999999996E-3</v>
      </c>
      <c r="I7" s="278">
        <v>-1.0769000000000001E-2</v>
      </c>
      <c r="J7" s="278">
        <v>0</v>
      </c>
      <c r="K7" s="279">
        <v>-0.24249100000000001</v>
      </c>
      <c r="L7" s="80">
        <v>360000</v>
      </c>
      <c r="M7" s="68">
        <f t="shared" si="0"/>
        <v>-87296.760000000009</v>
      </c>
      <c r="N7" s="80" t="s">
        <v>318</v>
      </c>
      <c r="O7" s="80" t="s">
        <v>316</v>
      </c>
      <c r="P7" s="80">
        <v>2025</v>
      </c>
      <c r="Q7" s="281">
        <f t="shared" si="1"/>
        <v>-523780.56000000006</v>
      </c>
      <c r="R7" s="281">
        <f t="shared" si="2"/>
        <v>-2269715.7600000002</v>
      </c>
      <c r="S7" s="275"/>
    </row>
    <row r="8" spans="1:19" ht="26.25" x14ac:dyDescent="0.25">
      <c r="A8" s="63" t="s">
        <v>319</v>
      </c>
      <c r="B8" s="277">
        <v>5.7044999999999998E-2</v>
      </c>
      <c r="C8" s="278">
        <v>4.4619999999999998E-3</v>
      </c>
      <c r="D8" s="278">
        <v>0</v>
      </c>
      <c r="E8" s="278">
        <v>-2.8739999999999998E-3</v>
      </c>
      <c r="F8" s="278">
        <v>-0.166187</v>
      </c>
      <c r="G8" s="278">
        <v>0</v>
      </c>
      <c r="H8" s="278">
        <v>-2.4601999999999999E-2</v>
      </c>
      <c r="I8" s="278">
        <v>-5.45E-3</v>
      </c>
      <c r="J8" s="278">
        <v>0</v>
      </c>
      <c r="K8" s="279">
        <v>-0.13760500000000001</v>
      </c>
      <c r="L8" s="80">
        <v>150000</v>
      </c>
      <c r="M8" s="68">
        <f t="shared" si="0"/>
        <v>-20640.75</v>
      </c>
      <c r="N8" s="80" t="s">
        <v>319</v>
      </c>
      <c r="O8" s="80" t="s">
        <v>316</v>
      </c>
      <c r="P8" s="80">
        <v>2025</v>
      </c>
      <c r="Q8" s="281">
        <f t="shared" si="1"/>
        <v>-123844.5</v>
      </c>
      <c r="R8" s="281">
        <f t="shared" si="2"/>
        <v>-536659.5</v>
      </c>
      <c r="S8" s="275"/>
    </row>
    <row r="9" spans="1:19" ht="26.25" x14ac:dyDescent="0.25">
      <c r="A9" s="63" t="s">
        <v>320</v>
      </c>
      <c r="B9" s="277">
        <v>1.7200000000000001E-4</v>
      </c>
      <c r="C9" s="278">
        <v>4.4619999999999998E-3</v>
      </c>
      <c r="D9" s="278">
        <v>0</v>
      </c>
      <c r="E9" s="278">
        <v>5.2400000000000005E-4</v>
      </c>
      <c r="F9" s="278">
        <v>-5.0972999999999997E-2</v>
      </c>
      <c r="G9" s="278">
        <v>0</v>
      </c>
      <c r="H9" s="278">
        <v>-1.5039E-2</v>
      </c>
      <c r="I9" s="278">
        <v>-3.3319999999999999E-3</v>
      </c>
      <c r="J9" s="278">
        <v>0</v>
      </c>
      <c r="K9" s="279">
        <v>-6.4186000000000007E-2</v>
      </c>
      <c r="L9" s="80">
        <v>90000</v>
      </c>
      <c r="M9" s="68">
        <f t="shared" si="0"/>
        <v>-5776.7400000000007</v>
      </c>
      <c r="N9" s="80" t="s">
        <v>320</v>
      </c>
      <c r="O9" s="80" t="s">
        <v>316</v>
      </c>
      <c r="P9" s="80">
        <v>2025</v>
      </c>
      <c r="Q9" s="281">
        <f t="shared" si="1"/>
        <v>-34660.44</v>
      </c>
      <c r="R9" s="281">
        <f t="shared" si="2"/>
        <v>-150195.24000000002</v>
      </c>
      <c r="S9" s="275"/>
    </row>
    <row r="10" spans="1:19" ht="31.5" x14ac:dyDescent="0.25">
      <c r="A10" s="63" t="s">
        <v>321</v>
      </c>
      <c r="B10" s="64">
        <v>-0.209006</v>
      </c>
      <c r="C10" s="64">
        <v>3.6110000000000001E-3</v>
      </c>
      <c r="D10" s="64">
        <v>-3.5410999999999998E-2</v>
      </c>
      <c r="E10" s="64">
        <v>-2.516E-3</v>
      </c>
      <c r="F10" s="64">
        <v>0</v>
      </c>
      <c r="G10" s="64">
        <v>0</v>
      </c>
      <c r="H10" s="64">
        <v>0</v>
      </c>
      <c r="I10" s="64">
        <v>0</v>
      </c>
      <c r="J10" s="64">
        <v>0</v>
      </c>
      <c r="K10" s="65">
        <v>-0.24332100000000001</v>
      </c>
      <c r="L10" s="80">
        <v>100000</v>
      </c>
      <c r="M10" s="68">
        <f t="shared" si="0"/>
        <v>-24332.100000000002</v>
      </c>
      <c r="N10" s="80" t="s">
        <v>321</v>
      </c>
      <c r="O10" s="80" t="s">
        <v>313</v>
      </c>
      <c r="P10" s="80">
        <v>2026.5</v>
      </c>
      <c r="Q10" s="281">
        <f t="shared" si="1"/>
        <v>-109494.45000000001</v>
      </c>
      <c r="R10" s="281">
        <f t="shared" si="2"/>
        <v>-596136.45000000007</v>
      </c>
      <c r="S10" s="275"/>
    </row>
    <row r="11" spans="1:19" ht="39" x14ac:dyDescent="0.25">
      <c r="A11" s="63" t="s">
        <v>322</v>
      </c>
      <c r="B11" s="64">
        <v>-0.101523</v>
      </c>
      <c r="C11" s="64">
        <v>-9.7649999999999994E-3</v>
      </c>
      <c r="D11" s="64">
        <v>-3.168E-2</v>
      </c>
      <c r="E11" s="64" t="s">
        <v>315</v>
      </c>
      <c r="F11" s="64">
        <v>0</v>
      </c>
      <c r="G11" s="64">
        <v>0</v>
      </c>
      <c r="H11" s="64">
        <v>0</v>
      </c>
      <c r="I11" s="64">
        <v>0</v>
      </c>
      <c r="J11" s="64">
        <v>0</v>
      </c>
      <c r="K11" s="65">
        <v>-0.14296800000000001</v>
      </c>
      <c r="L11" s="80">
        <v>100000</v>
      </c>
      <c r="M11" s="68">
        <f t="shared" si="0"/>
        <v>-14296.800000000001</v>
      </c>
      <c r="N11" s="80" t="s">
        <v>322</v>
      </c>
      <c r="O11" s="80" t="s">
        <v>313</v>
      </c>
      <c r="P11" s="80">
        <v>2026.5</v>
      </c>
      <c r="Q11" s="281">
        <f t="shared" si="1"/>
        <v>-64335.600000000006</v>
      </c>
      <c r="R11" s="281">
        <f t="shared" si="2"/>
        <v>-350271.60000000003</v>
      </c>
      <c r="S11" s="275"/>
    </row>
    <row r="12" spans="1:19" ht="47.25" x14ac:dyDescent="0.25">
      <c r="A12" s="63"/>
      <c r="B12" s="64"/>
      <c r="C12" s="64"/>
      <c r="D12" s="64"/>
      <c r="E12" s="64"/>
      <c r="F12" s="64"/>
      <c r="G12" s="64"/>
      <c r="H12" s="64"/>
      <c r="I12" s="64"/>
      <c r="J12" s="64"/>
      <c r="K12" s="64"/>
      <c r="L12" s="80"/>
      <c r="M12" s="81" t="s">
        <v>323</v>
      </c>
      <c r="N12" s="66"/>
      <c r="O12" s="275"/>
      <c r="P12" s="275"/>
      <c r="Q12" s="67" t="s">
        <v>324</v>
      </c>
      <c r="R12" s="67" t="s">
        <v>325</v>
      </c>
      <c r="S12" s="275"/>
    </row>
    <row r="13" spans="1:19" ht="38.25" x14ac:dyDescent="0.25">
      <c r="A13" s="271" t="s">
        <v>326</v>
      </c>
      <c r="B13" s="82"/>
      <c r="C13" s="82"/>
      <c r="D13" s="82"/>
      <c r="E13" s="80"/>
      <c r="F13" s="80"/>
      <c r="G13" s="80"/>
      <c r="H13" s="80"/>
      <c r="I13" s="80"/>
      <c r="J13" s="80"/>
      <c r="K13" s="80"/>
      <c r="L13" s="80"/>
      <c r="M13" s="83">
        <f>SUM(M4:M11)</f>
        <v>-178108.6145</v>
      </c>
      <c r="N13" s="80"/>
      <c r="O13" s="83"/>
      <c r="P13" s="83"/>
      <c r="Q13" s="281">
        <f>SUM(Q4:Q11)</f>
        <v>-1002979.82025</v>
      </c>
      <c r="R13" s="281">
        <f>SUM(R4:R11)</f>
        <v>-4565152.1102499999</v>
      </c>
      <c r="S13" s="275"/>
    </row>
    <row r="14" spans="1:19" ht="15.75" x14ac:dyDescent="0.25">
      <c r="A14" s="283"/>
      <c r="B14" s="283"/>
      <c r="C14" s="283"/>
      <c r="D14" s="283"/>
      <c r="E14" s="283"/>
      <c r="F14" s="283"/>
      <c r="G14" s="283"/>
      <c r="H14" s="283"/>
      <c r="I14" s="283"/>
      <c r="J14" s="283"/>
      <c r="K14" s="283"/>
      <c r="L14" s="80"/>
      <c r="M14" s="275"/>
      <c r="N14" s="21" t="s">
        <v>327</v>
      </c>
      <c r="O14" s="21"/>
      <c r="P14" s="21"/>
      <c r="Q14" s="282">
        <f>N15/Q13</f>
        <v>-19.940580653970539</v>
      </c>
      <c r="R14" s="282">
        <f>N15/R13</f>
        <v>-4.3810150279756499</v>
      </c>
      <c r="S14" s="275"/>
    </row>
    <row r="15" spans="1:19" ht="13.5" x14ac:dyDescent="0.2">
      <c r="A15" s="283"/>
      <c r="B15" s="283"/>
      <c r="C15" s="283"/>
      <c r="D15" s="283"/>
      <c r="E15" s="283"/>
      <c r="F15" s="283"/>
      <c r="G15" s="283"/>
      <c r="H15" s="283"/>
      <c r="I15" s="283"/>
      <c r="J15" s="283"/>
      <c r="K15" s="283"/>
      <c r="L15" s="80"/>
      <c r="M15" s="80"/>
      <c r="N15" s="80">
        <v>20000000</v>
      </c>
      <c r="O15" s="80"/>
      <c r="P15" s="80"/>
      <c r="Q15" s="275"/>
      <c r="R15" s="275"/>
      <c r="S15" s="275"/>
    </row>
  </sheetData>
  <mergeCells count="3">
    <mergeCell ref="A15:K15"/>
    <mergeCell ref="A1:K1"/>
    <mergeCell ref="A14:K14"/>
  </mergeCells>
  <hyperlinks>
    <hyperlink ref="A2" r:id="rId1" xr:uid="{313A331F-7C91-4957-A5C0-095DF57AE1D8}"/>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F2A39-C5E8-43C5-8302-F5F14A95F7DB}">
  <dimension ref="A1:R213"/>
  <sheetViews>
    <sheetView topLeftCell="A175" workbookViewId="0">
      <selection activeCell="A180" sqref="A180"/>
    </sheetView>
  </sheetViews>
  <sheetFormatPr defaultRowHeight="12.75" x14ac:dyDescent="0.2"/>
  <cols>
    <col min="1" max="1" width="22.85546875" customWidth="1"/>
    <col min="2" max="2" width="25.85546875" bestFit="1" customWidth="1"/>
    <col min="3" max="3" width="13" bestFit="1" customWidth="1"/>
    <col min="4" max="4" width="10.140625" bestFit="1" customWidth="1"/>
    <col min="5" max="5" width="19.42578125" bestFit="1" customWidth="1"/>
    <col min="6" max="6" width="17.140625" bestFit="1" customWidth="1"/>
    <col min="7" max="7" width="11.7109375" customWidth="1"/>
    <col min="8" max="8" width="19" customWidth="1"/>
    <col min="9" max="9" width="20.85546875" customWidth="1"/>
    <col min="10" max="10" width="19.5703125" customWidth="1"/>
    <col min="11" max="11" width="33.28515625" customWidth="1"/>
    <col min="12" max="12" width="11.28515625" bestFit="1" customWidth="1"/>
    <col min="13" max="13" width="15.5703125" customWidth="1"/>
    <col min="15" max="15" width="19.42578125" customWidth="1"/>
  </cols>
  <sheetData>
    <row r="1" spans="1:18" s="1" customFormat="1" x14ac:dyDescent="0.2">
      <c r="A1" s="1" t="s">
        <v>328</v>
      </c>
      <c r="B1" s="1">
        <v>2030</v>
      </c>
      <c r="C1" s="1">
        <v>2050</v>
      </c>
      <c r="D1" s="1" t="s">
        <v>329</v>
      </c>
      <c r="E1" s="1" t="s">
        <v>330</v>
      </c>
    </row>
    <row r="2" spans="1:18" x14ac:dyDescent="0.2">
      <c r="A2" s="1" t="s">
        <v>331</v>
      </c>
      <c r="B2" s="71">
        <f>B29</f>
        <v>180037.08731544751</v>
      </c>
      <c r="C2" s="71">
        <f>B31</f>
        <v>780160.71170027251</v>
      </c>
      <c r="D2">
        <v>10000000</v>
      </c>
      <c r="E2">
        <f>D2/B2</f>
        <v>55.544111211256983</v>
      </c>
    </row>
    <row r="3" spans="1:18" x14ac:dyDescent="0.2">
      <c r="A3" s="1" t="s">
        <v>332</v>
      </c>
      <c r="B3" s="71">
        <f>A50</f>
        <v>112625.00000000001</v>
      </c>
      <c r="C3" s="71">
        <f>A52</f>
        <v>488041.66666666674</v>
      </c>
      <c r="D3">
        <v>10000000</v>
      </c>
      <c r="E3">
        <f t="shared" ref="E3:E6" si="0">D3/B3</f>
        <v>88.790233074361808</v>
      </c>
    </row>
    <row r="4" spans="1:18" x14ac:dyDescent="0.2">
      <c r="A4" s="1" t="s">
        <v>333</v>
      </c>
      <c r="B4" s="71">
        <f>A71</f>
        <v>272727.27272727276</v>
      </c>
      <c r="C4" s="71">
        <f>A73</f>
        <v>1181818.1818181819</v>
      </c>
      <c r="D4">
        <v>10000000</v>
      </c>
      <c r="E4">
        <f>D4/B4</f>
        <v>36.666666666666664</v>
      </c>
    </row>
    <row r="5" spans="1:18" x14ac:dyDescent="0.2">
      <c r="A5" s="1" t="s">
        <v>334</v>
      </c>
      <c r="B5" s="71">
        <f>E112</f>
        <v>201281.8031843208</v>
      </c>
      <c r="C5" s="71">
        <f>F112</f>
        <v>1093740.0999018082</v>
      </c>
      <c r="D5">
        <v>10000000</v>
      </c>
      <c r="E5">
        <f t="shared" si="0"/>
        <v>49.681589899324628</v>
      </c>
    </row>
    <row r="6" spans="1:18" x14ac:dyDescent="0.2">
      <c r="A6" s="1" t="s">
        <v>335</v>
      </c>
      <c r="B6" s="71">
        <f>B164</f>
        <v>85966.498818624998</v>
      </c>
      <c r="C6" s="71">
        <f>C164</f>
        <v>447291.55040562496</v>
      </c>
      <c r="D6">
        <v>10000000</v>
      </c>
      <c r="E6">
        <f t="shared" si="0"/>
        <v>116.32438377068648</v>
      </c>
    </row>
    <row r="7" spans="1:18" x14ac:dyDescent="0.2">
      <c r="A7" s="1" t="s">
        <v>336</v>
      </c>
      <c r="B7" s="71">
        <f>A209</f>
        <v>55910.550087199998</v>
      </c>
      <c r="C7" s="71">
        <f>B209</f>
        <v>250168.3834318</v>
      </c>
    </row>
    <row r="8" spans="1:18" x14ac:dyDescent="0.2">
      <c r="A8" s="1"/>
      <c r="B8" s="73">
        <f>SUM(B3:B7)</f>
        <v>728511.12481741863</v>
      </c>
      <c r="C8" s="73">
        <f>SUM(C3:C7)</f>
        <v>3461059.882224082</v>
      </c>
      <c r="D8" s="1"/>
      <c r="E8" s="1">
        <f>60000000/B8</f>
        <v>82.359758081988602</v>
      </c>
    </row>
    <row r="9" spans="1:18" s="93" customFormat="1" x14ac:dyDescent="0.2"/>
    <row r="10" spans="1:18" ht="18.75" x14ac:dyDescent="0.3">
      <c r="A10" s="75" t="s">
        <v>337</v>
      </c>
    </row>
    <row r="11" spans="1:18" x14ac:dyDescent="0.2">
      <c r="A11" s="76" t="s">
        <v>338</v>
      </c>
      <c r="B11" s="76"/>
      <c r="C11" s="76"/>
      <c r="D11" s="76"/>
      <c r="E11" s="76"/>
      <c r="F11" s="76"/>
      <c r="G11" s="76"/>
      <c r="H11" s="76"/>
      <c r="I11" s="76"/>
      <c r="J11" s="76"/>
      <c r="K11" s="76"/>
      <c r="L11" s="76"/>
      <c r="M11" s="76"/>
      <c r="N11" s="76"/>
      <c r="O11" s="76"/>
      <c r="P11" s="76"/>
      <c r="Q11" s="76"/>
    </row>
    <row r="12" spans="1:18" x14ac:dyDescent="0.2">
      <c r="A12" s="84" t="s">
        <v>339</v>
      </c>
      <c r="B12" s="76"/>
      <c r="C12" s="76"/>
      <c r="D12" s="76"/>
      <c r="E12" s="76"/>
      <c r="F12" s="76"/>
      <c r="G12" s="76"/>
      <c r="H12" s="76"/>
      <c r="I12" s="76"/>
      <c r="J12" s="76"/>
      <c r="K12" s="76"/>
      <c r="L12" s="76"/>
      <c r="M12" s="76"/>
      <c r="N12" s="76"/>
      <c r="O12" s="76"/>
      <c r="P12" s="76"/>
      <c r="Q12" s="76"/>
    </row>
    <row r="13" spans="1:18" x14ac:dyDescent="0.2">
      <c r="B13" s="86" t="s">
        <v>340</v>
      </c>
      <c r="C13" s="86" t="s">
        <v>341</v>
      </c>
      <c r="D13" s="86" t="s">
        <v>342</v>
      </c>
      <c r="E13" s="86" t="s">
        <v>343</v>
      </c>
      <c r="F13" s="86" t="s">
        <v>344</v>
      </c>
      <c r="G13" s="86" t="s">
        <v>345</v>
      </c>
      <c r="H13" s="77" t="s">
        <v>346</v>
      </c>
      <c r="I13" s="77" t="s">
        <v>347</v>
      </c>
      <c r="J13" s="77" t="s">
        <v>348</v>
      </c>
      <c r="K13" s="77" t="s">
        <v>349</v>
      </c>
      <c r="L13" s="77" t="s">
        <v>350</v>
      </c>
      <c r="M13" s="77" t="s">
        <v>351</v>
      </c>
      <c r="N13" s="77" t="s">
        <v>352</v>
      </c>
      <c r="O13" s="77"/>
      <c r="P13" s="77"/>
      <c r="Q13" s="76"/>
      <c r="R13" s="76"/>
    </row>
    <row r="14" spans="1:18" s="1" customFormat="1" x14ac:dyDescent="0.2">
      <c r="A14" s="1" t="s">
        <v>353</v>
      </c>
      <c r="B14" s="87">
        <v>140</v>
      </c>
      <c r="C14" s="87">
        <f>(B14*3412.14)/8</f>
        <v>59712.45</v>
      </c>
      <c r="D14" s="87">
        <v>145000</v>
      </c>
      <c r="E14" s="87">
        <f>C14/10000</f>
        <v>5.9712449999999997</v>
      </c>
      <c r="F14" s="87">
        <v>-5.3E-3</v>
      </c>
      <c r="G14" s="87">
        <f>F14*E14</f>
        <v>-3.1647598499999999E-2</v>
      </c>
      <c r="H14" s="85">
        <v>3</v>
      </c>
      <c r="I14" s="72">
        <f>B14/3</f>
        <v>46.666666666666664</v>
      </c>
      <c r="J14" s="85">
        <f>768.24*(1/2204.6)*(1/(1-0.073))/1000</f>
        <v>3.7591302915615976E-4</v>
      </c>
      <c r="K14" s="85">
        <f>I14*J14</f>
        <v>1.7542608027287455E-2</v>
      </c>
      <c r="L14" s="85">
        <f>G14+K14</f>
        <v>-1.4104990472712544E-2</v>
      </c>
      <c r="M14" s="85">
        <v>8400</v>
      </c>
      <c r="N14" s="72">
        <f>L14*M14</f>
        <v>-118.48191997078537</v>
      </c>
      <c r="O14" s="85"/>
      <c r="P14" s="85"/>
      <c r="Q14" s="77"/>
      <c r="R14" s="77"/>
    </row>
    <row r="15" spans="1:18" x14ac:dyDescent="0.2">
      <c r="B15" s="76"/>
      <c r="C15" s="76"/>
      <c r="D15" s="76"/>
      <c r="E15" s="76"/>
      <c r="F15" s="76"/>
      <c r="G15" s="76"/>
      <c r="H15" s="76"/>
      <c r="I15" s="76"/>
      <c r="J15" s="76"/>
      <c r="K15" s="76"/>
      <c r="L15" s="76"/>
      <c r="M15" s="76"/>
      <c r="N15" s="76"/>
      <c r="O15" s="76"/>
      <c r="P15" s="76"/>
      <c r="Q15" s="76"/>
      <c r="R15" s="76"/>
    </row>
    <row r="16" spans="1:18" x14ac:dyDescent="0.2">
      <c r="B16" s="86" t="s">
        <v>340</v>
      </c>
      <c r="C16" s="86" t="s">
        <v>341</v>
      </c>
      <c r="D16" s="86" t="s">
        <v>342</v>
      </c>
      <c r="E16" s="86" t="s">
        <v>343</v>
      </c>
      <c r="F16" s="86" t="s">
        <v>344</v>
      </c>
      <c r="G16" s="86" t="s">
        <v>345</v>
      </c>
      <c r="H16" s="77" t="s">
        <v>346</v>
      </c>
      <c r="I16" s="77" t="s">
        <v>347</v>
      </c>
      <c r="J16" s="77" t="s">
        <v>354</v>
      </c>
      <c r="K16" s="77" t="s">
        <v>355</v>
      </c>
      <c r="L16" s="77" t="s">
        <v>350</v>
      </c>
      <c r="M16" s="77" t="s">
        <v>351</v>
      </c>
      <c r="N16" s="77" t="s">
        <v>352</v>
      </c>
      <c r="O16" s="77" t="s">
        <v>356</v>
      </c>
      <c r="P16" s="77"/>
      <c r="Q16" s="76"/>
      <c r="R16" s="76"/>
    </row>
    <row r="17" spans="1:18" s="1" customFormat="1" x14ac:dyDescent="0.2">
      <c r="A17" s="1" t="s">
        <v>357</v>
      </c>
      <c r="B17" s="87">
        <v>140</v>
      </c>
      <c r="C17" s="87">
        <f>(B17*3412.14)/8</f>
        <v>59712.45</v>
      </c>
      <c r="D17" s="87">
        <v>145000</v>
      </c>
      <c r="E17" s="87">
        <f>C17/10000</f>
        <v>5.9712449999999997</v>
      </c>
      <c r="F17" s="87">
        <v>-5.3E-3</v>
      </c>
      <c r="G17" s="87">
        <f>F17*E17</f>
        <v>-3.1647598499999999E-2</v>
      </c>
      <c r="H17" s="85">
        <v>3</v>
      </c>
      <c r="I17" s="72">
        <f>B17/3</f>
        <v>46.666666666666664</v>
      </c>
      <c r="J17" s="85">
        <f>(768.24*0.623)*(1/2204.6)*(1/(1-0.073))/1000</f>
        <v>2.3419381716428754E-4</v>
      </c>
      <c r="K17" s="85">
        <f>I17*J17</f>
        <v>1.0929044801000085E-2</v>
      </c>
      <c r="L17" s="85">
        <f>G17+K17</f>
        <v>-2.0718553698999914E-2</v>
      </c>
      <c r="M17" s="85">
        <v>8400</v>
      </c>
      <c r="N17" s="72">
        <f>L17*M17</f>
        <v>-174.03585107159927</v>
      </c>
      <c r="O17" s="85">
        <f>N17*6</f>
        <v>-1044.2151064295956</v>
      </c>
      <c r="P17" s="85"/>
      <c r="Q17" s="77"/>
      <c r="R17" s="77"/>
    </row>
    <row r="18" spans="1:18" x14ac:dyDescent="0.2">
      <c r="B18" s="77"/>
      <c r="C18" s="76"/>
      <c r="D18" s="76"/>
      <c r="E18" s="76"/>
      <c r="F18" s="76"/>
      <c r="G18" s="76"/>
      <c r="H18" s="76"/>
      <c r="I18" s="76"/>
      <c r="J18" s="76"/>
      <c r="K18" s="76"/>
      <c r="L18" s="76"/>
      <c r="M18" s="76"/>
      <c r="N18" s="76"/>
      <c r="O18" s="76"/>
      <c r="P18" s="76"/>
      <c r="Q18" s="76"/>
      <c r="R18" s="76"/>
    </row>
    <row r="19" spans="1:18" x14ac:dyDescent="0.2">
      <c r="B19" s="86" t="s">
        <v>340</v>
      </c>
      <c r="C19" s="86" t="s">
        <v>341</v>
      </c>
      <c r="D19" s="86" t="s">
        <v>342</v>
      </c>
      <c r="E19" s="86" t="s">
        <v>343</v>
      </c>
      <c r="F19" s="86" t="s">
        <v>344</v>
      </c>
      <c r="G19" s="86" t="s">
        <v>345</v>
      </c>
      <c r="H19" s="77" t="s">
        <v>346</v>
      </c>
      <c r="I19" s="77" t="s">
        <v>347</v>
      </c>
      <c r="J19" s="77" t="s">
        <v>358</v>
      </c>
      <c r="K19" s="77" t="s">
        <v>359</v>
      </c>
      <c r="L19" s="77" t="s">
        <v>350</v>
      </c>
      <c r="M19" s="77" t="s">
        <v>351</v>
      </c>
      <c r="N19" s="77" t="s">
        <v>352</v>
      </c>
      <c r="O19" s="77" t="s">
        <v>360</v>
      </c>
      <c r="P19" s="77"/>
      <c r="Q19" s="76"/>
      <c r="R19" s="76"/>
    </row>
    <row r="20" spans="1:18" s="1" customFormat="1" x14ac:dyDescent="0.2">
      <c r="A20" s="1" t="s">
        <v>361</v>
      </c>
      <c r="B20" s="87">
        <v>140</v>
      </c>
      <c r="C20" s="87">
        <f>(B20*3412.14)/8</f>
        <v>59712.45</v>
      </c>
      <c r="D20" s="87">
        <v>145000</v>
      </c>
      <c r="E20" s="87">
        <f>C20/10000</f>
        <v>5.9712449999999997</v>
      </c>
      <c r="F20" s="87">
        <v>-5.3E-3</v>
      </c>
      <c r="G20" s="87">
        <f>F20*E20</f>
        <v>-3.1647598499999999E-2</v>
      </c>
      <c r="H20" s="85">
        <v>3</v>
      </c>
      <c r="I20" s="72">
        <f>B20/3</f>
        <v>46.666666666666664</v>
      </c>
      <c r="J20" s="85">
        <f>(768.24*0.3815)*(1/2204.6)*(1/(1-0.073))/1000</f>
        <v>1.4341082062307498E-4</v>
      </c>
      <c r="K20" s="85">
        <f>I20*J20</f>
        <v>6.6925049624101656E-3</v>
      </c>
      <c r="L20" s="85">
        <f>G20+K20</f>
        <v>-2.4955093537589831E-2</v>
      </c>
      <c r="M20" s="85">
        <v>8400</v>
      </c>
      <c r="N20" s="72">
        <f>L20*M20</f>
        <v>-209.62278571575459</v>
      </c>
      <c r="O20" s="85">
        <f>N20*26</f>
        <v>-5450.1924286096191</v>
      </c>
      <c r="P20" s="85"/>
      <c r="Q20" s="77"/>
      <c r="R20" s="77"/>
    </row>
    <row r="21" spans="1:18" x14ac:dyDescent="0.2">
      <c r="B21" s="76"/>
      <c r="C21" s="76"/>
      <c r="D21" s="76"/>
      <c r="E21" s="76"/>
      <c r="F21" s="76"/>
      <c r="G21" s="76"/>
      <c r="H21" s="76"/>
      <c r="I21" s="76"/>
      <c r="J21" s="76"/>
      <c r="K21" s="76"/>
      <c r="L21" s="76"/>
      <c r="M21" s="76"/>
      <c r="N21" s="76"/>
      <c r="O21" s="76"/>
      <c r="P21" s="76"/>
      <c r="Q21" s="76"/>
      <c r="R21" s="76"/>
    </row>
    <row r="22" spans="1:18" x14ac:dyDescent="0.2">
      <c r="A22" s="1" t="s">
        <v>362</v>
      </c>
      <c r="B22" s="77" t="s">
        <v>363</v>
      </c>
      <c r="C22" s="76"/>
      <c r="D22" s="76"/>
      <c r="E22" s="76"/>
      <c r="F22" s="76"/>
      <c r="G22" s="76"/>
      <c r="H22" s="76"/>
      <c r="I22" s="76"/>
      <c r="J22" s="76"/>
      <c r="K22" s="76"/>
      <c r="L22" s="76"/>
      <c r="M22" s="76"/>
      <c r="N22" s="76"/>
      <c r="O22" s="76"/>
      <c r="P22" s="76"/>
    </row>
    <row r="23" spans="1:18" x14ac:dyDescent="0.2">
      <c r="A23" s="71">
        <v>1000000</v>
      </c>
      <c r="B23" s="88">
        <f>A23*10</f>
        <v>10000000</v>
      </c>
      <c r="C23" s="76"/>
      <c r="D23" s="76"/>
      <c r="E23" s="76"/>
      <c r="F23" s="76"/>
      <c r="G23" s="76"/>
      <c r="H23" s="76"/>
      <c r="I23" s="76"/>
      <c r="J23" s="76"/>
      <c r="K23" s="76"/>
      <c r="L23" s="76"/>
      <c r="M23" s="76"/>
      <c r="N23" s="76"/>
      <c r="O23" s="76"/>
      <c r="P23" s="76"/>
    </row>
    <row r="24" spans="1:18" x14ac:dyDescent="0.2">
      <c r="A24" s="1" t="s">
        <v>364</v>
      </c>
      <c r="B24" s="76"/>
      <c r="C24" s="76"/>
      <c r="D24" s="76"/>
      <c r="E24" s="76"/>
      <c r="F24" s="76"/>
      <c r="G24" s="76"/>
      <c r="H24" s="76"/>
      <c r="I24" s="76"/>
      <c r="J24" s="76"/>
      <c r="K24" s="76"/>
      <c r="L24" s="76"/>
      <c r="M24" s="76"/>
      <c r="N24" s="76"/>
      <c r="O24" s="76"/>
      <c r="P24" s="76"/>
    </row>
    <row r="25" spans="1:18" x14ac:dyDescent="0.2">
      <c r="A25">
        <v>0.4</v>
      </c>
      <c r="B25">
        <v>0.4</v>
      </c>
      <c r="C25" s="76"/>
      <c r="D25" s="76"/>
      <c r="E25" s="76"/>
      <c r="F25" s="76"/>
      <c r="G25" s="76"/>
      <c r="H25" s="76"/>
      <c r="I25" s="76"/>
      <c r="J25" s="76"/>
      <c r="K25" s="76"/>
      <c r="L25" s="76"/>
      <c r="M25" s="76"/>
      <c r="N25" s="76"/>
      <c r="O25" s="76"/>
      <c r="P25" s="76"/>
    </row>
    <row r="26" spans="1:18" x14ac:dyDescent="0.2">
      <c r="A26" s="77" t="s">
        <v>365</v>
      </c>
      <c r="B26" s="76"/>
      <c r="C26" s="76"/>
      <c r="D26" s="76"/>
      <c r="E26" s="76"/>
      <c r="F26" s="76"/>
      <c r="G26" s="76"/>
      <c r="H26" s="76"/>
      <c r="I26" s="76"/>
      <c r="J26" s="76"/>
      <c r="K26" s="76"/>
      <c r="L26" s="76"/>
      <c r="M26" s="76"/>
      <c r="N26" s="76"/>
      <c r="O26" s="76"/>
      <c r="P26" s="76"/>
    </row>
    <row r="27" spans="1:18" x14ac:dyDescent="0.2">
      <c r="A27" s="88">
        <f>(A23/D17)/A25</f>
        <v>17.241379310344826</v>
      </c>
      <c r="B27" s="88">
        <f>A27*10</f>
        <v>172.41379310344826</v>
      </c>
      <c r="C27" s="76"/>
      <c r="D27" s="76"/>
      <c r="E27" s="76"/>
      <c r="F27" s="76"/>
      <c r="G27" s="76"/>
      <c r="H27" s="76"/>
      <c r="I27" s="76"/>
      <c r="J27" s="76"/>
      <c r="K27" s="76"/>
      <c r="L27" s="76"/>
      <c r="M27" s="76"/>
      <c r="N27" s="76"/>
      <c r="O27" s="76"/>
      <c r="P27" s="76"/>
    </row>
    <row r="28" spans="1:18" x14ac:dyDescent="0.2">
      <c r="A28" s="89" t="s">
        <v>366</v>
      </c>
      <c r="B28" s="88"/>
      <c r="C28" s="76"/>
      <c r="D28" s="76"/>
      <c r="E28" s="76"/>
      <c r="F28" s="76"/>
      <c r="G28" s="76"/>
      <c r="H28" s="76"/>
      <c r="I28" s="76"/>
      <c r="J28" s="76"/>
      <c r="K28" s="76"/>
      <c r="L28" s="76"/>
      <c r="M28" s="76"/>
      <c r="N28" s="76"/>
      <c r="O28" s="76"/>
      <c r="P28" s="76"/>
    </row>
    <row r="29" spans="1:18" x14ac:dyDescent="0.2">
      <c r="A29" s="90">
        <f>ABS(A27*N17*6)</f>
        <v>18003.70873154475</v>
      </c>
      <c r="B29" s="88">
        <f>A29*10</f>
        <v>180037.08731544751</v>
      </c>
      <c r="C29" s="76"/>
      <c r="D29" s="76"/>
      <c r="E29" s="76"/>
      <c r="F29" s="76"/>
      <c r="G29" s="76"/>
      <c r="H29" s="76"/>
      <c r="I29" s="76"/>
      <c r="J29" s="76"/>
      <c r="K29" s="76"/>
      <c r="L29" s="76"/>
      <c r="M29" s="76"/>
      <c r="N29" s="76"/>
      <c r="O29" s="76"/>
      <c r="P29" s="76"/>
    </row>
    <row r="30" spans="1:18" x14ac:dyDescent="0.2">
      <c r="A30" s="89" t="s">
        <v>367</v>
      </c>
      <c r="B30" s="88"/>
      <c r="C30" s="76"/>
      <c r="D30" s="76"/>
      <c r="E30" s="76"/>
      <c r="F30" s="76"/>
      <c r="G30" s="76"/>
      <c r="H30" s="76"/>
      <c r="I30" s="76"/>
      <c r="J30" s="76"/>
      <c r="K30" s="76"/>
      <c r="L30" s="76"/>
      <c r="M30" s="76"/>
      <c r="N30" s="76"/>
      <c r="O30" s="76"/>
      <c r="P30" s="76"/>
    </row>
    <row r="31" spans="1:18" x14ac:dyDescent="0.2">
      <c r="A31" s="88">
        <f>ABS(A27*N17*26)</f>
        <v>78016.071170027251</v>
      </c>
      <c r="B31" s="88">
        <f>A31*10</f>
        <v>780160.71170027251</v>
      </c>
      <c r="C31" s="76"/>
      <c r="D31" s="76"/>
      <c r="E31" s="76"/>
      <c r="F31" s="76"/>
      <c r="G31" s="76"/>
      <c r="H31" s="76"/>
      <c r="I31" s="76"/>
      <c r="J31" s="76"/>
      <c r="K31" s="76"/>
      <c r="L31" s="76"/>
      <c r="M31" s="76"/>
      <c r="N31" s="76"/>
      <c r="O31" s="76"/>
      <c r="P31" s="76"/>
    </row>
    <row r="32" spans="1:18" x14ac:dyDescent="0.2">
      <c r="A32" s="77" t="s">
        <v>368</v>
      </c>
      <c r="B32" s="76"/>
      <c r="C32" s="76"/>
      <c r="D32" s="76"/>
      <c r="E32" s="76"/>
      <c r="F32" s="76"/>
      <c r="G32" s="76"/>
      <c r="H32" s="76"/>
      <c r="I32" s="76"/>
      <c r="J32" s="76"/>
      <c r="K32" s="76"/>
      <c r="L32" s="76"/>
      <c r="M32" s="76"/>
      <c r="N32" s="76"/>
      <c r="O32" s="76"/>
      <c r="P32" s="76"/>
    </row>
    <row r="33" spans="1:16" x14ac:dyDescent="0.2">
      <c r="A33" s="76">
        <f>A23/A29</f>
        <v>55.544111211256983</v>
      </c>
      <c r="B33" s="76">
        <f t="shared" ref="B33" si="1">B23/B29</f>
        <v>55.544111211256983</v>
      </c>
      <c r="C33" s="76"/>
      <c r="D33" s="76"/>
      <c r="E33" s="76"/>
      <c r="F33" s="76"/>
      <c r="G33" s="76"/>
      <c r="H33" s="76"/>
      <c r="I33" s="76"/>
      <c r="J33" s="76"/>
      <c r="K33" s="76"/>
      <c r="L33" s="76"/>
      <c r="M33" s="76"/>
      <c r="N33" s="76"/>
      <c r="O33" s="76"/>
      <c r="P33" s="76"/>
    </row>
    <row r="35" spans="1:16" s="93" customFormat="1" x14ac:dyDescent="0.2"/>
    <row r="36" spans="1:16" ht="18.75" x14ac:dyDescent="0.3">
      <c r="A36" s="92" t="s">
        <v>369</v>
      </c>
    </row>
    <row r="37" spans="1:16" ht="15" x14ac:dyDescent="0.25">
      <c r="A37" s="91" t="s">
        <v>370</v>
      </c>
    </row>
    <row r="38" spans="1:16" x14ac:dyDescent="0.2">
      <c r="A38" s="95" t="s">
        <v>371</v>
      </c>
    </row>
    <row r="39" spans="1:16" x14ac:dyDescent="0.2">
      <c r="A39" t="s">
        <v>372</v>
      </c>
    </row>
    <row r="40" spans="1:16" s="1" customFormat="1" x14ac:dyDescent="0.2">
      <c r="B40" s="1" t="s">
        <v>373</v>
      </c>
      <c r="C40" s="1" t="s">
        <v>374</v>
      </c>
      <c r="D40" s="1" t="s">
        <v>375</v>
      </c>
      <c r="E40" s="1" t="s">
        <v>376</v>
      </c>
      <c r="F40" s="1" t="s">
        <v>352</v>
      </c>
      <c r="G40" s="1" t="s">
        <v>377</v>
      </c>
      <c r="H40" s="1" t="s">
        <v>378</v>
      </c>
      <c r="I40" s="1" t="s">
        <v>379</v>
      </c>
      <c r="J40" s="1" t="s">
        <v>380</v>
      </c>
    </row>
    <row r="41" spans="1:16" x14ac:dyDescent="0.2">
      <c r="A41" t="s">
        <v>381</v>
      </c>
      <c r="B41">
        <v>8500</v>
      </c>
      <c r="C41">
        <v>25</v>
      </c>
      <c r="D41">
        <v>5.3E-3</v>
      </c>
      <c r="E41">
        <v>1500000</v>
      </c>
      <c r="F41">
        <f>C41*B41*D41</f>
        <v>1126.25</v>
      </c>
      <c r="G41">
        <f>E41/F41</f>
        <v>1331.8534961154273</v>
      </c>
      <c r="H41">
        <f>F41*6</f>
        <v>6757.5</v>
      </c>
      <c r="I41" s="1">
        <f>E41/H41</f>
        <v>221.97558268590456</v>
      </c>
      <c r="J41">
        <f>B41*C41</f>
        <v>212500</v>
      </c>
    </row>
    <row r="43" spans="1:16" x14ac:dyDescent="0.2">
      <c r="A43" s="1" t="s">
        <v>382</v>
      </c>
    </row>
    <row r="44" spans="1:16" x14ac:dyDescent="0.2">
      <c r="A44" s="71">
        <v>10000000</v>
      </c>
    </row>
    <row r="45" spans="1:16" x14ac:dyDescent="0.2">
      <c r="A45" s="1" t="s">
        <v>383</v>
      </c>
    </row>
    <row r="46" spans="1:16" x14ac:dyDescent="0.2">
      <c r="A46">
        <v>0.4</v>
      </c>
    </row>
    <row r="47" spans="1:16" x14ac:dyDescent="0.2">
      <c r="A47" s="77" t="s">
        <v>365</v>
      </c>
    </row>
    <row r="48" spans="1:16" x14ac:dyDescent="0.2">
      <c r="A48" s="94">
        <f>A44/E41/A46</f>
        <v>16.666666666666668</v>
      </c>
    </row>
    <row r="49" spans="1:6" x14ac:dyDescent="0.2">
      <c r="A49" s="89" t="s">
        <v>366</v>
      </c>
    </row>
    <row r="50" spans="1:6" x14ac:dyDescent="0.2">
      <c r="A50" s="90">
        <f>A48*H41</f>
        <v>112625.00000000001</v>
      </c>
    </row>
    <row r="51" spans="1:6" x14ac:dyDescent="0.2">
      <c r="A51" s="89" t="s">
        <v>367</v>
      </c>
    </row>
    <row r="52" spans="1:6" x14ac:dyDescent="0.2">
      <c r="A52" s="88">
        <f>A48*F41*26</f>
        <v>488041.66666666674</v>
      </c>
    </row>
    <row r="53" spans="1:6" x14ac:dyDescent="0.2">
      <c r="A53" s="77" t="s">
        <v>384</v>
      </c>
    </row>
    <row r="54" spans="1:6" x14ac:dyDescent="0.2">
      <c r="A54" s="76">
        <f>A44/A50</f>
        <v>88.790233074361808</v>
      </c>
    </row>
    <row r="56" spans="1:6" s="93" customFormat="1" x14ac:dyDescent="0.2"/>
    <row r="57" spans="1:6" ht="18.75" x14ac:dyDescent="0.3">
      <c r="A57" s="75" t="s">
        <v>385</v>
      </c>
    </row>
    <row r="58" spans="1:6" x14ac:dyDescent="0.2">
      <c r="A58" s="95" t="s">
        <v>386</v>
      </c>
    </row>
    <row r="59" spans="1:6" ht="15" x14ac:dyDescent="0.25">
      <c r="A59" s="96" t="s">
        <v>387</v>
      </c>
    </row>
    <row r="61" spans="1:6" x14ac:dyDescent="0.2">
      <c r="A61" s="1"/>
      <c r="B61" s="1" t="s">
        <v>376</v>
      </c>
      <c r="C61" s="1" t="s">
        <v>352</v>
      </c>
      <c r="D61" s="1" t="s">
        <v>377</v>
      </c>
      <c r="E61" s="1" t="s">
        <v>378</v>
      </c>
      <c r="F61" s="1"/>
    </row>
    <row r="62" spans="1:6" x14ac:dyDescent="0.2">
      <c r="A62" t="s">
        <v>381</v>
      </c>
      <c r="B62">
        <v>1000000</v>
      </c>
      <c r="C62">
        <f>B62/D62</f>
        <v>1818.1818181818182</v>
      </c>
      <c r="D62">
        <v>550</v>
      </c>
      <c r="E62">
        <f>C62*6</f>
        <v>10909.09090909091</v>
      </c>
      <c r="F62" s="1"/>
    </row>
    <row r="64" spans="1:6" x14ac:dyDescent="0.2">
      <c r="A64" s="1" t="s">
        <v>382</v>
      </c>
    </row>
    <row r="65" spans="1:4" x14ac:dyDescent="0.2">
      <c r="A65" s="71">
        <v>10000000</v>
      </c>
    </row>
    <row r="66" spans="1:4" x14ac:dyDescent="0.2">
      <c r="A66" s="1" t="s">
        <v>364</v>
      </c>
    </row>
    <row r="67" spans="1:4" x14ac:dyDescent="0.2">
      <c r="A67">
        <v>0.4</v>
      </c>
    </row>
    <row r="68" spans="1:4" x14ac:dyDescent="0.2">
      <c r="A68" s="77" t="s">
        <v>388</v>
      </c>
    </row>
    <row r="69" spans="1:4" x14ac:dyDescent="0.2">
      <c r="A69" s="94">
        <f>A65/B62/A67</f>
        <v>25</v>
      </c>
    </row>
    <row r="70" spans="1:4" x14ac:dyDescent="0.2">
      <c r="A70" s="89" t="s">
        <v>366</v>
      </c>
    </row>
    <row r="71" spans="1:4" x14ac:dyDescent="0.2">
      <c r="A71" s="90">
        <f>E62*A69</f>
        <v>272727.27272727276</v>
      </c>
    </row>
    <row r="72" spans="1:4" x14ac:dyDescent="0.2">
      <c r="A72" s="89" t="s">
        <v>367</v>
      </c>
    </row>
    <row r="73" spans="1:4" x14ac:dyDescent="0.2">
      <c r="A73" s="88">
        <f>C62*A69*26</f>
        <v>1181818.1818181819</v>
      </c>
    </row>
    <row r="74" spans="1:4" x14ac:dyDescent="0.2">
      <c r="A74" s="77" t="s">
        <v>368</v>
      </c>
    </row>
    <row r="75" spans="1:4" x14ac:dyDescent="0.2">
      <c r="A75" s="76">
        <f>A65/A71</f>
        <v>36.666666666666664</v>
      </c>
    </row>
    <row r="78" spans="1:4" s="93" customFormat="1" x14ac:dyDescent="0.2"/>
    <row r="79" spans="1:4" ht="18.75" x14ac:dyDescent="0.3">
      <c r="A79" s="75" t="s">
        <v>389</v>
      </c>
      <c r="D79" t="s">
        <v>390</v>
      </c>
    </row>
    <row r="80" spans="1:4" x14ac:dyDescent="0.2">
      <c r="D80" s="2" t="s">
        <v>286</v>
      </c>
    </row>
    <row r="81" spans="1:9" x14ac:dyDescent="0.2">
      <c r="A81" t="s">
        <v>391</v>
      </c>
      <c r="B81" t="s">
        <v>392</v>
      </c>
      <c r="C81" t="s">
        <v>393</v>
      </c>
      <c r="D81" t="s">
        <v>394</v>
      </c>
      <c r="E81" t="s">
        <v>395</v>
      </c>
      <c r="F81" t="s">
        <v>288</v>
      </c>
      <c r="G81" t="s">
        <v>396</v>
      </c>
      <c r="H81" t="s">
        <v>397</v>
      </c>
      <c r="I81" t="s">
        <v>398</v>
      </c>
    </row>
    <row r="82" spans="1:9" x14ac:dyDescent="0.2">
      <c r="A82">
        <v>1000000</v>
      </c>
      <c r="B82">
        <v>1500</v>
      </c>
      <c r="C82">
        <f>B82*0.90718474</f>
        <v>1360.77711</v>
      </c>
      <c r="D82">
        <f>C82*(1/3)</f>
        <v>453.59236999999996</v>
      </c>
      <c r="E82">
        <f>D82/15</f>
        <v>30.23949133333333</v>
      </c>
      <c r="F82">
        <f>E82*2.471</f>
        <v>74.721783084666654</v>
      </c>
      <c r="G82">
        <v>21.175999999999998</v>
      </c>
      <c r="H82">
        <v>0.187</v>
      </c>
    </row>
    <row r="84" spans="1:9" x14ac:dyDescent="0.2">
      <c r="E84" s="1" t="s">
        <v>399</v>
      </c>
      <c r="I84" s="1" t="s">
        <v>400</v>
      </c>
    </row>
    <row r="85" spans="1:9" x14ac:dyDescent="0.2">
      <c r="A85" s="1" t="s">
        <v>401</v>
      </c>
      <c r="E85">
        <f>10/0.4</f>
        <v>25</v>
      </c>
      <c r="I85">
        <f>7.616203/0.4</f>
        <v>19.040507499999997</v>
      </c>
    </row>
    <row r="86" spans="1:9" x14ac:dyDescent="0.2">
      <c r="B86" s="1">
        <v>2030</v>
      </c>
      <c r="C86" s="1">
        <v>2050</v>
      </c>
      <c r="D86" s="1"/>
      <c r="E86" s="1">
        <v>2030</v>
      </c>
      <c r="F86" s="1">
        <v>2050</v>
      </c>
    </row>
    <row r="87" spans="1:9" ht="15" x14ac:dyDescent="0.25">
      <c r="A87">
        <v>2026</v>
      </c>
      <c r="B87" s="97">
        <f>F$82*(21.176 + 0.187*(B$86-A87))</f>
        <v>1638.2003723482317</v>
      </c>
      <c r="C87" s="98">
        <f>F$82*(21.176 + 0.187*(C$86-A87))</f>
        <v>1917.6598410848849</v>
      </c>
      <c r="E87">
        <f>B87*25</f>
        <v>40955.00930870579</v>
      </c>
      <c r="F87">
        <f>C87*25</f>
        <v>47941.496027122121</v>
      </c>
    </row>
    <row r="88" spans="1:9" ht="15" x14ac:dyDescent="0.25">
      <c r="A88">
        <v>2027</v>
      </c>
      <c r="B88" s="97">
        <f t="shared" ref="B88:B91" si="2">F$82*(21.176 + 0.187*(B$86-A88))</f>
        <v>1624.227398911399</v>
      </c>
      <c r="C88" s="98">
        <f t="shared" ref="C88:C111" si="3">F$82*(21.176 + 0.187*(C$86-A88))</f>
        <v>1903.6868676480522</v>
      </c>
      <c r="E88">
        <f t="shared" ref="E88:E91" si="4">B88*25</f>
        <v>40605.684972784977</v>
      </c>
      <c r="F88">
        <f t="shared" ref="F88:F111" si="5">C88*25</f>
        <v>47592.171691201307</v>
      </c>
    </row>
    <row r="89" spans="1:9" ht="15" x14ac:dyDescent="0.25">
      <c r="A89">
        <v>2028</v>
      </c>
      <c r="B89" s="97">
        <f t="shared" si="2"/>
        <v>1610.2544254745662</v>
      </c>
      <c r="C89" s="98">
        <f t="shared" si="3"/>
        <v>1889.7138942112197</v>
      </c>
      <c r="E89">
        <f t="shared" si="4"/>
        <v>40256.360636864156</v>
      </c>
      <c r="F89">
        <f t="shared" si="5"/>
        <v>47242.847355280494</v>
      </c>
    </row>
    <row r="90" spans="1:9" ht="15" x14ac:dyDescent="0.25">
      <c r="A90">
        <v>2029</v>
      </c>
      <c r="B90" s="97">
        <f t="shared" si="2"/>
        <v>1596.2814520377337</v>
      </c>
      <c r="C90" s="98">
        <f t="shared" si="3"/>
        <v>1875.740920774387</v>
      </c>
      <c r="E90">
        <f t="shared" si="4"/>
        <v>39907.036300943342</v>
      </c>
      <c r="F90">
        <f t="shared" si="5"/>
        <v>46893.523019359673</v>
      </c>
    </row>
    <row r="91" spans="1:9" ht="15" x14ac:dyDescent="0.25">
      <c r="A91">
        <v>2030</v>
      </c>
      <c r="B91" s="97">
        <f t="shared" si="2"/>
        <v>1582.308478600901</v>
      </c>
      <c r="C91" s="98">
        <f t="shared" si="3"/>
        <v>1861.7679473375542</v>
      </c>
      <c r="E91">
        <f t="shared" si="4"/>
        <v>39557.711965022529</v>
      </c>
      <c r="F91">
        <f t="shared" si="5"/>
        <v>46544.198683438859</v>
      </c>
    </row>
    <row r="92" spans="1:9" ht="15" x14ac:dyDescent="0.25">
      <c r="A92">
        <v>2031</v>
      </c>
      <c r="C92" s="98">
        <f t="shared" si="3"/>
        <v>1847.7949739007217</v>
      </c>
      <c r="F92">
        <f t="shared" si="5"/>
        <v>46194.874347518045</v>
      </c>
    </row>
    <row r="93" spans="1:9" ht="15" x14ac:dyDescent="0.25">
      <c r="A93">
        <v>2032</v>
      </c>
      <c r="C93" s="98">
        <f t="shared" si="3"/>
        <v>1833.8220004638888</v>
      </c>
      <c r="F93">
        <f t="shared" si="5"/>
        <v>45845.550011597217</v>
      </c>
    </row>
    <row r="94" spans="1:9" ht="15" x14ac:dyDescent="0.25">
      <c r="A94">
        <v>2033</v>
      </c>
      <c r="C94" s="98">
        <f t="shared" si="3"/>
        <v>1819.8490270270561</v>
      </c>
      <c r="F94">
        <f t="shared" si="5"/>
        <v>45496.225675676404</v>
      </c>
    </row>
    <row r="95" spans="1:9" ht="15" x14ac:dyDescent="0.25">
      <c r="A95">
        <v>2034</v>
      </c>
      <c r="C95" s="98">
        <f t="shared" si="3"/>
        <v>1805.8760535902236</v>
      </c>
      <c r="F95">
        <f t="shared" si="5"/>
        <v>45146.90133975559</v>
      </c>
    </row>
    <row r="96" spans="1:9" ht="15" x14ac:dyDescent="0.25">
      <c r="A96">
        <v>2035</v>
      </c>
      <c r="C96" s="98">
        <f t="shared" si="3"/>
        <v>1791.9030801533909</v>
      </c>
      <c r="F96">
        <f t="shared" si="5"/>
        <v>44797.577003834769</v>
      </c>
    </row>
    <row r="97" spans="1:6" ht="15" x14ac:dyDescent="0.25">
      <c r="A97">
        <v>2036</v>
      </c>
      <c r="C97" s="98">
        <f t="shared" si="3"/>
        <v>1777.9301067165582</v>
      </c>
      <c r="F97">
        <f t="shared" si="5"/>
        <v>44448.252667913956</v>
      </c>
    </row>
    <row r="98" spans="1:6" ht="15" x14ac:dyDescent="0.25">
      <c r="A98">
        <v>2037</v>
      </c>
      <c r="C98" s="98">
        <f t="shared" si="3"/>
        <v>1763.9571332797257</v>
      </c>
      <c r="F98">
        <f t="shared" si="5"/>
        <v>44098.928331993142</v>
      </c>
    </row>
    <row r="99" spans="1:6" ht="15" x14ac:dyDescent="0.25">
      <c r="A99">
        <v>2038</v>
      </c>
      <c r="C99" s="98">
        <f t="shared" si="3"/>
        <v>1749.984159842893</v>
      </c>
      <c r="F99">
        <f t="shared" si="5"/>
        <v>43749.603996072321</v>
      </c>
    </row>
    <row r="100" spans="1:6" ht="15" x14ac:dyDescent="0.25">
      <c r="A100">
        <v>2039</v>
      </c>
      <c r="C100" s="98">
        <f t="shared" si="3"/>
        <v>1736.0111864060602</v>
      </c>
      <c r="F100">
        <f t="shared" si="5"/>
        <v>43400.279660151507</v>
      </c>
    </row>
    <row r="101" spans="1:6" ht="15" x14ac:dyDescent="0.25">
      <c r="A101">
        <v>2040</v>
      </c>
      <c r="C101" s="98">
        <f t="shared" si="3"/>
        <v>1722.0382129692277</v>
      </c>
      <c r="F101">
        <f t="shared" si="5"/>
        <v>43050.955324230694</v>
      </c>
    </row>
    <row r="102" spans="1:6" ht="15" x14ac:dyDescent="0.25">
      <c r="A102">
        <v>2041</v>
      </c>
      <c r="C102" s="98">
        <f t="shared" si="3"/>
        <v>1708.065239532395</v>
      </c>
      <c r="F102">
        <f t="shared" si="5"/>
        <v>42701.630988309873</v>
      </c>
    </row>
    <row r="103" spans="1:6" ht="15" x14ac:dyDescent="0.25">
      <c r="A103">
        <v>2042</v>
      </c>
      <c r="C103" s="98">
        <f t="shared" si="3"/>
        <v>1694.0922660955621</v>
      </c>
      <c r="F103">
        <f t="shared" si="5"/>
        <v>42352.306652389052</v>
      </c>
    </row>
    <row r="104" spans="1:6" ht="15" x14ac:dyDescent="0.25">
      <c r="A104">
        <v>2043</v>
      </c>
      <c r="C104" s="98">
        <f t="shared" si="3"/>
        <v>1680.1192926587296</v>
      </c>
      <c r="F104">
        <f t="shared" si="5"/>
        <v>42002.982316468238</v>
      </c>
    </row>
    <row r="105" spans="1:6" ht="15" x14ac:dyDescent="0.25">
      <c r="A105">
        <v>2044</v>
      </c>
      <c r="C105" s="98">
        <f t="shared" si="3"/>
        <v>1666.1463192218969</v>
      </c>
      <c r="F105">
        <f t="shared" si="5"/>
        <v>41653.657980547425</v>
      </c>
    </row>
    <row r="106" spans="1:6" ht="15" x14ac:dyDescent="0.25">
      <c r="A106">
        <v>2045</v>
      </c>
      <c r="C106" s="98">
        <f t="shared" si="3"/>
        <v>1652.1733457850642</v>
      </c>
      <c r="F106">
        <f t="shared" si="5"/>
        <v>41304.333644626604</v>
      </c>
    </row>
    <row r="107" spans="1:6" ht="15" x14ac:dyDescent="0.25">
      <c r="A107">
        <v>2046</v>
      </c>
      <c r="C107" s="98">
        <f t="shared" si="3"/>
        <v>1638.2003723482317</v>
      </c>
      <c r="F107">
        <f t="shared" si="5"/>
        <v>40955.00930870579</v>
      </c>
    </row>
    <row r="108" spans="1:6" ht="15" x14ac:dyDescent="0.25">
      <c r="A108">
        <v>2047</v>
      </c>
      <c r="C108" s="98">
        <f t="shared" si="3"/>
        <v>1624.227398911399</v>
      </c>
      <c r="F108">
        <f t="shared" si="5"/>
        <v>40605.684972784977</v>
      </c>
    </row>
    <row r="109" spans="1:6" ht="15" x14ac:dyDescent="0.25">
      <c r="A109">
        <v>2048</v>
      </c>
      <c r="C109" s="98">
        <f t="shared" si="3"/>
        <v>1610.2544254745662</v>
      </c>
      <c r="F109">
        <f t="shared" si="5"/>
        <v>40256.360636864156</v>
      </c>
    </row>
    <row r="110" spans="1:6" ht="15" x14ac:dyDescent="0.25">
      <c r="A110">
        <v>2049</v>
      </c>
      <c r="C110" s="98">
        <f t="shared" si="3"/>
        <v>1596.2814520377337</v>
      </c>
      <c r="F110">
        <f t="shared" si="5"/>
        <v>39907.036300943342</v>
      </c>
    </row>
    <row r="111" spans="1:6" ht="15" x14ac:dyDescent="0.25">
      <c r="A111">
        <v>2050</v>
      </c>
      <c r="C111" s="98">
        <f t="shared" si="3"/>
        <v>1582.308478600901</v>
      </c>
      <c r="F111">
        <f t="shared" si="5"/>
        <v>39557.711965022529</v>
      </c>
    </row>
    <row r="112" spans="1:6" x14ac:dyDescent="0.2">
      <c r="A112" s="1" t="s">
        <v>402</v>
      </c>
      <c r="B112" s="73">
        <f>SUM(B87:B91)</f>
        <v>8051.2721273728321</v>
      </c>
      <c r="C112" s="73">
        <f>SUM(C87:C111)</f>
        <v>43749.603996072321</v>
      </c>
      <c r="D112" s="71"/>
      <c r="E112" s="73">
        <f>SUM(E87:E91)</f>
        <v>201281.8031843208</v>
      </c>
      <c r="F112" s="73">
        <f>SUM(F87:F111)</f>
        <v>1093740.0999018082</v>
      </c>
    </row>
    <row r="113" spans="1:12" x14ac:dyDescent="0.2">
      <c r="D113" s="1" t="s">
        <v>403</v>
      </c>
      <c r="E113" s="1">
        <f>10000000/E112</f>
        <v>49.681589899324628</v>
      </c>
    </row>
    <row r="114" spans="1:12" x14ac:dyDescent="0.2">
      <c r="A114" t="s">
        <v>404</v>
      </c>
      <c r="B114">
        <f>400000/B112</f>
        <v>49.681589899324628</v>
      </c>
    </row>
    <row r="117" spans="1:12" s="93" customFormat="1" x14ac:dyDescent="0.2"/>
    <row r="118" spans="1:12" ht="18.75" x14ac:dyDescent="0.3">
      <c r="A118" s="75" t="s">
        <v>405</v>
      </c>
    </row>
    <row r="119" spans="1:12" ht="15" x14ac:dyDescent="0.25">
      <c r="A119" t="s">
        <v>390</v>
      </c>
      <c r="H119" s="104"/>
      <c r="I119" s="104"/>
      <c r="J119" s="104"/>
      <c r="K119" s="104"/>
      <c r="L119" s="104"/>
    </row>
    <row r="120" spans="1:12" ht="15" x14ac:dyDescent="0.25">
      <c r="A120" s="2" t="s">
        <v>286</v>
      </c>
      <c r="H120" s="104"/>
      <c r="I120" s="105"/>
      <c r="J120" s="106"/>
      <c r="K120" s="105"/>
      <c r="L120" s="104"/>
    </row>
    <row r="121" spans="1:12" ht="15" x14ac:dyDescent="0.25">
      <c r="A121" s="76"/>
      <c r="H121" s="104"/>
      <c r="I121" s="105"/>
      <c r="J121" s="106"/>
      <c r="K121" s="105"/>
      <c r="L121" s="104"/>
    </row>
    <row r="122" spans="1:12" ht="15" x14ac:dyDescent="0.25">
      <c r="A122" s="99" t="s">
        <v>406</v>
      </c>
      <c r="H122" s="104"/>
      <c r="I122" s="105"/>
      <c r="J122" s="106"/>
      <c r="K122" s="105"/>
      <c r="L122" s="104"/>
    </row>
    <row r="123" spans="1:12" ht="15" x14ac:dyDescent="0.25">
      <c r="A123" s="99" t="s">
        <v>407</v>
      </c>
      <c r="B123" s="99" t="s">
        <v>408</v>
      </c>
    </row>
    <row r="124" spans="1:12" x14ac:dyDescent="0.2">
      <c r="B124">
        <v>2030</v>
      </c>
      <c r="C124">
        <v>2050</v>
      </c>
      <c r="E124" t="s">
        <v>409</v>
      </c>
      <c r="F124">
        <v>10000</v>
      </c>
    </row>
    <row r="125" spans="1:12" ht="15" x14ac:dyDescent="0.25">
      <c r="A125">
        <v>2026</v>
      </c>
      <c r="B125" s="97">
        <f>1493.823*(21.176 + 0.187*(B$124-A125))</f>
        <v>32750.575452000001</v>
      </c>
      <c r="C125" s="98">
        <f>1493.823*(21.176 + 0.187*(C$124-A125))</f>
        <v>38337.473471999998</v>
      </c>
      <c r="E125" t="s">
        <v>410</v>
      </c>
      <c r="F125">
        <f>F124*0.90718</f>
        <v>9071.7999999999993</v>
      </c>
    </row>
    <row r="126" spans="1:12" ht="15" x14ac:dyDescent="0.25">
      <c r="A126">
        <v>2027</v>
      </c>
      <c r="B126" s="97">
        <f t="shared" ref="B126:B129" si="6">1493.823*(21.176 + 0.187*(B$124-A126))</f>
        <v>32471.230551000001</v>
      </c>
      <c r="C126" s="98">
        <f t="shared" ref="C126:C149" si="7">1493.823*(21.176 + 0.187*(C$124-A126))</f>
        <v>38058.128571000001</v>
      </c>
      <c r="E126" t="s">
        <v>411</v>
      </c>
      <c r="F126">
        <f>F125/15</f>
        <v>604.78666666666663</v>
      </c>
    </row>
    <row r="127" spans="1:12" ht="15" x14ac:dyDescent="0.25">
      <c r="A127">
        <v>2028</v>
      </c>
      <c r="B127" s="97">
        <f t="shared" si="6"/>
        <v>32191.885649999997</v>
      </c>
      <c r="C127" s="98">
        <f t="shared" si="7"/>
        <v>37778.783670000004</v>
      </c>
      <c r="E127" t="s">
        <v>412</v>
      </c>
      <c r="F127">
        <f>F126*2.47</f>
        <v>1493.8230666666666</v>
      </c>
    </row>
    <row r="128" spans="1:12" ht="15" x14ac:dyDescent="0.25">
      <c r="A128">
        <v>2029</v>
      </c>
      <c r="B128" s="97">
        <f t="shared" si="6"/>
        <v>31912.540749</v>
      </c>
      <c r="C128" s="98">
        <f t="shared" si="7"/>
        <v>37499.438769</v>
      </c>
    </row>
    <row r="129" spans="1:3" ht="15" x14ac:dyDescent="0.25">
      <c r="A129">
        <v>2030</v>
      </c>
      <c r="B129" s="97">
        <f t="shared" si="6"/>
        <v>31633.195847999999</v>
      </c>
      <c r="C129" s="98">
        <f t="shared" si="7"/>
        <v>37220.093867999996</v>
      </c>
    </row>
    <row r="130" spans="1:3" ht="15" x14ac:dyDescent="0.25">
      <c r="A130">
        <v>2031</v>
      </c>
      <c r="B130" s="97"/>
      <c r="C130" s="98">
        <f t="shared" si="7"/>
        <v>36940.748967</v>
      </c>
    </row>
    <row r="131" spans="1:3" ht="15" x14ac:dyDescent="0.25">
      <c r="A131">
        <v>2032</v>
      </c>
      <c r="B131" s="97"/>
      <c r="C131" s="98">
        <f t="shared" si="7"/>
        <v>36661.404066000003</v>
      </c>
    </row>
    <row r="132" spans="1:3" ht="15" x14ac:dyDescent="0.25">
      <c r="A132">
        <v>2033</v>
      </c>
      <c r="B132" s="97"/>
      <c r="C132" s="98">
        <f t="shared" si="7"/>
        <v>36382.059164999999</v>
      </c>
    </row>
    <row r="133" spans="1:3" ht="15" x14ac:dyDescent="0.25">
      <c r="A133">
        <v>2034</v>
      </c>
      <c r="B133" s="97"/>
      <c r="C133" s="98">
        <f t="shared" si="7"/>
        <v>36102.714264000002</v>
      </c>
    </row>
    <row r="134" spans="1:3" ht="15" x14ac:dyDescent="0.25">
      <c r="A134">
        <v>2035</v>
      </c>
      <c r="B134" s="97"/>
      <c r="C134" s="98">
        <f t="shared" si="7"/>
        <v>35823.369362999998</v>
      </c>
    </row>
    <row r="135" spans="1:3" ht="15" x14ac:dyDescent="0.25">
      <c r="A135">
        <v>2036</v>
      </c>
      <c r="B135" s="97"/>
      <c r="C135" s="98">
        <f t="shared" si="7"/>
        <v>35544.024462000001</v>
      </c>
    </row>
    <row r="136" spans="1:3" ht="15" x14ac:dyDescent="0.25">
      <c r="A136">
        <v>2037</v>
      </c>
      <c r="B136" s="97"/>
      <c r="C136" s="98">
        <f t="shared" si="7"/>
        <v>35264.679561000004</v>
      </c>
    </row>
    <row r="137" spans="1:3" ht="15" x14ac:dyDescent="0.25">
      <c r="A137">
        <v>2038</v>
      </c>
      <c r="B137" s="97"/>
      <c r="C137" s="98">
        <f t="shared" si="7"/>
        <v>34985.33466</v>
      </c>
    </row>
    <row r="138" spans="1:3" ht="15" x14ac:dyDescent="0.25">
      <c r="A138">
        <v>2039</v>
      </c>
      <c r="B138" s="97"/>
      <c r="C138" s="98">
        <f t="shared" si="7"/>
        <v>34705.989758999996</v>
      </c>
    </row>
    <row r="139" spans="1:3" ht="15" x14ac:dyDescent="0.25">
      <c r="A139">
        <v>2040</v>
      </c>
      <c r="B139" s="97"/>
      <c r="C139" s="98">
        <f t="shared" si="7"/>
        <v>34426.644858</v>
      </c>
    </row>
    <row r="140" spans="1:3" ht="15" x14ac:dyDescent="0.25">
      <c r="A140">
        <v>2041</v>
      </c>
      <c r="B140" s="97"/>
      <c r="C140" s="98">
        <f t="shared" si="7"/>
        <v>34147.299957000003</v>
      </c>
    </row>
    <row r="141" spans="1:3" ht="15" x14ac:dyDescent="0.25">
      <c r="A141">
        <v>2042</v>
      </c>
      <c r="B141" s="97"/>
      <c r="C141" s="98">
        <f t="shared" si="7"/>
        <v>33867.955055999999</v>
      </c>
    </row>
    <row r="142" spans="1:3" ht="15" x14ac:dyDescent="0.25">
      <c r="A142">
        <v>2043</v>
      </c>
      <c r="B142" s="97"/>
      <c r="C142" s="98">
        <f t="shared" si="7"/>
        <v>33588.610155000002</v>
      </c>
    </row>
    <row r="143" spans="1:3" ht="15" x14ac:dyDescent="0.25">
      <c r="A143">
        <v>2044</v>
      </c>
      <c r="B143" s="97"/>
      <c r="C143" s="98">
        <f t="shared" si="7"/>
        <v>33309.265253999998</v>
      </c>
    </row>
    <row r="144" spans="1:3" ht="15" x14ac:dyDescent="0.25">
      <c r="A144">
        <v>2045</v>
      </c>
      <c r="B144" s="97"/>
      <c r="C144" s="98">
        <f t="shared" si="7"/>
        <v>33029.920353000001</v>
      </c>
    </row>
    <row r="145" spans="1:12" ht="15" x14ac:dyDescent="0.25">
      <c r="A145">
        <v>2046</v>
      </c>
      <c r="B145" s="97"/>
      <c r="C145" s="98">
        <f t="shared" si="7"/>
        <v>32750.575452000001</v>
      </c>
    </row>
    <row r="146" spans="1:12" ht="15" x14ac:dyDescent="0.25">
      <c r="A146">
        <v>2047</v>
      </c>
      <c r="B146" s="97"/>
      <c r="C146" s="98">
        <f t="shared" si="7"/>
        <v>32471.230551000001</v>
      </c>
    </row>
    <row r="147" spans="1:12" ht="15" x14ac:dyDescent="0.25">
      <c r="A147">
        <v>2048</v>
      </c>
      <c r="B147" s="97"/>
      <c r="C147" s="98">
        <f t="shared" si="7"/>
        <v>32191.885649999997</v>
      </c>
    </row>
    <row r="148" spans="1:12" ht="15" x14ac:dyDescent="0.25">
      <c r="A148">
        <v>2049</v>
      </c>
      <c r="B148" s="97"/>
      <c r="C148" s="98">
        <f t="shared" si="7"/>
        <v>31912.540749</v>
      </c>
    </row>
    <row r="149" spans="1:12" ht="15" x14ac:dyDescent="0.25">
      <c r="A149">
        <v>2050</v>
      </c>
      <c r="B149" s="97"/>
      <c r="C149" s="98">
        <f t="shared" si="7"/>
        <v>31633.195847999999</v>
      </c>
    </row>
    <row r="150" spans="1:12" ht="15" x14ac:dyDescent="0.25">
      <c r="A150" s="99" t="s">
        <v>402</v>
      </c>
      <c r="B150" s="100">
        <f>SUM(B125:B129)</f>
        <v>160959.42825</v>
      </c>
      <c r="C150" s="100">
        <f>SUM(C125:C149)</f>
        <v>874633.3665</v>
      </c>
    </row>
    <row r="151" spans="1:12" ht="15" x14ac:dyDescent="0.25">
      <c r="B151" s="99">
        <v>2030</v>
      </c>
      <c r="C151" s="99">
        <v>2050</v>
      </c>
    </row>
    <row r="152" spans="1:12" ht="15" x14ac:dyDescent="0.25">
      <c r="B152" s="99"/>
      <c r="C152" s="99"/>
    </row>
    <row r="153" spans="1:12" ht="15" x14ac:dyDescent="0.25">
      <c r="A153" s="1" t="s">
        <v>413</v>
      </c>
      <c r="B153" s="99"/>
      <c r="C153" s="99"/>
    </row>
    <row r="154" spans="1:12" x14ac:dyDescent="0.2">
      <c r="C154" t="s">
        <v>414</v>
      </c>
    </row>
    <row r="155" spans="1:12" s="1" customFormat="1" x14ac:dyDescent="0.2">
      <c r="B155" s="1" t="s">
        <v>415</v>
      </c>
      <c r="C155" s="1" t="s">
        <v>416</v>
      </c>
      <c r="D155" s="1" t="s">
        <v>417</v>
      </c>
      <c r="E155" s="1" t="s">
        <v>418</v>
      </c>
      <c r="F155" s="1" t="s">
        <v>419</v>
      </c>
      <c r="G155" s="1" t="s">
        <v>420</v>
      </c>
      <c r="H155" s="1" t="s">
        <v>421</v>
      </c>
      <c r="I155" s="1" t="s">
        <v>422</v>
      </c>
      <c r="J155" s="1" t="s">
        <v>423</v>
      </c>
      <c r="K155" s="1">
        <v>2030</v>
      </c>
      <c r="L155" s="1">
        <v>2050</v>
      </c>
    </row>
    <row r="156" spans="1:12" x14ac:dyDescent="0.2">
      <c r="A156" s="1" t="s">
        <v>424</v>
      </c>
      <c r="B156">
        <v>65643</v>
      </c>
      <c r="C156">
        <f>(0.26/1000)*265</f>
        <v>6.8900000000000003E-2</v>
      </c>
      <c r="D156">
        <f>-(8.96/1000)*3.67</f>
        <v>-3.2883200000000001E-2</v>
      </c>
      <c r="E156">
        <v>-0.04</v>
      </c>
      <c r="F156">
        <f>E156-D156-C156</f>
        <v>-7.6016799999999995E-2</v>
      </c>
      <c r="G156">
        <f>B156*F156</f>
        <v>-4989.9708024000001</v>
      </c>
      <c r="H156">
        <v>32917.49</v>
      </c>
      <c r="J156">
        <f>G156-H156</f>
        <v>-37907.460802399997</v>
      </c>
      <c r="K156">
        <f>J156*5</f>
        <v>-189537.30401199998</v>
      </c>
      <c r="L156">
        <f>J156*25</f>
        <v>-947686.52005999989</v>
      </c>
    </row>
    <row r="157" spans="1:12" x14ac:dyDescent="0.2">
      <c r="A157" s="1" t="s">
        <v>425</v>
      </c>
      <c r="B157">
        <v>9775</v>
      </c>
      <c r="C157">
        <f>(0.15/1000)*265</f>
        <v>3.9749999999999994E-2</v>
      </c>
      <c r="D157">
        <f>-(43.47/1000)*3.67</f>
        <v>-0.15953490000000001</v>
      </c>
      <c r="E157">
        <v>-0.09</v>
      </c>
      <c r="F157">
        <f>E157-D157-C157</f>
        <v>2.9784900000000017E-2</v>
      </c>
      <c r="G157">
        <f>B157*F157</f>
        <v>291.14739750000018</v>
      </c>
      <c r="I157">
        <v>-1035</v>
      </c>
      <c r="J157">
        <f>G157-I157</f>
        <v>1326.1473975000001</v>
      </c>
      <c r="K157">
        <f>J157*5</f>
        <v>6630.7369875000004</v>
      </c>
      <c r="L157">
        <f>J157*25</f>
        <v>33153.684937500002</v>
      </c>
    </row>
    <row r="158" spans="1:12" x14ac:dyDescent="0.2">
      <c r="B158" s="1"/>
      <c r="J158" s="1">
        <f>SUM(J156:J157)</f>
        <v>-36581.3134049</v>
      </c>
      <c r="K158" s="1">
        <f>SUM(K156:K157)</f>
        <v>-182906.56702449999</v>
      </c>
      <c r="L158" s="1">
        <f>SUM(L156:L157)</f>
        <v>-914532.83512249985</v>
      </c>
    </row>
    <row r="159" spans="1:12" ht="15" x14ac:dyDescent="0.25">
      <c r="A159" s="1" t="s">
        <v>426</v>
      </c>
      <c r="B159" s="99"/>
      <c r="C159" s="99"/>
    </row>
    <row r="160" spans="1:12" ht="15" x14ac:dyDescent="0.25">
      <c r="B160" s="99">
        <v>2030</v>
      </c>
      <c r="C160" s="99">
        <v>2050</v>
      </c>
    </row>
    <row r="161" spans="1:7" ht="15" x14ac:dyDescent="0.25">
      <c r="A161" s="1" t="s">
        <v>427</v>
      </c>
      <c r="B161" s="192">
        <f>B150</f>
        <v>160959.42825</v>
      </c>
      <c r="C161" s="192">
        <f>C150</f>
        <v>874633.3665</v>
      </c>
    </row>
    <row r="162" spans="1:7" ht="15" x14ac:dyDescent="0.25">
      <c r="A162" s="1" t="s">
        <v>413</v>
      </c>
      <c r="B162" s="192">
        <f>-K158</f>
        <v>182906.56702449999</v>
      </c>
      <c r="C162" s="192">
        <f>-L158</f>
        <v>914532.83512249985</v>
      </c>
    </row>
    <row r="163" spans="1:7" ht="15" x14ac:dyDescent="0.25">
      <c r="A163" s="1" t="s">
        <v>428</v>
      </c>
      <c r="B163" s="101">
        <f>SUM(B161:B162)</f>
        <v>343865.99527449999</v>
      </c>
      <c r="C163" s="101">
        <f>SUM(C161:C162)</f>
        <v>1789166.2016224999</v>
      </c>
    </row>
    <row r="164" spans="1:7" ht="15" x14ac:dyDescent="0.25">
      <c r="A164" s="1" t="s">
        <v>429</v>
      </c>
      <c r="B164" s="101">
        <f>B163*0.25</f>
        <v>85966.498818624998</v>
      </c>
      <c r="C164" s="101">
        <f>C163*0.25</f>
        <v>447291.55040562496</v>
      </c>
    </row>
    <row r="166" spans="1:7" s="93" customFormat="1" x14ac:dyDescent="0.2"/>
    <row r="167" spans="1:7" ht="18.75" x14ac:dyDescent="0.3">
      <c r="A167" s="75" t="s">
        <v>336</v>
      </c>
    </row>
    <row r="168" spans="1:7" x14ac:dyDescent="0.2">
      <c r="A168" t="s">
        <v>430</v>
      </c>
    </row>
    <row r="169" spans="1:7" x14ac:dyDescent="0.2">
      <c r="A169" t="s">
        <v>431</v>
      </c>
    </row>
    <row r="170" spans="1:7" x14ac:dyDescent="0.2">
      <c r="A170" t="s">
        <v>432</v>
      </c>
    </row>
    <row r="171" spans="1:7" ht="15" x14ac:dyDescent="0.25">
      <c r="A171" s="179" t="s">
        <v>433</v>
      </c>
    </row>
    <row r="172" spans="1:7" x14ac:dyDescent="0.2">
      <c r="A172" s="2" t="s">
        <v>434</v>
      </c>
    </row>
    <row r="174" spans="1:7" x14ac:dyDescent="0.2">
      <c r="A174" s="1" t="s">
        <v>435</v>
      </c>
    </row>
    <row r="175" spans="1:7" x14ac:dyDescent="0.2">
      <c r="A175" t="s">
        <v>436</v>
      </c>
      <c r="B175" t="s">
        <v>437</v>
      </c>
      <c r="C175" t="s">
        <v>438</v>
      </c>
      <c r="D175" t="s">
        <v>439</v>
      </c>
      <c r="E175" t="s">
        <v>440</v>
      </c>
      <c r="F175" t="s">
        <v>441</v>
      </c>
      <c r="G175" t="s">
        <v>442</v>
      </c>
    </row>
    <row r="176" spans="1:7" x14ac:dyDescent="0.2">
      <c r="A176">
        <v>73</v>
      </c>
      <c r="B176">
        <v>1966</v>
      </c>
      <c r="C176">
        <f>B176*10</f>
        <v>19660</v>
      </c>
      <c r="D176">
        <v>5.3E-3</v>
      </c>
      <c r="E176">
        <f>A176*C176*D176</f>
        <v>7606.4539999999997</v>
      </c>
      <c r="F176" s="71">
        <f>E176*5</f>
        <v>38032.269999999997</v>
      </c>
      <c r="G176" s="71">
        <f>E176*25</f>
        <v>190161.35</v>
      </c>
    </row>
    <row r="177" spans="1:4" x14ac:dyDescent="0.2">
      <c r="A177" s="1" t="s">
        <v>443</v>
      </c>
    </row>
    <row r="178" spans="1:4" x14ac:dyDescent="0.2">
      <c r="A178" t="s">
        <v>436</v>
      </c>
      <c r="B178" t="s">
        <v>444</v>
      </c>
      <c r="C178" t="s">
        <v>445</v>
      </c>
    </row>
    <row r="179" spans="1:4" x14ac:dyDescent="0.2">
      <c r="A179">
        <v>73</v>
      </c>
      <c r="B179">
        <v>364013</v>
      </c>
      <c r="C179">
        <f>B179/1000</f>
        <v>364.01299999999998</v>
      </c>
    </row>
    <row r="180" spans="1:4" x14ac:dyDescent="0.2">
      <c r="B180" t="s">
        <v>446</v>
      </c>
    </row>
    <row r="181" spans="1:4" x14ac:dyDescent="0.2">
      <c r="A181">
        <v>2050</v>
      </c>
      <c r="B181" s="71">
        <f>(B$179/1000)*'Electricity emission rates'!C31*A$179</f>
        <v>845.01977820000002</v>
      </c>
      <c r="C181" s="71">
        <f>SUM(B181:B205)</f>
        <v>60007.033431800002</v>
      </c>
      <c r="D181" t="s">
        <v>447</v>
      </c>
    </row>
    <row r="182" spans="1:4" x14ac:dyDescent="0.2">
      <c r="A182">
        <v>2049</v>
      </c>
      <c r="B182" s="71">
        <f>(B$179/1000)*'Electricity emission rates'!C32*A$179</f>
        <v>1331.3047448999998</v>
      </c>
      <c r="C182" s="71"/>
    </row>
    <row r="183" spans="1:4" x14ac:dyDescent="0.2">
      <c r="A183">
        <v>2048</v>
      </c>
      <c r="B183" s="71">
        <f>(B$179/1000)*'Electricity emission rates'!C33*A$179</f>
        <v>1713.9552104999998</v>
      </c>
      <c r="C183" s="71"/>
    </row>
    <row r="184" spans="1:4" x14ac:dyDescent="0.2">
      <c r="A184">
        <v>2047</v>
      </c>
      <c r="B184" s="71">
        <f>(B$179/1000)*'Electricity emission rates'!C34*A$179</f>
        <v>2008.9149444</v>
      </c>
      <c r="C184" s="71"/>
    </row>
    <row r="185" spans="1:4" x14ac:dyDescent="0.2">
      <c r="A185">
        <v>2046</v>
      </c>
      <c r="B185" s="71">
        <f>(B$179/1000)*'Electricity emission rates'!C35*A$179</f>
        <v>2218.8412415000003</v>
      </c>
      <c r="C185" s="71"/>
    </row>
    <row r="186" spans="1:4" x14ac:dyDescent="0.2">
      <c r="A186">
        <v>2045</v>
      </c>
      <c r="B186" s="71">
        <f>(B$179/1000)*'Electricity emission rates'!C36*A$179</f>
        <v>2359.6778711999996</v>
      </c>
      <c r="C186" s="71"/>
    </row>
    <row r="187" spans="1:4" x14ac:dyDescent="0.2">
      <c r="A187">
        <v>2044</v>
      </c>
      <c r="B187" s="71">
        <f>(B$179/1000)*'Electricity emission rates'!C37*A$179</f>
        <v>2439.3967181999997</v>
      </c>
      <c r="C187" s="71"/>
    </row>
    <row r="188" spans="1:4" x14ac:dyDescent="0.2">
      <c r="A188">
        <v>2043</v>
      </c>
      <c r="B188" s="71">
        <f>(B$179/1000)*'Electricity emission rates'!C38*A$179</f>
        <v>2465.9696671999995</v>
      </c>
      <c r="C188" s="71"/>
    </row>
    <row r="189" spans="1:4" x14ac:dyDescent="0.2">
      <c r="A189">
        <v>2042</v>
      </c>
      <c r="B189" s="71">
        <f>(B$179/1000)*'Electricity emission rates'!C39*A$179</f>
        <v>2452.6831926999998</v>
      </c>
      <c r="C189" s="71"/>
    </row>
    <row r="190" spans="1:4" x14ac:dyDescent="0.2">
      <c r="A190">
        <v>2041</v>
      </c>
      <c r="B190" s="71">
        <f>(B$179/1000)*'Electricity emission rates'!C40*A$179</f>
        <v>2410.1664742999997</v>
      </c>
      <c r="C190" s="71"/>
    </row>
    <row r="191" spans="1:4" x14ac:dyDescent="0.2">
      <c r="A191">
        <v>2040</v>
      </c>
      <c r="B191" s="71">
        <f>(B$179/1000)*'Electricity emission rates'!C41*A$179</f>
        <v>2343.7341017999997</v>
      </c>
      <c r="C191" s="71"/>
    </row>
    <row r="192" spans="1:4" x14ac:dyDescent="0.2">
      <c r="A192">
        <v>2039</v>
      </c>
      <c r="B192" s="71">
        <f>(B$179/1000)*'Electricity emission rates'!C42*A$179</f>
        <v>2269.3298445999999</v>
      </c>
      <c r="C192" s="71"/>
    </row>
    <row r="193" spans="1:4" x14ac:dyDescent="0.2">
      <c r="A193">
        <v>2038</v>
      </c>
      <c r="B193" s="71">
        <f>(B$179/1000)*'Electricity emission rates'!C43*A$179</f>
        <v>2189.6109975999998</v>
      </c>
      <c r="C193" s="71"/>
    </row>
    <row r="194" spans="1:4" x14ac:dyDescent="0.2">
      <c r="A194">
        <v>2037</v>
      </c>
      <c r="B194" s="71">
        <f>(B$179/1000)*'Electricity emission rates'!C44*A$179</f>
        <v>2120.5213301999997</v>
      </c>
      <c r="C194" s="71"/>
    </row>
    <row r="195" spans="1:4" x14ac:dyDescent="0.2">
      <c r="A195">
        <v>2036</v>
      </c>
      <c r="B195" s="71">
        <f>(B$179/1000)*'Electricity emission rates'!C45*A$179</f>
        <v>2070.0327270999996</v>
      </c>
      <c r="C195" s="71"/>
    </row>
    <row r="196" spans="1:4" x14ac:dyDescent="0.2">
      <c r="A196">
        <v>2035</v>
      </c>
      <c r="B196" s="71">
        <f>(B$179/1000)*'Electricity emission rates'!C46*A$179</f>
        <v>2046.1170729999999</v>
      </c>
      <c r="C196" s="71"/>
    </row>
    <row r="197" spans="1:4" x14ac:dyDescent="0.2">
      <c r="A197">
        <v>2034</v>
      </c>
      <c r="B197" s="71">
        <f>(B$179/1000)*'Electricity emission rates'!C47*A$179</f>
        <v>2059.4035474999996</v>
      </c>
      <c r="C197" s="71"/>
    </row>
    <row r="198" spans="1:4" x14ac:dyDescent="0.2">
      <c r="A198">
        <v>2033</v>
      </c>
      <c r="B198" s="71">
        <f>(B$179/1000)*'Electricity emission rates'!C48*A$179</f>
        <v>2120.5213301999997</v>
      </c>
      <c r="C198" s="71"/>
    </row>
    <row r="199" spans="1:4" x14ac:dyDescent="0.2">
      <c r="A199">
        <v>2032</v>
      </c>
      <c r="B199" s="71">
        <f>(B$179/1000)*'Electricity emission rates'!C49*A$179</f>
        <v>2240.0996006999999</v>
      </c>
      <c r="C199" s="71"/>
    </row>
    <row r="200" spans="1:4" x14ac:dyDescent="0.2">
      <c r="A200">
        <v>2031</v>
      </c>
      <c r="B200" s="71">
        <f>(B$179/1000)*'Electricity emission rates'!C50*A$179</f>
        <v>2423.4529487999998</v>
      </c>
      <c r="C200" s="71"/>
    </row>
    <row r="201" spans="1:4" x14ac:dyDescent="0.2">
      <c r="A201">
        <v>2030</v>
      </c>
      <c r="B201" s="71">
        <f>(B$179/1000)*'Electricity emission rates'!C51*A$179</f>
        <v>2683.8678489999998</v>
      </c>
      <c r="C201" s="71">
        <f>SUM(B201:B206)</f>
        <v>17878.280087200001</v>
      </c>
      <c r="D201" t="s">
        <v>448</v>
      </c>
    </row>
    <row r="202" spans="1:4" x14ac:dyDescent="0.2">
      <c r="A202">
        <v>2029</v>
      </c>
      <c r="B202" s="71">
        <f>(B$179/1000)*'Electricity emission rates'!C52*A$179</f>
        <v>3029.316186</v>
      </c>
      <c r="C202" s="71"/>
    </row>
    <row r="203" spans="1:4" x14ac:dyDescent="0.2">
      <c r="A203">
        <v>2028</v>
      </c>
      <c r="B203" s="71">
        <f>(B$179/1000)*'Electricity emission rates'!C53*A$179</f>
        <v>3470.4271393999998</v>
      </c>
      <c r="C203" s="71"/>
    </row>
    <row r="204" spans="1:4" x14ac:dyDescent="0.2">
      <c r="A204">
        <v>2027</v>
      </c>
      <c r="B204" s="71">
        <f>(B$179/1000)*'Electricity emission rates'!C54*A$179</f>
        <v>4017.8298887999999</v>
      </c>
      <c r="C204" s="71"/>
    </row>
    <row r="205" spans="1:4" x14ac:dyDescent="0.2">
      <c r="A205">
        <v>2026</v>
      </c>
      <c r="B205" s="71">
        <f>(B$179/1000)*'Electricity emission rates'!C55*A$179</f>
        <v>4676.839023999999</v>
      </c>
      <c r="C205" s="71"/>
    </row>
    <row r="207" spans="1:4" x14ac:dyDescent="0.2">
      <c r="A207" t="s">
        <v>449</v>
      </c>
    </row>
    <row r="208" spans="1:4" x14ac:dyDescent="0.2">
      <c r="A208" s="1">
        <v>2030</v>
      </c>
      <c r="B208" s="1">
        <v>2050</v>
      </c>
    </row>
    <row r="209" spans="1:2" x14ac:dyDescent="0.2">
      <c r="A209" s="71">
        <f>(C201+F176)</f>
        <v>55910.550087199998</v>
      </c>
      <c r="B209" s="71">
        <f>(C181+G176)</f>
        <v>250168.3834318</v>
      </c>
    </row>
    <row r="211" spans="1:2" x14ac:dyDescent="0.2">
      <c r="A211" t="s">
        <v>450</v>
      </c>
    </row>
    <row r="212" spans="1:2" x14ac:dyDescent="0.2">
      <c r="A212" t="s">
        <v>451</v>
      </c>
    </row>
    <row r="213" spans="1:2" x14ac:dyDescent="0.2">
      <c r="A213" t="s">
        <v>452</v>
      </c>
    </row>
  </sheetData>
  <hyperlinks>
    <hyperlink ref="A12" r:id="rId1" xr:uid="{80BAF884-1787-424E-9F1D-BB5C440E42ED}"/>
    <hyperlink ref="A58" r:id="rId2" xr:uid="{5F5E5118-B26E-4D6D-AAE4-CC71CC2292BB}"/>
    <hyperlink ref="D80" r:id="rId3" xr:uid="{10364AF5-7D95-4F13-9C9D-00D7BE957D7D}"/>
    <hyperlink ref="A120" r:id="rId4" xr:uid="{CD3223E9-049C-483D-AAE2-58B85A0B0BC6}"/>
    <hyperlink ref="A38" r:id="rId5" xr:uid="{5F2B4A24-3AFE-4EA2-9E4B-C89CCD3B4505}"/>
    <hyperlink ref="A172" r:id="rId6" xr:uid="{D4575C5B-4A8A-446F-8EA6-C16C72ED3933}"/>
  </hyperlinks>
  <pageMargins left="0.7" right="0.7" top="0.75" bottom="0.75" header="0.3" footer="0.3"/>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AF98-BF2E-489E-AC57-FC4166E5B968}">
  <dimension ref="A1:AB108"/>
  <sheetViews>
    <sheetView topLeftCell="A76" workbookViewId="0">
      <selection activeCell="B25" sqref="B25"/>
    </sheetView>
  </sheetViews>
  <sheetFormatPr defaultColWidth="8.85546875" defaultRowHeight="12.75" x14ac:dyDescent="0.2"/>
  <cols>
    <col min="1" max="1" width="26.5703125" style="193" customWidth="1"/>
    <col min="2" max="2" width="36.85546875" style="193" customWidth="1"/>
    <col min="3" max="3" width="14.28515625" style="193" customWidth="1"/>
    <col min="4" max="4" width="19.85546875" style="193" customWidth="1"/>
    <col min="5" max="5" width="8.85546875" style="193"/>
    <col min="6" max="6" width="14.85546875" style="193" customWidth="1"/>
    <col min="7" max="7" width="13.140625" style="193" customWidth="1"/>
    <col min="8" max="8" width="15.85546875" style="193" customWidth="1"/>
    <col min="9" max="12" width="8.85546875" style="193"/>
    <col min="13" max="13" width="9.140625" style="193" bestFit="1" customWidth="1"/>
    <col min="14" max="16384" width="8.85546875" style="193"/>
  </cols>
  <sheetData>
    <row r="1" spans="1:8" ht="15" x14ac:dyDescent="0.25">
      <c r="A1" s="195"/>
      <c r="B1" s="195"/>
      <c r="C1" s="195"/>
      <c r="D1" s="195"/>
      <c r="E1" s="195"/>
      <c r="F1" s="195"/>
      <c r="G1" s="195"/>
      <c r="H1" s="195"/>
    </row>
    <row r="2" spans="1:8" ht="60" x14ac:dyDescent="0.25">
      <c r="A2" s="195"/>
      <c r="B2" s="196" t="s">
        <v>453</v>
      </c>
      <c r="C2" s="197" t="s">
        <v>454</v>
      </c>
      <c r="D2" s="197" t="s">
        <v>455</v>
      </c>
      <c r="E2" s="198" t="s">
        <v>456</v>
      </c>
      <c r="F2" s="199" t="s">
        <v>457</v>
      </c>
      <c r="G2" s="200" t="s">
        <v>458</v>
      </c>
      <c r="H2" s="200" t="s">
        <v>459</v>
      </c>
    </row>
    <row r="3" spans="1:8" ht="75" x14ac:dyDescent="0.25">
      <c r="A3" s="195"/>
      <c r="B3" s="201" t="s">
        <v>460</v>
      </c>
      <c r="C3" s="203">
        <v>8500000</v>
      </c>
      <c r="D3" s="204" t="s">
        <v>461</v>
      </c>
      <c r="E3" s="205">
        <v>17</v>
      </c>
      <c r="F3" s="206">
        <v>203592</v>
      </c>
      <c r="G3" s="207">
        <v>50299</v>
      </c>
      <c r="H3" s="207">
        <v>203592</v>
      </c>
    </row>
    <row r="4" spans="1:8" ht="15" x14ac:dyDescent="0.25">
      <c r="A4" s="195"/>
      <c r="B4" s="201" t="s">
        <v>462</v>
      </c>
      <c r="C4" s="203">
        <v>902412</v>
      </c>
      <c r="D4" s="203">
        <v>20000</v>
      </c>
      <c r="E4" s="205">
        <v>45</v>
      </c>
      <c r="F4" s="206">
        <v>34385</v>
      </c>
      <c r="G4" s="207">
        <v>8100</v>
      </c>
      <c r="H4" s="207">
        <v>34385</v>
      </c>
    </row>
    <row r="5" spans="1:8" ht="15" x14ac:dyDescent="0.25">
      <c r="A5" s="195"/>
      <c r="B5" s="201" t="s">
        <v>463</v>
      </c>
      <c r="C5" s="203">
        <v>597588</v>
      </c>
      <c r="D5" s="204" t="s">
        <v>464</v>
      </c>
      <c r="E5" s="205" t="s">
        <v>464</v>
      </c>
      <c r="F5" s="208" t="s">
        <v>464</v>
      </c>
      <c r="G5" s="209"/>
      <c r="H5" s="209"/>
    </row>
    <row r="6" spans="1:8" ht="15" x14ac:dyDescent="0.25">
      <c r="A6" s="195"/>
      <c r="B6" s="210" t="s">
        <v>465</v>
      </c>
      <c r="C6" s="211">
        <v>10000000</v>
      </c>
      <c r="D6" s="212"/>
      <c r="E6" s="213">
        <v>62.120600000000003</v>
      </c>
      <c r="F6" s="214">
        <v>237977</v>
      </c>
      <c r="G6" s="215">
        <v>58399</v>
      </c>
      <c r="H6" s="215">
        <v>237977</v>
      </c>
    </row>
    <row r="7" spans="1:8" ht="30" x14ac:dyDescent="0.25">
      <c r="A7" s="195"/>
      <c r="B7" s="201" t="s">
        <v>466</v>
      </c>
      <c r="C7" s="203">
        <v>42</v>
      </c>
      <c r="D7" s="216"/>
      <c r="E7" s="217"/>
      <c r="F7" s="217"/>
      <c r="G7" s="195"/>
      <c r="H7" s="195"/>
    </row>
    <row r="8" spans="1:8" ht="15" x14ac:dyDescent="0.25">
      <c r="A8" s="195"/>
      <c r="B8" s="195" t="s">
        <v>467</v>
      </c>
      <c r="C8" s="218">
        <v>169</v>
      </c>
      <c r="D8" s="195"/>
      <c r="E8" s="195"/>
      <c r="F8" s="195"/>
      <c r="G8" s="195"/>
      <c r="H8" s="195"/>
    </row>
    <row r="9" spans="1:8" ht="15" x14ac:dyDescent="0.25">
      <c r="A9" s="195"/>
      <c r="B9" s="195" t="s">
        <v>468</v>
      </c>
      <c r="C9" s="218">
        <v>111</v>
      </c>
      <c r="D9" s="195"/>
      <c r="E9" s="195"/>
      <c r="F9" s="195"/>
      <c r="G9" s="195"/>
      <c r="H9" s="195"/>
    </row>
    <row r="10" spans="1:8" ht="30" x14ac:dyDescent="0.25">
      <c r="A10" s="195"/>
      <c r="B10" s="219" t="s">
        <v>469</v>
      </c>
      <c r="C10" s="218">
        <v>171</v>
      </c>
      <c r="D10" s="195"/>
      <c r="E10" s="195"/>
      <c r="F10" s="195"/>
      <c r="G10" s="195"/>
      <c r="H10" s="195"/>
    </row>
    <row r="11" spans="1:8" ht="15" x14ac:dyDescent="0.25">
      <c r="A11" s="195"/>
      <c r="B11" s="195" t="s">
        <v>470</v>
      </c>
      <c r="C11" s="220">
        <v>41.75</v>
      </c>
      <c r="D11" s="195"/>
      <c r="E11" s="195"/>
      <c r="F11" s="195"/>
      <c r="G11" s="195"/>
      <c r="H11" s="195"/>
    </row>
    <row r="12" spans="1:8" ht="15" x14ac:dyDescent="0.25">
      <c r="A12" s="195"/>
      <c r="B12" s="195" t="s">
        <v>471</v>
      </c>
      <c r="C12" s="221">
        <v>26</v>
      </c>
      <c r="D12" s="195"/>
      <c r="E12" s="195"/>
      <c r="F12" s="195"/>
      <c r="G12" s="195"/>
      <c r="H12" s="195"/>
    </row>
    <row r="13" spans="1:8" ht="30" x14ac:dyDescent="0.25">
      <c r="A13" s="195"/>
      <c r="B13" s="219" t="s">
        <v>472</v>
      </c>
      <c r="C13" s="220">
        <v>42.02</v>
      </c>
      <c r="D13" s="195"/>
      <c r="E13" s="195"/>
      <c r="F13" s="195"/>
      <c r="G13" s="195"/>
      <c r="H13" s="195"/>
    </row>
    <row r="16" spans="1:8" ht="15" x14ac:dyDescent="0.2">
      <c r="A16" s="194"/>
      <c r="B16" s="194"/>
    </row>
    <row r="17" spans="1:28" ht="26.25" x14ac:dyDescent="0.4">
      <c r="A17" s="222" t="s">
        <v>473</v>
      </c>
      <c r="B17" s="223"/>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5"/>
    </row>
    <row r="18" spans="1:28" ht="21" x14ac:dyDescent="0.35">
      <c r="A18" s="226"/>
      <c r="B18" s="227">
        <v>2024</v>
      </c>
      <c r="C18" s="227">
        <v>2025</v>
      </c>
      <c r="D18" s="227">
        <v>2026</v>
      </c>
      <c r="E18" s="227">
        <v>2027</v>
      </c>
      <c r="F18" s="227">
        <v>2028</v>
      </c>
      <c r="G18" s="227">
        <v>2029</v>
      </c>
      <c r="H18" s="228">
        <v>2030</v>
      </c>
      <c r="I18" s="228">
        <v>2031</v>
      </c>
      <c r="J18" s="228">
        <v>2032</v>
      </c>
      <c r="K18" s="228">
        <v>2033</v>
      </c>
      <c r="L18" s="228">
        <v>2034</v>
      </c>
      <c r="M18" s="228">
        <v>2035</v>
      </c>
      <c r="N18" s="228">
        <v>2036</v>
      </c>
      <c r="O18" s="228">
        <v>2037</v>
      </c>
      <c r="P18" s="228">
        <v>2038</v>
      </c>
      <c r="Q18" s="228">
        <v>2039</v>
      </c>
      <c r="R18" s="228">
        <v>2040</v>
      </c>
      <c r="S18" s="228">
        <v>2041</v>
      </c>
      <c r="T18" s="228">
        <v>2042</v>
      </c>
      <c r="U18" s="228">
        <v>2043</v>
      </c>
      <c r="V18" s="228">
        <v>2044</v>
      </c>
      <c r="W18" s="228">
        <v>2045</v>
      </c>
      <c r="X18" s="228">
        <v>2046</v>
      </c>
      <c r="Y18" s="228">
        <v>2047</v>
      </c>
      <c r="Z18" s="228">
        <v>2048</v>
      </c>
      <c r="AA18" s="228">
        <v>2049</v>
      </c>
      <c r="AB18" s="228">
        <v>2050</v>
      </c>
    </row>
    <row r="19" spans="1:28" ht="15" x14ac:dyDescent="0.25">
      <c r="A19" s="229" t="s">
        <v>474</v>
      </c>
      <c r="B19" s="230"/>
      <c r="C19" s="230">
        <v>798.4</v>
      </c>
      <c r="D19" s="230">
        <v>798.4</v>
      </c>
      <c r="E19" s="230">
        <v>798.4</v>
      </c>
      <c r="F19" s="230">
        <v>798.4</v>
      </c>
      <c r="G19" s="230">
        <v>798.4</v>
      </c>
      <c r="H19" s="230">
        <v>798.4</v>
      </c>
      <c r="I19" s="230">
        <v>798.4</v>
      </c>
      <c r="J19" s="230">
        <v>798.4</v>
      </c>
      <c r="K19" s="230">
        <v>798.4</v>
      </c>
      <c r="L19" s="230">
        <v>798.4</v>
      </c>
      <c r="M19" s="230">
        <v>798.4</v>
      </c>
      <c r="N19" s="230">
        <v>798.4</v>
      </c>
      <c r="O19" s="230">
        <v>798.4</v>
      </c>
      <c r="P19" s="230">
        <v>798.4</v>
      </c>
      <c r="Q19" s="230">
        <v>798.4</v>
      </c>
      <c r="R19" s="230"/>
      <c r="S19" s="231"/>
      <c r="T19" s="231"/>
      <c r="U19" s="231"/>
      <c r="V19" s="231"/>
      <c r="W19" s="231"/>
      <c r="X19" s="231"/>
      <c r="Y19" s="231"/>
      <c r="Z19" s="231"/>
      <c r="AA19" s="231"/>
      <c r="AB19" s="231"/>
    </row>
    <row r="20" spans="1:28" ht="15" x14ac:dyDescent="0.25">
      <c r="A20" s="229" t="s">
        <v>475</v>
      </c>
      <c r="B20" s="230"/>
      <c r="C20" s="230">
        <v>798.4</v>
      </c>
      <c r="D20" s="230">
        <v>798.4</v>
      </c>
      <c r="E20" s="230">
        <v>798.4</v>
      </c>
      <c r="F20" s="230">
        <v>798.4</v>
      </c>
      <c r="G20" s="230">
        <v>798.4</v>
      </c>
      <c r="H20" s="230">
        <v>798.4</v>
      </c>
      <c r="I20" s="230">
        <v>798.4</v>
      </c>
      <c r="J20" s="230">
        <v>798.4</v>
      </c>
      <c r="K20" s="230">
        <v>798.4</v>
      </c>
      <c r="L20" s="230">
        <v>798.4</v>
      </c>
      <c r="M20" s="230">
        <v>798.4</v>
      </c>
      <c r="N20" s="230">
        <v>798.4</v>
      </c>
      <c r="O20" s="230">
        <v>798.4</v>
      </c>
      <c r="P20" s="230">
        <v>798.4</v>
      </c>
      <c r="Q20" s="230">
        <v>798.4</v>
      </c>
      <c r="R20" s="231"/>
      <c r="S20" s="231"/>
      <c r="T20" s="231"/>
      <c r="U20" s="231"/>
      <c r="V20" s="231"/>
      <c r="W20" s="231"/>
      <c r="X20" s="231"/>
      <c r="Y20" s="231"/>
      <c r="Z20" s="231"/>
      <c r="AA20" s="231"/>
      <c r="AB20" s="231"/>
    </row>
    <row r="21" spans="1:28" ht="15" x14ac:dyDescent="0.25">
      <c r="A21" s="229" t="s">
        <v>476</v>
      </c>
      <c r="B21" s="230"/>
      <c r="C21" s="230"/>
      <c r="D21" s="230">
        <v>798.4</v>
      </c>
      <c r="E21" s="230">
        <v>798.4</v>
      </c>
      <c r="F21" s="230">
        <v>798.4</v>
      </c>
      <c r="G21" s="230">
        <v>798.4</v>
      </c>
      <c r="H21" s="230">
        <v>798.4</v>
      </c>
      <c r="I21" s="230">
        <v>798.4</v>
      </c>
      <c r="J21" s="230">
        <v>798.4</v>
      </c>
      <c r="K21" s="230">
        <v>798.4</v>
      </c>
      <c r="L21" s="230">
        <v>798.4</v>
      </c>
      <c r="M21" s="230">
        <v>798.4</v>
      </c>
      <c r="N21" s="230">
        <v>798.4</v>
      </c>
      <c r="O21" s="230">
        <v>798.4</v>
      </c>
      <c r="P21" s="230">
        <v>798.4</v>
      </c>
      <c r="Q21" s="230">
        <v>798.4</v>
      </c>
      <c r="R21" s="230">
        <v>798.4</v>
      </c>
      <c r="S21" s="231"/>
      <c r="T21" s="231"/>
      <c r="U21" s="231"/>
      <c r="V21" s="231"/>
      <c r="W21" s="231"/>
      <c r="X21" s="231"/>
      <c r="Y21" s="231"/>
      <c r="Z21" s="231"/>
      <c r="AA21" s="231"/>
      <c r="AB21" s="231"/>
    </row>
    <row r="22" spans="1:28" ht="15" x14ac:dyDescent="0.25">
      <c r="A22" s="229" t="s">
        <v>477</v>
      </c>
      <c r="B22" s="230"/>
      <c r="C22" s="230"/>
      <c r="D22" s="230">
        <v>798.4</v>
      </c>
      <c r="E22" s="230">
        <v>798.4</v>
      </c>
      <c r="F22" s="230">
        <v>798.4</v>
      </c>
      <c r="G22" s="230">
        <v>798.4</v>
      </c>
      <c r="H22" s="230">
        <v>798.4</v>
      </c>
      <c r="I22" s="230">
        <v>798.4</v>
      </c>
      <c r="J22" s="230">
        <v>798.4</v>
      </c>
      <c r="K22" s="230">
        <v>798.4</v>
      </c>
      <c r="L22" s="230">
        <v>798.4</v>
      </c>
      <c r="M22" s="230">
        <v>798.4</v>
      </c>
      <c r="N22" s="230">
        <v>798.4</v>
      </c>
      <c r="O22" s="230">
        <v>798.4</v>
      </c>
      <c r="P22" s="230">
        <v>798.4</v>
      </c>
      <c r="Q22" s="230">
        <v>798.4</v>
      </c>
      <c r="R22" s="230">
        <v>798.4</v>
      </c>
      <c r="S22" s="231"/>
      <c r="T22" s="231"/>
      <c r="U22" s="231"/>
      <c r="V22" s="231"/>
      <c r="W22" s="231"/>
      <c r="X22" s="231"/>
      <c r="Y22" s="231"/>
      <c r="Z22" s="231"/>
      <c r="AA22" s="231"/>
      <c r="AB22" s="231"/>
    </row>
    <row r="23" spans="1:28" ht="15" x14ac:dyDescent="0.25">
      <c r="A23" s="229" t="s">
        <v>478</v>
      </c>
      <c r="B23" s="230"/>
      <c r="C23" s="230"/>
      <c r="D23" s="230">
        <v>798.4</v>
      </c>
      <c r="E23" s="230">
        <v>798.4</v>
      </c>
      <c r="F23" s="230">
        <v>798.4</v>
      </c>
      <c r="G23" s="230">
        <v>798.4</v>
      </c>
      <c r="H23" s="230">
        <v>798.4</v>
      </c>
      <c r="I23" s="230">
        <v>798.4</v>
      </c>
      <c r="J23" s="230">
        <v>798.4</v>
      </c>
      <c r="K23" s="230">
        <v>798.4</v>
      </c>
      <c r="L23" s="230">
        <v>798.4</v>
      </c>
      <c r="M23" s="230">
        <v>798.4</v>
      </c>
      <c r="N23" s="230">
        <v>798.4</v>
      </c>
      <c r="O23" s="230">
        <v>798.4</v>
      </c>
      <c r="P23" s="230">
        <v>798.4</v>
      </c>
      <c r="Q23" s="230">
        <v>798.4</v>
      </c>
      <c r="R23" s="230">
        <v>798.4</v>
      </c>
      <c r="S23" s="231"/>
      <c r="T23" s="231"/>
      <c r="U23" s="231"/>
      <c r="V23" s="231"/>
      <c r="W23" s="231"/>
      <c r="X23" s="231"/>
      <c r="Y23" s="231"/>
      <c r="Z23" s="231"/>
      <c r="AA23" s="231"/>
      <c r="AB23" s="231"/>
    </row>
    <row r="24" spans="1:28" ht="15" x14ac:dyDescent="0.25">
      <c r="A24" s="229" t="s">
        <v>479</v>
      </c>
      <c r="B24" s="230"/>
      <c r="C24" s="230"/>
      <c r="D24" s="230"/>
      <c r="E24" s="230">
        <v>798.4</v>
      </c>
      <c r="F24" s="230">
        <v>798.4</v>
      </c>
      <c r="G24" s="230">
        <v>798.4</v>
      </c>
      <c r="H24" s="230">
        <v>798.4</v>
      </c>
      <c r="I24" s="230">
        <v>798.4</v>
      </c>
      <c r="J24" s="230">
        <v>798.4</v>
      </c>
      <c r="K24" s="230">
        <v>798.4</v>
      </c>
      <c r="L24" s="230">
        <v>798.4</v>
      </c>
      <c r="M24" s="230">
        <v>798.4</v>
      </c>
      <c r="N24" s="230">
        <v>798.4</v>
      </c>
      <c r="O24" s="230">
        <v>798.4</v>
      </c>
      <c r="P24" s="230">
        <v>798.4</v>
      </c>
      <c r="Q24" s="230">
        <v>798.4</v>
      </c>
      <c r="R24" s="230">
        <v>798.4</v>
      </c>
      <c r="S24" s="230">
        <v>798.4</v>
      </c>
      <c r="T24" s="231"/>
      <c r="U24" s="231"/>
      <c r="V24" s="231"/>
      <c r="W24" s="231"/>
      <c r="X24" s="231"/>
      <c r="Y24" s="231"/>
      <c r="Z24" s="231"/>
      <c r="AA24" s="231"/>
      <c r="AB24" s="231"/>
    </row>
    <row r="25" spans="1:28" ht="15" x14ac:dyDescent="0.25">
      <c r="A25" s="229" t="s">
        <v>480</v>
      </c>
      <c r="B25" s="230"/>
      <c r="C25" s="230"/>
      <c r="D25" s="230"/>
      <c r="E25" s="230">
        <v>798.4</v>
      </c>
      <c r="F25" s="230">
        <v>798.4</v>
      </c>
      <c r="G25" s="230">
        <v>798.4</v>
      </c>
      <c r="H25" s="230">
        <v>798.4</v>
      </c>
      <c r="I25" s="230">
        <v>798.4</v>
      </c>
      <c r="J25" s="230">
        <v>798.4</v>
      </c>
      <c r="K25" s="230">
        <v>798.4</v>
      </c>
      <c r="L25" s="230">
        <v>798.4</v>
      </c>
      <c r="M25" s="230">
        <v>798.4</v>
      </c>
      <c r="N25" s="230">
        <v>798.4</v>
      </c>
      <c r="O25" s="230">
        <v>798.4</v>
      </c>
      <c r="P25" s="230">
        <v>798.4</v>
      </c>
      <c r="Q25" s="230">
        <v>798.4</v>
      </c>
      <c r="R25" s="230">
        <v>798.4</v>
      </c>
      <c r="S25" s="230">
        <v>798.4</v>
      </c>
      <c r="T25" s="231"/>
      <c r="U25" s="231"/>
      <c r="V25" s="231"/>
      <c r="W25" s="231"/>
      <c r="X25" s="231"/>
      <c r="Y25" s="231"/>
      <c r="Z25" s="231"/>
      <c r="AA25" s="231"/>
      <c r="AB25" s="231"/>
    </row>
    <row r="26" spans="1:28" ht="15" x14ac:dyDescent="0.25">
      <c r="A26" s="229" t="s">
        <v>481</v>
      </c>
      <c r="B26" s="230"/>
      <c r="C26" s="230"/>
      <c r="D26" s="230"/>
      <c r="E26" s="230">
        <v>798.4</v>
      </c>
      <c r="F26" s="230">
        <v>798.4</v>
      </c>
      <c r="G26" s="230">
        <v>798.4</v>
      </c>
      <c r="H26" s="230">
        <v>798.4</v>
      </c>
      <c r="I26" s="230">
        <v>798.4</v>
      </c>
      <c r="J26" s="230">
        <v>798.4</v>
      </c>
      <c r="K26" s="230">
        <v>798.4</v>
      </c>
      <c r="L26" s="230">
        <v>798.4</v>
      </c>
      <c r="M26" s="230">
        <v>798.4</v>
      </c>
      <c r="N26" s="230">
        <v>798.4</v>
      </c>
      <c r="O26" s="230">
        <v>798.4</v>
      </c>
      <c r="P26" s="230">
        <v>798.4</v>
      </c>
      <c r="Q26" s="230">
        <v>798.4</v>
      </c>
      <c r="R26" s="230">
        <v>798.4</v>
      </c>
      <c r="S26" s="230">
        <v>798.4</v>
      </c>
      <c r="T26" s="231"/>
      <c r="U26" s="231"/>
      <c r="V26" s="231"/>
      <c r="W26" s="231"/>
      <c r="X26" s="231"/>
      <c r="Y26" s="231"/>
      <c r="Z26" s="231"/>
      <c r="AA26" s="231"/>
      <c r="AB26" s="231"/>
    </row>
    <row r="27" spans="1:28" ht="15" x14ac:dyDescent="0.25">
      <c r="A27" s="229" t="s">
        <v>482</v>
      </c>
      <c r="B27" s="230"/>
      <c r="C27" s="230"/>
      <c r="D27" s="230"/>
      <c r="E27" s="230">
        <v>798.4</v>
      </c>
      <c r="F27" s="230">
        <v>798.4</v>
      </c>
      <c r="G27" s="230">
        <v>798.4</v>
      </c>
      <c r="H27" s="230">
        <v>798.4</v>
      </c>
      <c r="I27" s="230">
        <v>798.4</v>
      </c>
      <c r="J27" s="230">
        <v>798.4</v>
      </c>
      <c r="K27" s="230">
        <v>798.4</v>
      </c>
      <c r="L27" s="230">
        <v>798.4</v>
      </c>
      <c r="M27" s="230">
        <v>798.4</v>
      </c>
      <c r="N27" s="230">
        <v>798.4</v>
      </c>
      <c r="O27" s="230">
        <v>798.4</v>
      </c>
      <c r="P27" s="230">
        <v>798.4</v>
      </c>
      <c r="Q27" s="230">
        <v>798.4</v>
      </c>
      <c r="R27" s="230">
        <v>798.4</v>
      </c>
      <c r="S27" s="230">
        <v>798.4</v>
      </c>
      <c r="T27" s="231"/>
      <c r="U27" s="231"/>
      <c r="V27" s="231"/>
      <c r="W27" s="231"/>
      <c r="X27" s="231"/>
      <c r="Y27" s="231"/>
      <c r="Z27" s="231"/>
      <c r="AA27" s="231"/>
      <c r="AB27" s="231"/>
    </row>
    <row r="28" spans="1:28" ht="15" x14ac:dyDescent="0.25">
      <c r="A28" s="229" t="s">
        <v>483</v>
      </c>
      <c r="B28" s="230"/>
      <c r="C28" s="230"/>
      <c r="D28" s="230"/>
      <c r="E28" s="230"/>
      <c r="F28" s="230">
        <v>798.4</v>
      </c>
      <c r="G28" s="230">
        <v>798.4</v>
      </c>
      <c r="H28" s="230">
        <v>798.4</v>
      </c>
      <c r="I28" s="230">
        <v>798.4</v>
      </c>
      <c r="J28" s="230">
        <v>798.4</v>
      </c>
      <c r="K28" s="230">
        <v>798.4</v>
      </c>
      <c r="L28" s="230">
        <v>798.4</v>
      </c>
      <c r="M28" s="230">
        <v>798.4</v>
      </c>
      <c r="N28" s="230">
        <v>798.4</v>
      </c>
      <c r="O28" s="230">
        <v>798.4</v>
      </c>
      <c r="P28" s="230">
        <v>798.4</v>
      </c>
      <c r="Q28" s="230">
        <v>798.4</v>
      </c>
      <c r="R28" s="230">
        <v>798.4</v>
      </c>
      <c r="S28" s="230">
        <v>798.4</v>
      </c>
      <c r="T28" s="230">
        <v>798.4</v>
      </c>
      <c r="U28" s="231"/>
      <c r="V28" s="231"/>
      <c r="W28" s="231"/>
      <c r="X28" s="231"/>
      <c r="Y28" s="231"/>
      <c r="Z28" s="231"/>
      <c r="AA28" s="231"/>
      <c r="AB28" s="231"/>
    </row>
    <row r="29" spans="1:28" ht="15" x14ac:dyDescent="0.25">
      <c r="A29" s="229" t="s">
        <v>484</v>
      </c>
      <c r="B29" s="230"/>
      <c r="C29" s="231"/>
      <c r="D29" s="230"/>
      <c r="E29" s="230"/>
      <c r="F29" s="230">
        <v>798.4</v>
      </c>
      <c r="G29" s="230">
        <v>798.4</v>
      </c>
      <c r="H29" s="230">
        <v>798.4</v>
      </c>
      <c r="I29" s="230">
        <v>798.4</v>
      </c>
      <c r="J29" s="230">
        <v>798.4</v>
      </c>
      <c r="K29" s="230">
        <v>798.4</v>
      </c>
      <c r="L29" s="230">
        <v>798.4</v>
      </c>
      <c r="M29" s="230">
        <v>798.4</v>
      </c>
      <c r="N29" s="230">
        <v>798.4</v>
      </c>
      <c r="O29" s="230">
        <v>798.4</v>
      </c>
      <c r="P29" s="230">
        <v>798.4</v>
      </c>
      <c r="Q29" s="230">
        <v>798.4</v>
      </c>
      <c r="R29" s="230">
        <v>798.4</v>
      </c>
      <c r="S29" s="230">
        <v>798.4</v>
      </c>
      <c r="T29" s="230">
        <v>798.4</v>
      </c>
      <c r="U29" s="231"/>
      <c r="V29" s="231"/>
      <c r="W29" s="231"/>
      <c r="X29" s="231"/>
      <c r="Y29" s="231"/>
      <c r="Z29" s="231"/>
      <c r="AA29" s="231"/>
      <c r="AB29" s="231"/>
    </row>
    <row r="30" spans="1:28" ht="15" x14ac:dyDescent="0.25">
      <c r="A30" s="229" t="s">
        <v>485</v>
      </c>
      <c r="B30" s="230"/>
      <c r="C30" s="231"/>
      <c r="D30" s="230"/>
      <c r="E30" s="230"/>
      <c r="F30" s="230">
        <v>798.4</v>
      </c>
      <c r="G30" s="230">
        <v>798.4</v>
      </c>
      <c r="H30" s="230">
        <v>798.4</v>
      </c>
      <c r="I30" s="230">
        <v>798.4</v>
      </c>
      <c r="J30" s="230">
        <v>798.4</v>
      </c>
      <c r="K30" s="230">
        <v>798.4</v>
      </c>
      <c r="L30" s="230">
        <v>798.4</v>
      </c>
      <c r="M30" s="230">
        <v>798.4</v>
      </c>
      <c r="N30" s="230">
        <v>798.4</v>
      </c>
      <c r="O30" s="230">
        <v>798.4</v>
      </c>
      <c r="P30" s="230">
        <v>798.4</v>
      </c>
      <c r="Q30" s="230">
        <v>798.4</v>
      </c>
      <c r="R30" s="230">
        <v>798.4</v>
      </c>
      <c r="S30" s="230">
        <v>798.4</v>
      </c>
      <c r="T30" s="230">
        <v>798.4</v>
      </c>
      <c r="U30" s="231"/>
      <c r="V30" s="231"/>
      <c r="W30" s="231"/>
      <c r="X30" s="231"/>
      <c r="Y30" s="231"/>
      <c r="Z30" s="231"/>
      <c r="AA30" s="231"/>
      <c r="AB30" s="231"/>
    </row>
    <row r="31" spans="1:28" ht="15" x14ac:dyDescent="0.25">
      <c r="A31" s="229" t="s">
        <v>486</v>
      </c>
      <c r="B31" s="230"/>
      <c r="C31" s="231"/>
      <c r="D31" s="230"/>
      <c r="E31" s="230"/>
      <c r="F31" s="230">
        <v>798.4</v>
      </c>
      <c r="G31" s="230">
        <v>798.4</v>
      </c>
      <c r="H31" s="230">
        <v>798.4</v>
      </c>
      <c r="I31" s="230">
        <v>798.4</v>
      </c>
      <c r="J31" s="230">
        <v>798.4</v>
      </c>
      <c r="K31" s="230">
        <v>798.4</v>
      </c>
      <c r="L31" s="230">
        <v>798.4</v>
      </c>
      <c r="M31" s="230">
        <v>798.4</v>
      </c>
      <c r="N31" s="230">
        <v>798.4</v>
      </c>
      <c r="O31" s="230">
        <v>798.4</v>
      </c>
      <c r="P31" s="230">
        <v>798.4</v>
      </c>
      <c r="Q31" s="230">
        <v>798.4</v>
      </c>
      <c r="R31" s="230">
        <v>798.4</v>
      </c>
      <c r="S31" s="230">
        <v>798.4</v>
      </c>
      <c r="T31" s="230">
        <v>798.4</v>
      </c>
      <c r="U31" s="231"/>
      <c r="V31" s="231"/>
      <c r="W31" s="231"/>
      <c r="X31" s="231"/>
      <c r="Y31" s="231"/>
      <c r="Z31" s="231"/>
      <c r="AA31" s="231"/>
      <c r="AB31" s="231"/>
    </row>
    <row r="32" spans="1:28" ht="15" x14ac:dyDescent="0.25">
      <c r="A32" s="229" t="s">
        <v>487</v>
      </c>
      <c r="B32" s="230"/>
      <c r="C32" s="231"/>
      <c r="D32" s="230"/>
      <c r="E32" s="230"/>
      <c r="F32" s="230"/>
      <c r="G32" s="230">
        <v>798.4</v>
      </c>
      <c r="H32" s="230">
        <v>798.4</v>
      </c>
      <c r="I32" s="230">
        <v>798.4</v>
      </c>
      <c r="J32" s="230">
        <v>798.4</v>
      </c>
      <c r="K32" s="230">
        <v>798.4</v>
      </c>
      <c r="L32" s="230">
        <v>798.4</v>
      </c>
      <c r="M32" s="230">
        <v>798.4</v>
      </c>
      <c r="N32" s="230">
        <v>798.4</v>
      </c>
      <c r="O32" s="230">
        <v>798.4</v>
      </c>
      <c r="P32" s="230">
        <v>798.4</v>
      </c>
      <c r="Q32" s="230">
        <v>798.4</v>
      </c>
      <c r="R32" s="230">
        <v>798.4</v>
      </c>
      <c r="S32" s="230">
        <v>798.4</v>
      </c>
      <c r="T32" s="230">
        <v>798.4</v>
      </c>
      <c r="U32" s="230">
        <v>798.4</v>
      </c>
      <c r="V32" s="231"/>
      <c r="W32" s="231"/>
      <c r="X32" s="231"/>
      <c r="Y32" s="231"/>
      <c r="Z32" s="231"/>
      <c r="AA32" s="231"/>
      <c r="AB32" s="231"/>
    </row>
    <row r="33" spans="1:28" ht="15" x14ac:dyDescent="0.25">
      <c r="A33" s="229" t="s">
        <v>488</v>
      </c>
      <c r="B33" s="230"/>
      <c r="C33" s="231"/>
      <c r="D33" s="230"/>
      <c r="E33" s="230"/>
      <c r="F33" s="230"/>
      <c r="G33" s="230">
        <v>798.4</v>
      </c>
      <c r="H33" s="230">
        <v>798.4</v>
      </c>
      <c r="I33" s="230">
        <v>798.4</v>
      </c>
      <c r="J33" s="230">
        <v>798.4</v>
      </c>
      <c r="K33" s="230">
        <v>798.4</v>
      </c>
      <c r="L33" s="230">
        <v>798.4</v>
      </c>
      <c r="M33" s="230">
        <v>798.4</v>
      </c>
      <c r="N33" s="230">
        <v>798.4</v>
      </c>
      <c r="O33" s="230">
        <v>798.4</v>
      </c>
      <c r="P33" s="230">
        <v>798.4</v>
      </c>
      <c r="Q33" s="230">
        <v>798.4</v>
      </c>
      <c r="R33" s="230">
        <v>798.4</v>
      </c>
      <c r="S33" s="230">
        <v>798.4</v>
      </c>
      <c r="T33" s="230">
        <v>798.4</v>
      </c>
      <c r="U33" s="230">
        <v>798.4</v>
      </c>
      <c r="V33" s="231"/>
      <c r="W33" s="231"/>
      <c r="X33" s="231"/>
      <c r="Y33" s="231"/>
      <c r="Z33" s="231"/>
      <c r="AA33" s="231"/>
      <c r="AB33" s="231"/>
    </row>
    <row r="34" spans="1:28" ht="15" x14ac:dyDescent="0.25">
      <c r="A34" s="229" t="s">
        <v>489</v>
      </c>
      <c r="B34" s="230"/>
      <c r="C34" s="231"/>
      <c r="D34" s="231"/>
      <c r="E34" s="230"/>
      <c r="F34" s="230"/>
      <c r="G34" s="230">
        <v>798.4</v>
      </c>
      <c r="H34" s="230">
        <v>798.4</v>
      </c>
      <c r="I34" s="230">
        <v>798.4</v>
      </c>
      <c r="J34" s="230">
        <v>798.4</v>
      </c>
      <c r="K34" s="230">
        <v>798.4</v>
      </c>
      <c r="L34" s="230">
        <v>798.4</v>
      </c>
      <c r="M34" s="230">
        <v>798.4</v>
      </c>
      <c r="N34" s="230">
        <v>798.4</v>
      </c>
      <c r="O34" s="230">
        <v>798.4</v>
      </c>
      <c r="P34" s="230">
        <v>798.4</v>
      </c>
      <c r="Q34" s="230">
        <v>798.4</v>
      </c>
      <c r="R34" s="230">
        <v>798.4</v>
      </c>
      <c r="S34" s="230">
        <v>798.4</v>
      </c>
      <c r="T34" s="230">
        <v>798.4</v>
      </c>
      <c r="U34" s="230">
        <v>798.4</v>
      </c>
      <c r="V34" s="231"/>
      <c r="W34" s="231"/>
      <c r="X34" s="231"/>
      <c r="Y34" s="231"/>
      <c r="Z34" s="231"/>
      <c r="AA34" s="231"/>
      <c r="AB34" s="231"/>
    </row>
    <row r="35" spans="1:28" ht="15" x14ac:dyDescent="0.25">
      <c r="A35" s="229" t="s">
        <v>490</v>
      </c>
      <c r="B35" s="230"/>
      <c r="C35" s="231"/>
      <c r="D35" s="231"/>
      <c r="E35" s="230"/>
      <c r="F35" s="230"/>
      <c r="G35" s="230">
        <v>798.4</v>
      </c>
      <c r="H35" s="230">
        <v>798.4</v>
      </c>
      <c r="I35" s="230">
        <v>798.4</v>
      </c>
      <c r="J35" s="230">
        <v>798.4</v>
      </c>
      <c r="K35" s="230">
        <v>798.4</v>
      </c>
      <c r="L35" s="230">
        <v>798.4</v>
      </c>
      <c r="M35" s="230">
        <v>798.4</v>
      </c>
      <c r="N35" s="230">
        <v>798.4</v>
      </c>
      <c r="O35" s="230">
        <v>798.4</v>
      </c>
      <c r="P35" s="230">
        <v>798.4</v>
      </c>
      <c r="Q35" s="230">
        <v>798.4</v>
      </c>
      <c r="R35" s="230">
        <v>798.4</v>
      </c>
      <c r="S35" s="230">
        <v>798.4</v>
      </c>
      <c r="T35" s="230">
        <v>798.4</v>
      </c>
      <c r="U35" s="230">
        <v>798.4</v>
      </c>
      <c r="V35" s="231"/>
      <c r="W35" s="231"/>
      <c r="X35" s="231"/>
      <c r="Y35" s="231"/>
      <c r="Z35" s="231"/>
      <c r="AA35" s="231"/>
      <c r="AB35" s="231"/>
    </row>
    <row r="36" spans="1:28" ht="15" x14ac:dyDescent="0.25">
      <c r="A36" s="229" t="s">
        <v>491</v>
      </c>
      <c r="B36" s="230"/>
      <c r="C36" s="231"/>
      <c r="D36" s="231"/>
      <c r="E36" s="230"/>
      <c r="F36" s="230"/>
      <c r="G36" s="230"/>
      <c r="H36" s="230"/>
      <c r="I36" s="230"/>
      <c r="J36" s="230"/>
      <c r="K36" s="230"/>
      <c r="L36" s="230"/>
      <c r="M36" s="230"/>
      <c r="N36" s="230"/>
      <c r="O36" s="230"/>
      <c r="P36" s="230"/>
      <c r="Q36" s="230"/>
      <c r="R36" s="230"/>
      <c r="S36" s="230"/>
      <c r="T36" s="230"/>
      <c r="U36" s="231"/>
      <c r="V36" s="231"/>
      <c r="W36" s="231"/>
      <c r="X36" s="231"/>
      <c r="Y36" s="231"/>
      <c r="Z36" s="231"/>
      <c r="AA36" s="231"/>
      <c r="AB36" s="231"/>
    </row>
    <row r="37" spans="1:28" ht="15" x14ac:dyDescent="0.25">
      <c r="A37" s="229" t="s">
        <v>492</v>
      </c>
      <c r="B37" s="230"/>
      <c r="C37" s="231"/>
      <c r="D37" s="231"/>
      <c r="E37" s="230"/>
      <c r="F37" s="230"/>
      <c r="G37" s="230"/>
      <c r="H37" s="230"/>
      <c r="I37" s="230"/>
      <c r="J37" s="230"/>
      <c r="K37" s="230"/>
      <c r="L37" s="230"/>
      <c r="M37" s="230"/>
      <c r="N37" s="230"/>
      <c r="O37" s="230"/>
      <c r="P37" s="230"/>
      <c r="Q37" s="230"/>
      <c r="R37" s="230"/>
      <c r="S37" s="230"/>
      <c r="T37" s="230"/>
      <c r="U37" s="230"/>
      <c r="V37" s="231"/>
      <c r="W37" s="231"/>
      <c r="X37" s="231"/>
      <c r="Y37" s="231"/>
      <c r="Z37" s="231"/>
      <c r="AA37" s="231"/>
      <c r="AB37" s="231"/>
    </row>
    <row r="38" spans="1:28" ht="15" x14ac:dyDescent="0.25">
      <c r="A38" s="229" t="s">
        <v>493</v>
      </c>
      <c r="B38" s="230"/>
      <c r="C38" s="231"/>
      <c r="D38" s="231"/>
      <c r="E38" s="230"/>
      <c r="F38" s="230"/>
      <c r="G38" s="230"/>
      <c r="H38" s="230"/>
      <c r="I38" s="230"/>
      <c r="J38" s="230"/>
      <c r="K38" s="230"/>
      <c r="L38" s="230"/>
      <c r="M38" s="230"/>
      <c r="N38" s="230"/>
      <c r="O38" s="230"/>
      <c r="P38" s="230"/>
      <c r="Q38" s="230"/>
      <c r="R38" s="230"/>
      <c r="S38" s="230"/>
      <c r="T38" s="230"/>
      <c r="U38" s="230"/>
      <c r="V38" s="231"/>
      <c r="W38" s="231"/>
      <c r="X38" s="231"/>
      <c r="Y38" s="231"/>
      <c r="Z38" s="231"/>
      <c r="AA38" s="231"/>
      <c r="AB38" s="231"/>
    </row>
    <row r="39" spans="1:28" ht="15" x14ac:dyDescent="0.25">
      <c r="A39" s="229"/>
      <c r="B39" s="230"/>
      <c r="C39" s="231"/>
      <c r="D39" s="231"/>
      <c r="E39" s="231"/>
      <c r="F39" s="230"/>
      <c r="G39" s="230"/>
      <c r="H39" s="230"/>
      <c r="I39" s="230"/>
      <c r="J39" s="230"/>
      <c r="K39" s="230"/>
      <c r="L39" s="230"/>
      <c r="M39" s="230"/>
      <c r="N39" s="230"/>
      <c r="O39" s="230"/>
      <c r="P39" s="230"/>
      <c r="Q39" s="230"/>
      <c r="R39" s="230"/>
      <c r="S39" s="230"/>
      <c r="T39" s="230"/>
      <c r="U39" s="230"/>
      <c r="V39" s="231"/>
      <c r="W39" s="231"/>
      <c r="X39" s="231"/>
      <c r="Y39" s="231"/>
      <c r="Z39" s="231"/>
      <c r="AA39" s="231"/>
      <c r="AB39" s="231"/>
    </row>
    <row r="40" spans="1:28" ht="15" x14ac:dyDescent="0.25">
      <c r="A40" s="229" t="s">
        <v>494</v>
      </c>
      <c r="B40" s="230">
        <f t="shared" ref="B40:U40" si="0">SUM(B19:B39)</f>
        <v>0</v>
      </c>
      <c r="C40" s="230">
        <f t="shared" si="0"/>
        <v>1596.8</v>
      </c>
      <c r="D40" s="230">
        <f t="shared" si="0"/>
        <v>3992</v>
      </c>
      <c r="E40" s="230">
        <f t="shared" si="0"/>
        <v>7185.5999999999985</v>
      </c>
      <c r="F40" s="230">
        <f t="shared" si="0"/>
        <v>10379.199999999997</v>
      </c>
      <c r="G40" s="230">
        <f t="shared" si="0"/>
        <v>13572.799999999996</v>
      </c>
      <c r="H40" s="230">
        <f t="shared" si="0"/>
        <v>13572.799999999996</v>
      </c>
      <c r="I40" s="230">
        <f t="shared" si="0"/>
        <v>13572.799999999996</v>
      </c>
      <c r="J40" s="230">
        <f t="shared" si="0"/>
        <v>13572.799999999996</v>
      </c>
      <c r="K40" s="230">
        <f t="shared" si="0"/>
        <v>13572.799999999996</v>
      </c>
      <c r="L40" s="230">
        <f t="shared" si="0"/>
        <v>13572.799999999996</v>
      </c>
      <c r="M40" s="230">
        <f t="shared" si="0"/>
        <v>13572.799999999996</v>
      </c>
      <c r="N40" s="230">
        <f t="shared" si="0"/>
        <v>13572.799999999996</v>
      </c>
      <c r="O40" s="230">
        <f t="shared" si="0"/>
        <v>13572.799999999996</v>
      </c>
      <c r="P40" s="230">
        <f t="shared" si="0"/>
        <v>13572.799999999996</v>
      </c>
      <c r="Q40" s="230">
        <f t="shared" si="0"/>
        <v>13572.799999999996</v>
      </c>
      <c r="R40" s="230">
        <f t="shared" si="0"/>
        <v>11975.999999999996</v>
      </c>
      <c r="S40" s="230">
        <f t="shared" si="0"/>
        <v>9580.7999999999975</v>
      </c>
      <c r="T40" s="230">
        <f t="shared" si="0"/>
        <v>6387.1999999999989</v>
      </c>
      <c r="U40" s="230">
        <f t="shared" si="0"/>
        <v>3193.6</v>
      </c>
      <c r="V40" s="231"/>
      <c r="W40" s="231"/>
      <c r="X40" s="231"/>
      <c r="Y40" s="231"/>
      <c r="Z40" s="231"/>
      <c r="AA40" s="231"/>
      <c r="AB40" s="231"/>
    </row>
    <row r="41" spans="1:28" ht="15" x14ac:dyDescent="0.25">
      <c r="A41" s="229" t="s">
        <v>495</v>
      </c>
      <c r="B41" s="230">
        <f>SUM(B40:AB40)</f>
        <v>203591.99999999991</v>
      </c>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row>
    <row r="42" spans="1:28" ht="15" x14ac:dyDescent="0.25">
      <c r="A42" s="99"/>
      <c r="B42" s="71"/>
      <c r="C42"/>
      <c r="D42"/>
      <c r="E42"/>
      <c r="F42"/>
      <c r="G42"/>
      <c r="H42"/>
      <c r="I42"/>
      <c r="J42"/>
      <c r="K42"/>
      <c r="L42"/>
      <c r="M42"/>
      <c r="N42"/>
      <c r="O42"/>
      <c r="P42"/>
      <c r="Q42"/>
      <c r="R42"/>
      <c r="S42"/>
      <c r="T42"/>
      <c r="U42"/>
      <c r="V42"/>
      <c r="W42"/>
      <c r="X42"/>
      <c r="Y42"/>
      <c r="Z42"/>
      <c r="AA42"/>
      <c r="AB42"/>
    </row>
    <row r="43" spans="1:28" ht="30" x14ac:dyDescent="0.25">
      <c r="A43" s="232" t="s">
        <v>496</v>
      </c>
      <c r="B43" s="71">
        <f>SUM(C40:H40)</f>
        <v>50299.19999999999</v>
      </c>
      <c r="C43"/>
      <c r="D43"/>
      <c r="E43"/>
      <c r="F43"/>
      <c r="G43"/>
      <c r="H43"/>
      <c r="I43"/>
      <c r="J43"/>
      <c r="K43"/>
      <c r="L43"/>
      <c r="M43"/>
      <c r="N43"/>
      <c r="O43"/>
      <c r="P43"/>
      <c r="Q43"/>
      <c r="R43"/>
      <c r="S43"/>
      <c r="T43"/>
      <c r="U43"/>
      <c r="V43"/>
      <c r="W43"/>
      <c r="X43"/>
      <c r="Y43"/>
      <c r="Z43"/>
      <c r="AA43"/>
      <c r="AB43"/>
    </row>
    <row r="44" spans="1:28" ht="15" x14ac:dyDescent="0.25">
      <c r="A44" s="233" t="s">
        <v>497</v>
      </c>
      <c r="B44" s="234"/>
      <c r="C44" s="235"/>
      <c r="D44"/>
      <c r="E44"/>
      <c r="F44"/>
      <c r="G44"/>
      <c r="H44"/>
      <c r="I44"/>
      <c r="J44"/>
      <c r="K44"/>
      <c r="L44"/>
      <c r="M44"/>
      <c r="N44"/>
      <c r="O44"/>
      <c r="P44"/>
      <c r="Q44"/>
      <c r="R44"/>
      <c r="S44"/>
      <c r="T44"/>
      <c r="U44"/>
      <c r="V44"/>
      <c r="W44"/>
      <c r="X44"/>
      <c r="Y44"/>
      <c r="Z44"/>
      <c r="AA44"/>
      <c r="AB44"/>
    </row>
    <row r="45" spans="1:28" ht="15" x14ac:dyDescent="0.25">
      <c r="A45" s="99" t="s">
        <v>498</v>
      </c>
      <c r="B45" s="71"/>
      <c r="C45"/>
      <c r="D45"/>
      <c r="E45"/>
      <c r="F45"/>
      <c r="G45"/>
      <c r="H45"/>
      <c r="I45"/>
      <c r="J45"/>
      <c r="K45"/>
      <c r="L45"/>
      <c r="M45"/>
      <c r="N45"/>
      <c r="O45"/>
      <c r="P45"/>
      <c r="Q45"/>
      <c r="R45"/>
      <c r="S45"/>
      <c r="T45"/>
      <c r="U45"/>
      <c r="V45"/>
      <c r="W45"/>
      <c r="X45"/>
      <c r="Y45"/>
      <c r="Z45"/>
      <c r="AA45"/>
      <c r="AB45"/>
    </row>
    <row r="46" spans="1:28" x14ac:dyDescent="0.2">
      <c r="A46" t="s">
        <v>499</v>
      </c>
      <c r="B46" s="71"/>
      <c r="C46"/>
      <c r="D46"/>
      <c r="E46"/>
      <c r="F46"/>
      <c r="G46"/>
      <c r="H46"/>
      <c r="I46"/>
      <c r="J46"/>
      <c r="K46"/>
      <c r="L46"/>
      <c r="M46"/>
      <c r="N46"/>
      <c r="O46"/>
      <c r="P46"/>
      <c r="Q46"/>
      <c r="R46"/>
      <c r="S46"/>
      <c r="T46"/>
      <c r="U46"/>
      <c r="V46"/>
      <c r="W46"/>
      <c r="X46"/>
      <c r="Y46"/>
      <c r="Z46"/>
      <c r="AA46"/>
      <c r="AB46"/>
    </row>
    <row r="47" spans="1:28" x14ac:dyDescent="0.2">
      <c r="A47" t="s">
        <v>500</v>
      </c>
      <c r="B47" s="71"/>
      <c r="C47"/>
      <c r="D47"/>
      <c r="E47"/>
      <c r="F47"/>
      <c r="G47"/>
      <c r="H47"/>
      <c r="I47"/>
      <c r="J47"/>
      <c r="K47"/>
      <c r="L47"/>
      <c r="M47"/>
      <c r="N47"/>
      <c r="O47"/>
      <c r="P47"/>
      <c r="Q47"/>
      <c r="R47"/>
      <c r="S47"/>
      <c r="T47"/>
      <c r="U47"/>
      <c r="V47"/>
      <c r="W47"/>
      <c r="X47"/>
      <c r="Y47"/>
      <c r="Z47"/>
      <c r="AA47"/>
      <c r="AB47"/>
    </row>
    <row r="48" spans="1:28" x14ac:dyDescent="0.2">
      <c r="A48" t="s">
        <v>501</v>
      </c>
      <c r="B48" s="71"/>
      <c r="C48"/>
      <c r="D48"/>
      <c r="E48"/>
      <c r="F48"/>
      <c r="G48"/>
      <c r="H48"/>
      <c r="I48"/>
      <c r="J48"/>
      <c r="K48"/>
      <c r="L48"/>
      <c r="M48"/>
      <c r="N48"/>
      <c r="O48"/>
      <c r="P48"/>
      <c r="Q48"/>
      <c r="R48"/>
      <c r="S48"/>
      <c r="T48"/>
      <c r="U48"/>
      <c r="V48"/>
      <c r="W48"/>
      <c r="X48"/>
      <c r="Y48"/>
      <c r="Z48"/>
      <c r="AA48"/>
      <c r="AB48"/>
    </row>
    <row r="51" spans="1:28" ht="26.25" x14ac:dyDescent="0.4">
      <c r="A51" s="222" t="s">
        <v>502</v>
      </c>
      <c r="B51" s="223"/>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5"/>
    </row>
    <row r="52" spans="1:28" ht="21" x14ac:dyDescent="0.35">
      <c r="A52" s="226"/>
      <c r="B52" s="228">
        <v>2024</v>
      </c>
      <c r="C52" s="227">
        <v>2025</v>
      </c>
      <c r="D52" s="227">
        <v>2026</v>
      </c>
      <c r="E52" s="227">
        <v>2027</v>
      </c>
      <c r="F52" s="227">
        <v>2028</v>
      </c>
      <c r="G52" s="227">
        <v>2029</v>
      </c>
      <c r="H52" s="227">
        <v>2030</v>
      </c>
      <c r="I52" s="228">
        <v>2031</v>
      </c>
      <c r="J52" s="228">
        <v>2032</v>
      </c>
      <c r="K52" s="228">
        <v>2033</v>
      </c>
      <c r="L52" s="228">
        <v>2034</v>
      </c>
      <c r="M52" s="228">
        <v>2035</v>
      </c>
      <c r="N52" s="228">
        <v>2036</v>
      </c>
      <c r="O52" s="228">
        <v>2037</v>
      </c>
      <c r="P52" s="228">
        <v>2038</v>
      </c>
      <c r="Q52" s="228">
        <v>2039</v>
      </c>
      <c r="R52" s="228">
        <v>2040</v>
      </c>
      <c r="S52" s="228">
        <v>2041</v>
      </c>
      <c r="T52" s="228">
        <v>2042</v>
      </c>
      <c r="U52" s="228">
        <v>2043</v>
      </c>
      <c r="V52" s="228">
        <v>2044</v>
      </c>
      <c r="W52" s="228">
        <v>2045</v>
      </c>
      <c r="X52" s="228">
        <v>2046</v>
      </c>
      <c r="Y52" s="228">
        <v>2047</v>
      </c>
      <c r="Z52" s="228">
        <v>2048</v>
      </c>
      <c r="AA52" s="228">
        <v>2049</v>
      </c>
      <c r="AB52" s="228">
        <v>2050</v>
      </c>
    </row>
    <row r="53" spans="1:28" ht="15" x14ac:dyDescent="0.25">
      <c r="A53" s="229" t="s">
        <v>474</v>
      </c>
      <c r="B53" s="230"/>
      <c r="C53" s="230"/>
      <c r="D53" s="230">
        <v>50.940988539115182</v>
      </c>
      <c r="E53" s="230">
        <v>50.940988539115182</v>
      </c>
      <c r="F53" s="230">
        <v>50.940988539115182</v>
      </c>
      <c r="G53" s="230">
        <v>50.940988539115182</v>
      </c>
      <c r="H53" s="230">
        <v>50.940988539115182</v>
      </c>
      <c r="I53" s="230">
        <v>50.940988539115182</v>
      </c>
      <c r="J53" s="230">
        <v>50.940988539115182</v>
      </c>
      <c r="K53" s="230">
        <v>50.940988539115182</v>
      </c>
      <c r="L53" s="230">
        <v>50.940988539115182</v>
      </c>
      <c r="M53" s="230">
        <v>50.940988539115182</v>
      </c>
      <c r="N53" s="230">
        <v>50.940988539115182</v>
      </c>
      <c r="O53" s="230">
        <v>50.940988539115182</v>
      </c>
      <c r="P53" s="230">
        <v>50.940988539115182</v>
      </c>
      <c r="Q53" s="230">
        <v>50.940988539115182</v>
      </c>
      <c r="R53" s="230">
        <v>50.940988539115182</v>
      </c>
      <c r="S53" s="231"/>
      <c r="T53" s="231"/>
      <c r="U53" s="231"/>
      <c r="V53" s="231"/>
      <c r="W53" s="231"/>
      <c r="X53" s="231"/>
      <c r="Y53" s="231"/>
      <c r="Z53" s="231"/>
      <c r="AA53" s="231"/>
      <c r="AB53" s="231"/>
    </row>
    <row r="54" spans="1:28" ht="15" x14ac:dyDescent="0.25">
      <c r="A54" s="229" t="s">
        <v>475</v>
      </c>
      <c r="B54" s="230"/>
      <c r="C54" s="230"/>
      <c r="D54" s="230">
        <v>50.940988539115182</v>
      </c>
      <c r="E54" s="230">
        <v>50.940988539115182</v>
      </c>
      <c r="F54" s="230">
        <v>50.940988539115182</v>
      </c>
      <c r="G54" s="230">
        <v>50.940988539115182</v>
      </c>
      <c r="H54" s="230">
        <v>50.940988539115182</v>
      </c>
      <c r="I54" s="230">
        <v>50.940988539115182</v>
      </c>
      <c r="J54" s="230">
        <v>50.940988539115182</v>
      </c>
      <c r="K54" s="230">
        <v>50.940988539115182</v>
      </c>
      <c r="L54" s="230">
        <v>50.940988539115182</v>
      </c>
      <c r="M54" s="230">
        <v>50.940988539115182</v>
      </c>
      <c r="N54" s="230">
        <v>50.940988539115182</v>
      </c>
      <c r="O54" s="230">
        <v>50.940988539115182</v>
      </c>
      <c r="P54" s="230">
        <v>50.940988539115182</v>
      </c>
      <c r="Q54" s="230">
        <v>50.940988539115182</v>
      </c>
      <c r="R54" s="230">
        <v>50.940988539115182</v>
      </c>
      <c r="S54" s="231"/>
      <c r="T54" s="231"/>
      <c r="U54" s="231"/>
      <c r="V54" s="231"/>
      <c r="W54" s="231"/>
      <c r="X54" s="231"/>
      <c r="Y54" s="231"/>
      <c r="Z54" s="231"/>
      <c r="AA54" s="231"/>
      <c r="AB54" s="231"/>
    </row>
    <row r="55" spans="1:28" ht="15" x14ac:dyDescent="0.25">
      <c r="A55" s="229" t="s">
        <v>476</v>
      </c>
      <c r="B55" s="230"/>
      <c r="C55" s="230"/>
      <c r="D55" s="230">
        <v>50.940988539115182</v>
      </c>
      <c r="E55" s="230">
        <v>50.940988539115182</v>
      </c>
      <c r="F55" s="230">
        <v>50.940988539115182</v>
      </c>
      <c r="G55" s="230">
        <v>50.940988539115182</v>
      </c>
      <c r="H55" s="230">
        <v>50.940988539115182</v>
      </c>
      <c r="I55" s="230">
        <v>50.940988539115182</v>
      </c>
      <c r="J55" s="230">
        <v>50.940988539115182</v>
      </c>
      <c r="K55" s="230">
        <v>50.940988539115182</v>
      </c>
      <c r="L55" s="230">
        <v>50.940988539115182</v>
      </c>
      <c r="M55" s="230">
        <v>50.940988539115182</v>
      </c>
      <c r="N55" s="230">
        <v>50.940988539115182</v>
      </c>
      <c r="O55" s="230">
        <v>50.940988539115182</v>
      </c>
      <c r="P55" s="230">
        <v>50.940988539115182</v>
      </c>
      <c r="Q55" s="230">
        <v>50.940988539115182</v>
      </c>
      <c r="R55" s="230">
        <v>50.940988539115182</v>
      </c>
      <c r="S55" s="231"/>
      <c r="T55" s="231"/>
      <c r="U55" s="231"/>
      <c r="V55" s="231"/>
      <c r="W55" s="231"/>
      <c r="X55" s="231"/>
      <c r="Y55" s="231"/>
      <c r="Z55" s="231"/>
      <c r="AA55" s="231"/>
      <c r="AB55" s="231"/>
    </row>
    <row r="56" spans="1:28" ht="15" x14ac:dyDescent="0.25">
      <c r="A56" s="229" t="s">
        <v>477</v>
      </c>
      <c r="B56" s="230"/>
      <c r="C56" s="230"/>
      <c r="D56" s="230">
        <v>50.940988539115182</v>
      </c>
      <c r="E56" s="230">
        <v>50.940988539115182</v>
      </c>
      <c r="F56" s="230">
        <v>50.940988539115182</v>
      </c>
      <c r="G56" s="230">
        <v>50.940988539115182</v>
      </c>
      <c r="H56" s="230">
        <v>50.940988539115182</v>
      </c>
      <c r="I56" s="230">
        <v>50.940988539115182</v>
      </c>
      <c r="J56" s="230">
        <v>50.940988539115182</v>
      </c>
      <c r="K56" s="230">
        <v>50.940988539115182</v>
      </c>
      <c r="L56" s="230">
        <v>50.940988539115182</v>
      </c>
      <c r="M56" s="230">
        <v>50.940988539115182</v>
      </c>
      <c r="N56" s="230">
        <v>50.940988539115182</v>
      </c>
      <c r="O56" s="230">
        <v>50.940988539115182</v>
      </c>
      <c r="P56" s="230">
        <v>50.940988539115182</v>
      </c>
      <c r="Q56" s="230">
        <v>50.940988539115182</v>
      </c>
      <c r="R56" s="230">
        <v>50.940988539115182</v>
      </c>
      <c r="S56" s="231"/>
      <c r="T56" s="231"/>
      <c r="U56" s="231"/>
      <c r="V56" s="231"/>
      <c r="W56" s="231"/>
      <c r="X56" s="231"/>
      <c r="Y56" s="231"/>
      <c r="Z56" s="231"/>
      <c r="AA56" s="231"/>
      <c r="AB56" s="231"/>
    </row>
    <row r="57" spans="1:28" ht="15" x14ac:dyDescent="0.25">
      <c r="A57" s="229" t="s">
        <v>478</v>
      </c>
      <c r="B57" s="230"/>
      <c r="C57" s="230"/>
      <c r="D57" s="230">
        <v>50.940988539115182</v>
      </c>
      <c r="E57" s="230">
        <v>50.940988539115182</v>
      </c>
      <c r="F57" s="230">
        <v>50.940988539115182</v>
      </c>
      <c r="G57" s="230">
        <v>50.940988539115182</v>
      </c>
      <c r="H57" s="230">
        <v>50.940988539115182</v>
      </c>
      <c r="I57" s="230">
        <v>50.940988539115182</v>
      </c>
      <c r="J57" s="230">
        <v>50.940988539115182</v>
      </c>
      <c r="K57" s="230">
        <v>50.940988539115182</v>
      </c>
      <c r="L57" s="230">
        <v>50.940988539115182</v>
      </c>
      <c r="M57" s="230">
        <v>50.940988539115182</v>
      </c>
      <c r="N57" s="230">
        <v>50.940988539115182</v>
      </c>
      <c r="O57" s="230">
        <v>50.940988539115182</v>
      </c>
      <c r="P57" s="230">
        <v>50.940988539115182</v>
      </c>
      <c r="Q57" s="230">
        <v>50.940988539115182</v>
      </c>
      <c r="R57" s="230">
        <v>50.940988539115182</v>
      </c>
      <c r="S57" s="231"/>
      <c r="T57" s="231"/>
      <c r="U57" s="231"/>
      <c r="V57" s="231"/>
      <c r="W57" s="231"/>
      <c r="X57" s="231"/>
      <c r="Y57" s="231"/>
      <c r="Z57" s="231"/>
      <c r="AA57" s="231"/>
      <c r="AB57" s="231"/>
    </row>
    <row r="58" spans="1:28" ht="15" x14ac:dyDescent="0.25">
      <c r="A58" s="229" t="s">
        <v>479</v>
      </c>
      <c r="B58" s="230"/>
      <c r="C58" s="230"/>
      <c r="D58" s="230">
        <v>50.940988539115182</v>
      </c>
      <c r="E58" s="230">
        <v>50.940988539115182</v>
      </c>
      <c r="F58" s="230">
        <v>50.940988539115182</v>
      </c>
      <c r="G58" s="230">
        <v>50.940988539115182</v>
      </c>
      <c r="H58" s="230">
        <v>50.940988539115182</v>
      </c>
      <c r="I58" s="230">
        <v>50.940988539115182</v>
      </c>
      <c r="J58" s="230">
        <v>50.940988539115182</v>
      </c>
      <c r="K58" s="230">
        <v>50.940988539115182</v>
      </c>
      <c r="L58" s="230">
        <v>50.940988539115182</v>
      </c>
      <c r="M58" s="230">
        <v>50.940988539115182</v>
      </c>
      <c r="N58" s="230">
        <v>50.940988539115182</v>
      </c>
      <c r="O58" s="230">
        <v>50.940988539115182</v>
      </c>
      <c r="P58" s="230">
        <v>50.940988539115182</v>
      </c>
      <c r="Q58" s="230">
        <v>50.940988539115182</v>
      </c>
      <c r="R58" s="230">
        <v>50.940988539115182</v>
      </c>
      <c r="S58" s="231"/>
      <c r="T58" s="231"/>
      <c r="U58" s="231"/>
      <c r="V58" s="231"/>
      <c r="W58" s="231"/>
      <c r="X58" s="231"/>
      <c r="Y58" s="231"/>
      <c r="Z58" s="231"/>
      <c r="AA58" s="231"/>
      <c r="AB58" s="231"/>
    </row>
    <row r="59" spans="1:28" ht="15" x14ac:dyDescent="0.25">
      <c r="A59" s="229" t="s">
        <v>480</v>
      </c>
      <c r="B59" s="230"/>
      <c r="C59" s="230"/>
      <c r="D59" s="230">
        <v>50.940988539115182</v>
      </c>
      <c r="E59" s="230">
        <v>50.940988539115182</v>
      </c>
      <c r="F59" s="230">
        <v>50.940988539115182</v>
      </c>
      <c r="G59" s="230">
        <v>50.940988539115182</v>
      </c>
      <c r="H59" s="230">
        <v>50.940988539115182</v>
      </c>
      <c r="I59" s="230">
        <v>50.940988539115182</v>
      </c>
      <c r="J59" s="230">
        <v>50.940988539115182</v>
      </c>
      <c r="K59" s="230">
        <v>50.940988539115182</v>
      </c>
      <c r="L59" s="230">
        <v>50.940988539115182</v>
      </c>
      <c r="M59" s="230">
        <v>50.940988539115182</v>
      </c>
      <c r="N59" s="230">
        <v>50.940988539115182</v>
      </c>
      <c r="O59" s="230">
        <v>50.940988539115182</v>
      </c>
      <c r="P59" s="230">
        <v>50.940988539115182</v>
      </c>
      <c r="Q59" s="230">
        <v>50.940988539115182</v>
      </c>
      <c r="R59" s="230">
        <v>50.940988539115182</v>
      </c>
      <c r="S59" s="230"/>
      <c r="T59" s="231"/>
      <c r="U59" s="231"/>
      <c r="V59" s="231"/>
      <c r="W59" s="231"/>
      <c r="X59" s="231"/>
      <c r="Y59" s="231"/>
      <c r="Z59" s="231"/>
      <c r="AA59" s="231"/>
      <c r="AB59" s="231"/>
    </row>
    <row r="60" spans="1:28" ht="15" x14ac:dyDescent="0.25">
      <c r="A60" s="229" t="s">
        <v>481</v>
      </c>
      <c r="B60" s="230"/>
      <c r="C60" s="230"/>
      <c r="D60" s="230">
        <v>50.940988539115182</v>
      </c>
      <c r="E60" s="230">
        <v>50.940988539115182</v>
      </c>
      <c r="F60" s="230">
        <v>50.940988539115182</v>
      </c>
      <c r="G60" s="230">
        <v>50.940988539115182</v>
      </c>
      <c r="H60" s="230">
        <v>50.940988539115182</v>
      </c>
      <c r="I60" s="230">
        <v>50.940988539115182</v>
      </c>
      <c r="J60" s="230">
        <v>50.940988539115182</v>
      </c>
      <c r="K60" s="230">
        <v>50.940988539115182</v>
      </c>
      <c r="L60" s="230">
        <v>50.940988539115182</v>
      </c>
      <c r="M60" s="230">
        <v>50.940988539115182</v>
      </c>
      <c r="N60" s="230">
        <v>50.940988539115182</v>
      </c>
      <c r="O60" s="230">
        <v>50.940988539115182</v>
      </c>
      <c r="P60" s="230">
        <v>50.940988539115182</v>
      </c>
      <c r="Q60" s="230">
        <v>50.940988539115182</v>
      </c>
      <c r="R60" s="230">
        <v>50.940988539115182</v>
      </c>
      <c r="S60" s="230"/>
      <c r="T60" s="231"/>
      <c r="U60" s="231"/>
      <c r="V60" s="231"/>
      <c r="W60" s="231"/>
      <c r="X60" s="231"/>
      <c r="Y60" s="231"/>
      <c r="Z60" s="231"/>
      <c r="AA60" s="231"/>
      <c r="AB60" s="231"/>
    </row>
    <row r="61" spans="1:28" ht="15" x14ac:dyDescent="0.25">
      <c r="A61" s="229" t="s">
        <v>482</v>
      </c>
      <c r="B61" s="230"/>
      <c r="C61" s="230"/>
      <c r="D61" s="230">
        <v>50.940988539115182</v>
      </c>
      <c r="E61" s="230">
        <v>50.940988539115182</v>
      </c>
      <c r="F61" s="230">
        <v>50.940988539115182</v>
      </c>
      <c r="G61" s="230">
        <v>50.940988539115182</v>
      </c>
      <c r="H61" s="230">
        <v>50.940988539115182</v>
      </c>
      <c r="I61" s="230">
        <v>50.940988539115182</v>
      </c>
      <c r="J61" s="230">
        <v>50.940988539115182</v>
      </c>
      <c r="K61" s="230">
        <v>50.940988539115182</v>
      </c>
      <c r="L61" s="230">
        <v>50.940988539115182</v>
      </c>
      <c r="M61" s="230">
        <v>50.940988539115182</v>
      </c>
      <c r="N61" s="230">
        <v>50.940988539115182</v>
      </c>
      <c r="O61" s="230">
        <v>50.940988539115182</v>
      </c>
      <c r="P61" s="230">
        <v>50.940988539115182</v>
      </c>
      <c r="Q61" s="230">
        <v>50.940988539115182</v>
      </c>
      <c r="R61" s="230">
        <v>50.940988539115182</v>
      </c>
      <c r="S61" s="230"/>
      <c r="T61" s="231"/>
      <c r="U61" s="231"/>
      <c r="V61" s="231"/>
      <c r="W61" s="231"/>
      <c r="X61" s="231"/>
      <c r="Y61" s="231"/>
      <c r="Z61" s="231"/>
      <c r="AA61" s="231"/>
      <c r="AB61" s="231"/>
    </row>
    <row r="62" spans="1:28" ht="15" x14ac:dyDescent="0.25">
      <c r="A62" s="229" t="s">
        <v>483</v>
      </c>
      <c r="B62" s="230"/>
      <c r="C62" s="230"/>
      <c r="D62" s="230">
        <v>50.940988539115182</v>
      </c>
      <c r="E62" s="230">
        <v>50.940988539115182</v>
      </c>
      <c r="F62" s="230">
        <v>50.940988539115182</v>
      </c>
      <c r="G62" s="230">
        <v>50.940988539115182</v>
      </c>
      <c r="H62" s="230">
        <v>50.940988539115182</v>
      </c>
      <c r="I62" s="230">
        <v>50.940988539115182</v>
      </c>
      <c r="J62" s="230">
        <v>50.940988539115182</v>
      </c>
      <c r="K62" s="230">
        <v>50.940988539115182</v>
      </c>
      <c r="L62" s="230">
        <v>50.940988539115182</v>
      </c>
      <c r="M62" s="230">
        <v>50.940988539115182</v>
      </c>
      <c r="N62" s="230">
        <v>50.940988539115182</v>
      </c>
      <c r="O62" s="230">
        <v>50.940988539115182</v>
      </c>
      <c r="P62" s="230">
        <v>50.940988539115182</v>
      </c>
      <c r="Q62" s="230">
        <v>50.940988539115182</v>
      </c>
      <c r="R62" s="230">
        <v>50.940988539115182</v>
      </c>
      <c r="S62" s="230"/>
      <c r="T62" s="231"/>
      <c r="U62" s="231"/>
      <c r="V62" s="231"/>
      <c r="W62" s="231"/>
      <c r="X62" s="231"/>
      <c r="Y62" s="231"/>
      <c r="Z62" s="231"/>
      <c r="AA62" s="231"/>
      <c r="AB62" s="231"/>
    </row>
    <row r="63" spans="1:28" ht="15" x14ac:dyDescent="0.25">
      <c r="A63" s="229" t="s">
        <v>484</v>
      </c>
      <c r="B63" s="230"/>
      <c r="C63" s="231"/>
      <c r="D63" s="230">
        <v>50.940988539115182</v>
      </c>
      <c r="E63" s="230">
        <v>50.940988539115182</v>
      </c>
      <c r="F63" s="230">
        <v>50.940988539115182</v>
      </c>
      <c r="G63" s="230">
        <v>50.940988539115182</v>
      </c>
      <c r="H63" s="230">
        <v>50.940988539115182</v>
      </c>
      <c r="I63" s="230">
        <v>50.940988539115182</v>
      </c>
      <c r="J63" s="230">
        <v>50.940988539115182</v>
      </c>
      <c r="K63" s="230">
        <v>50.940988539115182</v>
      </c>
      <c r="L63" s="230">
        <v>50.940988539115182</v>
      </c>
      <c r="M63" s="230">
        <v>50.940988539115182</v>
      </c>
      <c r="N63" s="230">
        <v>50.940988539115182</v>
      </c>
      <c r="O63" s="230">
        <v>50.940988539115182</v>
      </c>
      <c r="P63" s="230">
        <v>50.940988539115182</v>
      </c>
      <c r="Q63" s="230">
        <v>50.940988539115182</v>
      </c>
      <c r="R63" s="230">
        <v>50.940988539115182</v>
      </c>
      <c r="S63" s="230"/>
      <c r="T63" s="230"/>
      <c r="U63" s="231"/>
      <c r="V63" s="231"/>
      <c r="W63" s="231"/>
      <c r="X63" s="231"/>
      <c r="Y63" s="231"/>
      <c r="Z63" s="231"/>
      <c r="AA63" s="231"/>
      <c r="AB63" s="231"/>
    </row>
    <row r="64" spans="1:28" ht="15" x14ac:dyDescent="0.25">
      <c r="A64" s="229" t="s">
        <v>485</v>
      </c>
      <c r="B64" s="230"/>
      <c r="C64" s="231"/>
      <c r="D64" s="230"/>
      <c r="E64" s="230">
        <v>50.940988539115182</v>
      </c>
      <c r="F64" s="230">
        <v>50.940988539115182</v>
      </c>
      <c r="G64" s="230">
        <v>50.940988539115182</v>
      </c>
      <c r="H64" s="230">
        <v>50.940988539115182</v>
      </c>
      <c r="I64" s="230">
        <v>50.940988539115182</v>
      </c>
      <c r="J64" s="230">
        <v>50.940988539115182</v>
      </c>
      <c r="K64" s="230">
        <v>50.940988539115182</v>
      </c>
      <c r="L64" s="230">
        <v>50.940988539115182</v>
      </c>
      <c r="M64" s="230">
        <v>50.940988539115182</v>
      </c>
      <c r="N64" s="230">
        <v>50.940988539115182</v>
      </c>
      <c r="O64" s="230">
        <v>50.940988539115182</v>
      </c>
      <c r="P64" s="230">
        <v>50.940988539115182</v>
      </c>
      <c r="Q64" s="230">
        <v>50.940988539115182</v>
      </c>
      <c r="R64" s="230">
        <v>50.940988539115182</v>
      </c>
      <c r="S64" s="230">
        <v>50.940988539115182</v>
      </c>
      <c r="T64" s="230"/>
      <c r="U64" s="231"/>
      <c r="V64" s="231"/>
      <c r="W64" s="231"/>
      <c r="X64" s="231"/>
      <c r="Y64" s="231"/>
      <c r="Z64" s="231"/>
      <c r="AA64" s="231"/>
      <c r="AB64" s="231"/>
    </row>
    <row r="65" spans="1:28" ht="15" x14ac:dyDescent="0.25">
      <c r="A65" s="229" t="s">
        <v>486</v>
      </c>
      <c r="B65" s="230"/>
      <c r="C65" s="231"/>
      <c r="D65" s="230"/>
      <c r="E65" s="230">
        <v>50.940988539115182</v>
      </c>
      <c r="F65" s="230">
        <v>50.940988539115182</v>
      </c>
      <c r="G65" s="230">
        <v>50.940988539115182</v>
      </c>
      <c r="H65" s="230">
        <v>50.940988539115182</v>
      </c>
      <c r="I65" s="230">
        <v>50.940988539115182</v>
      </c>
      <c r="J65" s="230">
        <v>50.940988539115182</v>
      </c>
      <c r="K65" s="230">
        <v>50.940988539115182</v>
      </c>
      <c r="L65" s="230">
        <v>50.940988539115182</v>
      </c>
      <c r="M65" s="230">
        <v>50.940988539115182</v>
      </c>
      <c r="N65" s="230">
        <v>50.940988539115182</v>
      </c>
      <c r="O65" s="230">
        <v>50.940988539115182</v>
      </c>
      <c r="P65" s="230">
        <v>50.940988539115182</v>
      </c>
      <c r="Q65" s="230">
        <v>50.940988539115182</v>
      </c>
      <c r="R65" s="230">
        <v>50.940988539115182</v>
      </c>
      <c r="S65" s="230">
        <v>50.940988539115182</v>
      </c>
      <c r="T65" s="230"/>
      <c r="U65" s="231"/>
      <c r="V65" s="231"/>
      <c r="W65" s="231"/>
      <c r="X65" s="231"/>
      <c r="Y65" s="231"/>
      <c r="Z65" s="231"/>
      <c r="AA65" s="231"/>
      <c r="AB65" s="231"/>
    </row>
    <row r="66" spans="1:28" ht="15" x14ac:dyDescent="0.25">
      <c r="A66" s="229" t="s">
        <v>487</v>
      </c>
      <c r="B66" s="230"/>
      <c r="C66" s="231"/>
      <c r="D66" s="230"/>
      <c r="E66" s="230">
        <v>50.940988539115182</v>
      </c>
      <c r="F66" s="230">
        <v>50.940988539115182</v>
      </c>
      <c r="G66" s="230">
        <v>50.940988539115182</v>
      </c>
      <c r="H66" s="230">
        <v>50.940988539115182</v>
      </c>
      <c r="I66" s="230">
        <v>50.940988539115182</v>
      </c>
      <c r="J66" s="230">
        <v>50.940988539115182</v>
      </c>
      <c r="K66" s="230">
        <v>50.940988539115182</v>
      </c>
      <c r="L66" s="230">
        <v>50.940988539115182</v>
      </c>
      <c r="M66" s="230">
        <v>50.940988539115182</v>
      </c>
      <c r="N66" s="230">
        <v>50.940988539115182</v>
      </c>
      <c r="O66" s="230">
        <v>50.940988539115182</v>
      </c>
      <c r="P66" s="230">
        <v>50.940988539115182</v>
      </c>
      <c r="Q66" s="230">
        <v>50.940988539115182</v>
      </c>
      <c r="R66" s="230">
        <v>50.940988539115182</v>
      </c>
      <c r="S66" s="230">
        <v>50.940988539115182</v>
      </c>
      <c r="T66" s="230"/>
      <c r="U66" s="231"/>
      <c r="V66" s="231"/>
      <c r="W66" s="231"/>
      <c r="X66" s="231"/>
      <c r="Y66" s="231"/>
      <c r="Z66" s="231"/>
      <c r="AA66" s="231"/>
      <c r="AB66" s="231"/>
    </row>
    <row r="67" spans="1:28" ht="15" x14ac:dyDescent="0.25">
      <c r="A67" s="229" t="s">
        <v>488</v>
      </c>
      <c r="B67" s="230"/>
      <c r="C67" s="231"/>
      <c r="D67" s="230"/>
      <c r="E67" s="230">
        <v>50.940988539115182</v>
      </c>
      <c r="F67" s="230">
        <v>50.940988539115182</v>
      </c>
      <c r="G67" s="230">
        <v>50.940988539115182</v>
      </c>
      <c r="H67" s="230">
        <v>50.940988539115182</v>
      </c>
      <c r="I67" s="230">
        <v>50.940988539115182</v>
      </c>
      <c r="J67" s="230">
        <v>50.940988539115182</v>
      </c>
      <c r="K67" s="230">
        <v>50.940988539115182</v>
      </c>
      <c r="L67" s="230">
        <v>50.940988539115182</v>
      </c>
      <c r="M67" s="230">
        <v>50.940988539115182</v>
      </c>
      <c r="N67" s="230">
        <v>50.940988539115182</v>
      </c>
      <c r="O67" s="230">
        <v>50.940988539115182</v>
      </c>
      <c r="P67" s="230">
        <v>50.940988539115182</v>
      </c>
      <c r="Q67" s="230">
        <v>50.940988539115182</v>
      </c>
      <c r="R67" s="230">
        <v>50.940988539115182</v>
      </c>
      <c r="S67" s="230">
        <v>50.940988539115182</v>
      </c>
      <c r="T67" s="230"/>
      <c r="U67" s="231"/>
      <c r="V67" s="231"/>
      <c r="W67" s="231"/>
      <c r="X67" s="231"/>
      <c r="Y67" s="231"/>
      <c r="Z67" s="231"/>
      <c r="AA67" s="231"/>
      <c r="AB67" s="231"/>
    </row>
    <row r="68" spans="1:28" ht="15" x14ac:dyDescent="0.25">
      <c r="A68" s="229" t="s">
        <v>489</v>
      </c>
      <c r="B68" s="230"/>
      <c r="C68" s="231"/>
      <c r="D68" s="230"/>
      <c r="E68" s="230">
        <v>50.940988539115182</v>
      </c>
      <c r="F68" s="230">
        <v>50.940988539115182</v>
      </c>
      <c r="G68" s="230">
        <v>50.940988539115182</v>
      </c>
      <c r="H68" s="230">
        <v>50.940988539115182</v>
      </c>
      <c r="I68" s="230">
        <v>50.940988539115182</v>
      </c>
      <c r="J68" s="230">
        <v>50.940988539115182</v>
      </c>
      <c r="K68" s="230">
        <v>50.940988539115182</v>
      </c>
      <c r="L68" s="230">
        <v>50.940988539115182</v>
      </c>
      <c r="M68" s="230">
        <v>50.940988539115182</v>
      </c>
      <c r="N68" s="230">
        <v>50.940988539115182</v>
      </c>
      <c r="O68" s="230">
        <v>50.940988539115182</v>
      </c>
      <c r="P68" s="230">
        <v>50.940988539115182</v>
      </c>
      <c r="Q68" s="230">
        <v>50.940988539115182</v>
      </c>
      <c r="R68" s="230">
        <v>50.940988539115182</v>
      </c>
      <c r="S68" s="230">
        <v>50.940988539115182</v>
      </c>
      <c r="T68" s="230"/>
      <c r="U68" s="231"/>
      <c r="V68" s="231"/>
      <c r="W68" s="231"/>
      <c r="X68" s="231"/>
      <c r="Y68" s="231"/>
      <c r="Z68" s="231"/>
      <c r="AA68" s="231"/>
      <c r="AB68" s="231"/>
    </row>
    <row r="69" spans="1:28" ht="15" x14ac:dyDescent="0.25">
      <c r="A69" s="229" t="s">
        <v>490</v>
      </c>
      <c r="B69" s="230"/>
      <c r="C69" s="231"/>
      <c r="D69" s="230"/>
      <c r="E69" s="230">
        <v>50.940988539115182</v>
      </c>
      <c r="F69" s="230">
        <v>50.940988539115182</v>
      </c>
      <c r="G69" s="230">
        <v>50.940988539115182</v>
      </c>
      <c r="H69" s="230">
        <v>50.940988539115182</v>
      </c>
      <c r="I69" s="230">
        <v>50.940988539115182</v>
      </c>
      <c r="J69" s="230">
        <v>50.940988539115182</v>
      </c>
      <c r="K69" s="230">
        <v>50.940988539115182</v>
      </c>
      <c r="L69" s="230">
        <v>50.940988539115182</v>
      </c>
      <c r="M69" s="230">
        <v>50.940988539115182</v>
      </c>
      <c r="N69" s="230">
        <v>50.940988539115182</v>
      </c>
      <c r="O69" s="230">
        <v>50.940988539115182</v>
      </c>
      <c r="P69" s="230">
        <v>50.940988539115182</v>
      </c>
      <c r="Q69" s="230">
        <v>50.940988539115182</v>
      </c>
      <c r="R69" s="230">
        <v>50.940988539115182</v>
      </c>
      <c r="S69" s="230">
        <v>50.940988539115182</v>
      </c>
      <c r="T69" s="230"/>
      <c r="U69" s="231"/>
      <c r="V69" s="231"/>
      <c r="W69" s="231"/>
      <c r="X69" s="231"/>
      <c r="Y69" s="231"/>
      <c r="Z69" s="231"/>
      <c r="AA69" s="231"/>
      <c r="AB69" s="231"/>
    </row>
    <row r="70" spans="1:28" ht="15" x14ac:dyDescent="0.25">
      <c r="A70" s="229" t="s">
        <v>491</v>
      </c>
      <c r="B70" s="230"/>
      <c r="C70" s="231"/>
      <c r="D70" s="230"/>
      <c r="E70" s="230">
        <v>50.940988539115182</v>
      </c>
      <c r="F70" s="230">
        <v>50.940988539115182</v>
      </c>
      <c r="G70" s="230">
        <v>50.940988539115182</v>
      </c>
      <c r="H70" s="230">
        <v>50.940988539115182</v>
      </c>
      <c r="I70" s="230">
        <v>50.940988539115182</v>
      </c>
      <c r="J70" s="230">
        <v>50.940988539115182</v>
      </c>
      <c r="K70" s="230">
        <v>50.940988539115182</v>
      </c>
      <c r="L70" s="230">
        <v>50.940988539115182</v>
      </c>
      <c r="M70" s="230">
        <v>50.940988539115182</v>
      </c>
      <c r="N70" s="230">
        <v>50.940988539115182</v>
      </c>
      <c r="O70" s="230">
        <v>50.940988539115182</v>
      </c>
      <c r="P70" s="230">
        <v>50.940988539115182</v>
      </c>
      <c r="Q70" s="230">
        <v>50.940988539115182</v>
      </c>
      <c r="R70" s="230">
        <v>50.940988539115182</v>
      </c>
      <c r="S70" s="230">
        <v>50.940988539115182</v>
      </c>
      <c r="T70" s="230"/>
      <c r="U70" s="231"/>
      <c r="V70" s="231"/>
      <c r="W70" s="231"/>
      <c r="X70" s="231"/>
      <c r="Y70" s="231"/>
      <c r="Z70" s="231"/>
      <c r="AA70" s="231"/>
      <c r="AB70" s="231"/>
    </row>
    <row r="71" spans="1:28" ht="15" x14ac:dyDescent="0.25">
      <c r="A71" s="229" t="s">
        <v>492</v>
      </c>
      <c r="B71" s="230"/>
      <c r="C71" s="231"/>
      <c r="D71" s="230"/>
      <c r="E71" s="230">
        <v>50.940988539115182</v>
      </c>
      <c r="F71" s="230">
        <v>50.940988539115182</v>
      </c>
      <c r="G71" s="230">
        <v>50.940988539115182</v>
      </c>
      <c r="H71" s="230">
        <v>50.940988539115182</v>
      </c>
      <c r="I71" s="230">
        <v>50.940988539115182</v>
      </c>
      <c r="J71" s="230">
        <v>50.940988539115182</v>
      </c>
      <c r="K71" s="230">
        <v>50.940988539115182</v>
      </c>
      <c r="L71" s="230">
        <v>50.940988539115182</v>
      </c>
      <c r="M71" s="230">
        <v>50.940988539115182</v>
      </c>
      <c r="N71" s="230">
        <v>50.940988539115182</v>
      </c>
      <c r="O71" s="230">
        <v>50.940988539115182</v>
      </c>
      <c r="P71" s="230">
        <v>50.940988539115182</v>
      </c>
      <c r="Q71" s="230">
        <v>50.940988539115182</v>
      </c>
      <c r="R71" s="230">
        <v>50.940988539115182</v>
      </c>
      <c r="S71" s="230">
        <v>50.940988539115182</v>
      </c>
      <c r="T71" s="230"/>
      <c r="U71" s="230"/>
      <c r="V71" s="231"/>
      <c r="W71" s="231"/>
      <c r="X71" s="231"/>
      <c r="Y71" s="231"/>
      <c r="Z71" s="231"/>
      <c r="AA71" s="231"/>
      <c r="AB71" s="231"/>
    </row>
    <row r="72" spans="1:28" ht="15" x14ac:dyDescent="0.25">
      <c r="A72" s="229" t="s">
        <v>493</v>
      </c>
      <c r="B72" s="230"/>
      <c r="C72" s="231"/>
      <c r="D72" s="230"/>
      <c r="E72" s="230">
        <v>50.940988539115182</v>
      </c>
      <c r="F72" s="230">
        <v>50.940988539115182</v>
      </c>
      <c r="G72" s="230">
        <v>50.940988539115182</v>
      </c>
      <c r="H72" s="230">
        <v>50.940988539115182</v>
      </c>
      <c r="I72" s="230">
        <v>50.940988539115182</v>
      </c>
      <c r="J72" s="230">
        <v>50.940988539115182</v>
      </c>
      <c r="K72" s="230">
        <v>50.940988539115182</v>
      </c>
      <c r="L72" s="230">
        <v>50.940988539115182</v>
      </c>
      <c r="M72" s="230">
        <v>50.940988539115182</v>
      </c>
      <c r="N72" s="230">
        <v>50.940988539115182</v>
      </c>
      <c r="O72" s="230">
        <v>50.940988539115182</v>
      </c>
      <c r="P72" s="230">
        <v>50.940988539115182</v>
      </c>
      <c r="Q72" s="230">
        <v>50.940988539115182</v>
      </c>
      <c r="R72" s="230">
        <v>50.940988539115182</v>
      </c>
      <c r="S72" s="230">
        <v>50.940988539115182</v>
      </c>
      <c r="T72" s="230"/>
      <c r="U72" s="230"/>
      <c r="V72" s="231"/>
      <c r="W72" s="231"/>
      <c r="X72" s="231"/>
      <c r="Y72" s="231"/>
      <c r="Z72" s="231"/>
      <c r="AA72" s="231"/>
      <c r="AB72" s="231"/>
    </row>
    <row r="73" spans="1:28" ht="15" x14ac:dyDescent="0.25">
      <c r="A73" s="229" t="s">
        <v>503</v>
      </c>
      <c r="B73" s="230"/>
      <c r="C73" s="231"/>
      <c r="D73" s="231"/>
      <c r="E73" s="230">
        <v>50.940988539115182</v>
      </c>
      <c r="F73" s="230">
        <v>50.940988539115182</v>
      </c>
      <c r="G73" s="230">
        <v>50.940988539115182</v>
      </c>
      <c r="H73" s="230">
        <v>50.940988539115182</v>
      </c>
      <c r="I73" s="230">
        <v>50.940988539115182</v>
      </c>
      <c r="J73" s="230">
        <v>50.940988539115182</v>
      </c>
      <c r="K73" s="230">
        <v>50.940988539115182</v>
      </c>
      <c r="L73" s="230">
        <v>50.940988539115182</v>
      </c>
      <c r="M73" s="230">
        <v>50.940988539115182</v>
      </c>
      <c r="N73" s="230">
        <v>50.940988539115182</v>
      </c>
      <c r="O73" s="230">
        <v>50.940988539115182</v>
      </c>
      <c r="P73" s="230">
        <v>50.940988539115182</v>
      </c>
      <c r="Q73" s="230">
        <v>50.940988539115182</v>
      </c>
      <c r="R73" s="230">
        <v>50.940988539115182</v>
      </c>
      <c r="S73" s="230">
        <v>50.940988539115182</v>
      </c>
      <c r="T73" s="230"/>
      <c r="U73" s="230"/>
      <c r="V73" s="231"/>
      <c r="W73" s="231"/>
      <c r="X73" s="231"/>
      <c r="Y73" s="231"/>
      <c r="Z73" s="231"/>
      <c r="AA73" s="231"/>
      <c r="AB73" s="231"/>
    </row>
    <row r="74" spans="1:28" ht="15" x14ac:dyDescent="0.25">
      <c r="A74" s="229" t="s">
        <v>504</v>
      </c>
      <c r="B74" s="230"/>
      <c r="C74" s="231"/>
      <c r="D74" s="231"/>
      <c r="E74" s="230">
        <v>50.940988539115182</v>
      </c>
      <c r="F74" s="230">
        <v>50.940988539115182</v>
      </c>
      <c r="G74" s="230">
        <v>50.940988539115182</v>
      </c>
      <c r="H74" s="230">
        <v>50.940988539115182</v>
      </c>
      <c r="I74" s="230">
        <v>50.940988539115182</v>
      </c>
      <c r="J74" s="230">
        <v>50.940988539115182</v>
      </c>
      <c r="K74" s="230">
        <v>50.940988539115182</v>
      </c>
      <c r="L74" s="230">
        <v>50.940988539115182</v>
      </c>
      <c r="M74" s="230">
        <v>50.940988539115182</v>
      </c>
      <c r="N74" s="230">
        <v>50.940988539115182</v>
      </c>
      <c r="O74" s="230">
        <v>50.940988539115182</v>
      </c>
      <c r="P74" s="230">
        <v>50.940988539115182</v>
      </c>
      <c r="Q74" s="230">
        <v>50.940988539115182</v>
      </c>
      <c r="R74" s="230">
        <v>50.940988539115182</v>
      </c>
      <c r="S74" s="230">
        <v>50.940988539115182</v>
      </c>
      <c r="T74" s="230"/>
      <c r="U74" s="230"/>
      <c r="V74" s="231"/>
      <c r="W74" s="231"/>
      <c r="X74" s="231"/>
      <c r="Y74" s="231"/>
      <c r="Z74" s="231"/>
      <c r="AA74" s="231"/>
      <c r="AB74" s="231"/>
    </row>
    <row r="75" spans="1:28" ht="15" x14ac:dyDescent="0.25">
      <c r="A75" s="229" t="s">
        <v>505</v>
      </c>
      <c r="B75" s="230"/>
      <c r="C75" s="231"/>
      <c r="D75" s="231"/>
      <c r="E75" s="230">
        <v>50.940988539115182</v>
      </c>
      <c r="F75" s="230">
        <v>50.940988539115182</v>
      </c>
      <c r="G75" s="230">
        <v>50.940988539115182</v>
      </c>
      <c r="H75" s="230">
        <v>50.940988539115182</v>
      </c>
      <c r="I75" s="230">
        <v>50.940988539115182</v>
      </c>
      <c r="J75" s="230">
        <v>50.940988539115182</v>
      </c>
      <c r="K75" s="230">
        <v>50.940988539115182</v>
      </c>
      <c r="L75" s="230">
        <v>50.940988539115182</v>
      </c>
      <c r="M75" s="230">
        <v>50.940988539115182</v>
      </c>
      <c r="N75" s="230">
        <v>50.940988539115182</v>
      </c>
      <c r="O75" s="230">
        <v>50.940988539115182</v>
      </c>
      <c r="P75" s="230">
        <v>50.940988539115182</v>
      </c>
      <c r="Q75" s="230">
        <v>50.940988539115182</v>
      </c>
      <c r="R75" s="230">
        <v>50.940988539115182</v>
      </c>
      <c r="S75" s="230">
        <v>50.940988539115182</v>
      </c>
      <c r="T75" s="230"/>
      <c r="U75" s="230"/>
      <c r="V75" s="231"/>
      <c r="W75" s="231"/>
      <c r="X75" s="231"/>
      <c r="Y75" s="231"/>
      <c r="Z75" s="231"/>
      <c r="AA75" s="231"/>
      <c r="AB75" s="231"/>
    </row>
    <row r="76" spans="1:28" ht="15" x14ac:dyDescent="0.25">
      <c r="A76" s="229" t="s">
        <v>506</v>
      </c>
      <c r="B76" s="230"/>
      <c r="C76" s="231"/>
      <c r="D76" s="231"/>
      <c r="E76" s="230"/>
      <c r="F76" s="230">
        <v>50.940988539115182</v>
      </c>
      <c r="G76" s="230">
        <v>50.940988539115182</v>
      </c>
      <c r="H76" s="230">
        <v>50.940988539115182</v>
      </c>
      <c r="I76" s="230">
        <v>50.940988539115182</v>
      </c>
      <c r="J76" s="230">
        <v>50.940988539115182</v>
      </c>
      <c r="K76" s="230">
        <v>50.940988539115182</v>
      </c>
      <c r="L76" s="230">
        <v>50.940988539115182</v>
      </c>
      <c r="M76" s="230">
        <v>50.940988539115182</v>
      </c>
      <c r="N76" s="230">
        <v>50.940988539115182</v>
      </c>
      <c r="O76" s="230">
        <v>50.940988539115182</v>
      </c>
      <c r="P76" s="230">
        <v>50.940988539115182</v>
      </c>
      <c r="Q76" s="230">
        <v>50.940988539115182</v>
      </c>
      <c r="R76" s="230">
        <v>50.940988539115182</v>
      </c>
      <c r="S76" s="230">
        <v>50.940988539115182</v>
      </c>
      <c r="T76" s="230">
        <v>50.940988539115182</v>
      </c>
      <c r="U76" s="230"/>
      <c r="V76" s="231"/>
      <c r="W76" s="231"/>
      <c r="X76" s="231"/>
      <c r="Y76" s="231"/>
      <c r="Z76" s="231"/>
      <c r="AA76" s="231"/>
      <c r="AB76" s="231"/>
    </row>
    <row r="77" spans="1:28" ht="15" x14ac:dyDescent="0.25">
      <c r="A77" s="229" t="s">
        <v>507</v>
      </c>
      <c r="B77" s="230"/>
      <c r="C77" s="231"/>
      <c r="D77" s="231"/>
      <c r="E77" s="230"/>
      <c r="F77" s="230">
        <v>50.940988539115182</v>
      </c>
      <c r="G77" s="230">
        <v>50.940988539115182</v>
      </c>
      <c r="H77" s="230">
        <v>50.940988539115182</v>
      </c>
      <c r="I77" s="230">
        <v>50.940988539115182</v>
      </c>
      <c r="J77" s="230">
        <v>50.940988539115182</v>
      </c>
      <c r="K77" s="230">
        <v>50.940988539115182</v>
      </c>
      <c r="L77" s="230">
        <v>50.940988539115182</v>
      </c>
      <c r="M77" s="230">
        <v>50.940988539115182</v>
      </c>
      <c r="N77" s="230">
        <v>50.940988539115182</v>
      </c>
      <c r="O77" s="230">
        <v>50.940988539115182</v>
      </c>
      <c r="P77" s="230">
        <v>50.940988539115182</v>
      </c>
      <c r="Q77" s="230">
        <v>50.940988539115182</v>
      </c>
      <c r="R77" s="230">
        <v>50.940988539115182</v>
      </c>
      <c r="S77" s="230">
        <v>50.940988539115182</v>
      </c>
      <c r="T77" s="230">
        <v>50.940988539115182</v>
      </c>
      <c r="U77" s="230"/>
      <c r="V77" s="231"/>
      <c r="W77" s="231"/>
      <c r="X77" s="231"/>
      <c r="Y77" s="231"/>
      <c r="Z77" s="231"/>
      <c r="AA77" s="231"/>
      <c r="AB77" s="231"/>
    </row>
    <row r="78" spans="1:28" ht="15" x14ac:dyDescent="0.25">
      <c r="A78" s="229" t="s">
        <v>508</v>
      </c>
      <c r="B78" s="230"/>
      <c r="C78" s="231"/>
      <c r="D78" s="231"/>
      <c r="E78" s="230"/>
      <c r="F78" s="230">
        <v>50.940988539115182</v>
      </c>
      <c r="G78" s="230">
        <v>50.940988539115182</v>
      </c>
      <c r="H78" s="230">
        <v>50.940988539115182</v>
      </c>
      <c r="I78" s="230">
        <v>50.940988539115182</v>
      </c>
      <c r="J78" s="230">
        <v>50.940988539115182</v>
      </c>
      <c r="K78" s="230">
        <v>50.940988539115182</v>
      </c>
      <c r="L78" s="230">
        <v>50.940988539115182</v>
      </c>
      <c r="M78" s="230">
        <v>50.940988539115182</v>
      </c>
      <c r="N78" s="230">
        <v>50.940988539115182</v>
      </c>
      <c r="O78" s="230">
        <v>50.940988539115182</v>
      </c>
      <c r="P78" s="230">
        <v>50.940988539115182</v>
      </c>
      <c r="Q78" s="230">
        <v>50.940988539115182</v>
      </c>
      <c r="R78" s="230">
        <v>50.940988539115182</v>
      </c>
      <c r="S78" s="230">
        <v>50.940988539115182</v>
      </c>
      <c r="T78" s="230">
        <v>50.940988539115182</v>
      </c>
      <c r="U78" s="230"/>
      <c r="V78" s="231"/>
      <c r="W78" s="231"/>
      <c r="X78" s="231"/>
      <c r="Y78" s="231"/>
      <c r="Z78" s="231"/>
      <c r="AA78" s="231"/>
      <c r="AB78" s="231"/>
    </row>
    <row r="79" spans="1:28" ht="15" x14ac:dyDescent="0.25">
      <c r="A79" s="229" t="s">
        <v>509</v>
      </c>
      <c r="B79" s="230"/>
      <c r="C79" s="231"/>
      <c r="D79" s="231"/>
      <c r="E79" s="230"/>
      <c r="F79" s="230">
        <v>50.940988539115182</v>
      </c>
      <c r="G79" s="230">
        <v>50.940988539115182</v>
      </c>
      <c r="H79" s="230">
        <v>50.940988539115182</v>
      </c>
      <c r="I79" s="230">
        <v>50.940988539115182</v>
      </c>
      <c r="J79" s="230">
        <v>50.940988539115182</v>
      </c>
      <c r="K79" s="230">
        <v>50.940988539115182</v>
      </c>
      <c r="L79" s="230">
        <v>50.940988539115182</v>
      </c>
      <c r="M79" s="230">
        <v>50.940988539115182</v>
      </c>
      <c r="N79" s="230">
        <v>50.940988539115182</v>
      </c>
      <c r="O79" s="230">
        <v>50.940988539115182</v>
      </c>
      <c r="P79" s="230">
        <v>50.940988539115182</v>
      </c>
      <c r="Q79" s="230">
        <v>50.940988539115182</v>
      </c>
      <c r="R79" s="230">
        <v>50.940988539115182</v>
      </c>
      <c r="S79" s="230">
        <v>50.940988539115182</v>
      </c>
      <c r="T79" s="230">
        <v>50.940988539115182</v>
      </c>
      <c r="U79" s="230"/>
      <c r="V79" s="231"/>
      <c r="W79" s="231"/>
      <c r="X79" s="231"/>
      <c r="Y79" s="231"/>
      <c r="Z79" s="231"/>
      <c r="AA79" s="231"/>
      <c r="AB79" s="231"/>
    </row>
    <row r="80" spans="1:28" ht="15" x14ac:dyDescent="0.25">
      <c r="A80" s="229" t="s">
        <v>510</v>
      </c>
      <c r="B80" s="230"/>
      <c r="C80" s="231"/>
      <c r="D80" s="231"/>
      <c r="E80" s="230"/>
      <c r="F80" s="230">
        <v>50.940988539115182</v>
      </c>
      <c r="G80" s="230">
        <v>50.940988539115182</v>
      </c>
      <c r="H80" s="230">
        <v>50.940988539115182</v>
      </c>
      <c r="I80" s="230">
        <v>50.940988539115182</v>
      </c>
      <c r="J80" s="230">
        <v>50.940988539115182</v>
      </c>
      <c r="K80" s="230">
        <v>50.940988539115182</v>
      </c>
      <c r="L80" s="230">
        <v>50.940988539115182</v>
      </c>
      <c r="M80" s="230">
        <v>50.940988539115182</v>
      </c>
      <c r="N80" s="230">
        <v>50.940988539115182</v>
      </c>
      <c r="O80" s="230">
        <v>50.940988539115182</v>
      </c>
      <c r="P80" s="230">
        <v>50.940988539115182</v>
      </c>
      <c r="Q80" s="230">
        <v>50.940988539115182</v>
      </c>
      <c r="R80" s="230">
        <v>50.940988539115182</v>
      </c>
      <c r="S80" s="230">
        <v>50.940988539115182</v>
      </c>
      <c r="T80" s="230">
        <v>50.940988539115182</v>
      </c>
      <c r="U80" s="230"/>
      <c r="V80" s="231"/>
      <c r="W80" s="231"/>
      <c r="X80" s="231"/>
      <c r="Y80" s="231"/>
      <c r="Z80" s="231"/>
      <c r="AA80" s="231"/>
      <c r="AB80" s="231"/>
    </row>
    <row r="81" spans="1:28" ht="15" x14ac:dyDescent="0.25">
      <c r="A81" s="229" t="s">
        <v>511</v>
      </c>
      <c r="B81" s="230"/>
      <c r="C81" s="231"/>
      <c r="D81" s="231"/>
      <c r="E81" s="230"/>
      <c r="F81" s="230">
        <v>50.940988539115182</v>
      </c>
      <c r="G81" s="230">
        <v>50.940988539115182</v>
      </c>
      <c r="H81" s="230">
        <v>50.940988539115182</v>
      </c>
      <c r="I81" s="230">
        <v>50.940988539115182</v>
      </c>
      <c r="J81" s="230">
        <v>50.940988539115182</v>
      </c>
      <c r="K81" s="230">
        <v>50.940988539115182</v>
      </c>
      <c r="L81" s="230">
        <v>50.940988539115182</v>
      </c>
      <c r="M81" s="230">
        <v>50.940988539115182</v>
      </c>
      <c r="N81" s="230">
        <v>50.940988539115182</v>
      </c>
      <c r="O81" s="230">
        <v>50.940988539115182</v>
      </c>
      <c r="P81" s="230">
        <v>50.940988539115182</v>
      </c>
      <c r="Q81" s="230">
        <v>50.940988539115182</v>
      </c>
      <c r="R81" s="230">
        <v>50.940988539115182</v>
      </c>
      <c r="S81" s="230">
        <v>50.940988539115182</v>
      </c>
      <c r="T81" s="230">
        <v>50.940988539115182</v>
      </c>
      <c r="U81" s="230"/>
      <c r="V81" s="231"/>
      <c r="W81" s="231"/>
      <c r="X81" s="231"/>
      <c r="Y81" s="231"/>
      <c r="Z81" s="231"/>
      <c r="AA81" s="231"/>
      <c r="AB81" s="231"/>
    </row>
    <row r="82" spans="1:28" ht="15" x14ac:dyDescent="0.25">
      <c r="A82" s="229" t="s">
        <v>512</v>
      </c>
      <c r="B82" s="230"/>
      <c r="C82" s="231"/>
      <c r="D82" s="231"/>
      <c r="E82" s="230"/>
      <c r="F82" s="230">
        <v>50.940988539115182</v>
      </c>
      <c r="G82" s="230">
        <v>50.940988539115182</v>
      </c>
      <c r="H82" s="230">
        <v>50.940988539115182</v>
      </c>
      <c r="I82" s="230">
        <v>50.940988539115182</v>
      </c>
      <c r="J82" s="230">
        <v>50.940988539115182</v>
      </c>
      <c r="K82" s="230">
        <v>50.940988539115182</v>
      </c>
      <c r="L82" s="230">
        <v>50.940988539115182</v>
      </c>
      <c r="M82" s="230">
        <v>50.940988539115182</v>
      </c>
      <c r="N82" s="230">
        <v>50.940988539115182</v>
      </c>
      <c r="O82" s="230">
        <v>50.940988539115182</v>
      </c>
      <c r="P82" s="230">
        <v>50.940988539115182</v>
      </c>
      <c r="Q82" s="230">
        <v>50.940988539115182</v>
      </c>
      <c r="R82" s="230">
        <v>50.940988539115182</v>
      </c>
      <c r="S82" s="230">
        <v>50.940988539115182</v>
      </c>
      <c r="T82" s="230">
        <v>50.940988539115182</v>
      </c>
      <c r="U82" s="230"/>
      <c r="V82" s="231"/>
      <c r="W82" s="231"/>
      <c r="X82" s="231"/>
      <c r="Y82" s="231"/>
      <c r="Z82" s="231"/>
      <c r="AA82" s="231"/>
      <c r="AB82" s="231"/>
    </row>
    <row r="83" spans="1:28" ht="15" x14ac:dyDescent="0.25">
      <c r="A83" s="229" t="s">
        <v>513</v>
      </c>
      <c r="B83" s="230"/>
      <c r="C83" s="231"/>
      <c r="D83" s="231"/>
      <c r="E83" s="231"/>
      <c r="F83" s="230">
        <v>50.940988539115182</v>
      </c>
      <c r="G83" s="230">
        <v>50.940988539115182</v>
      </c>
      <c r="H83" s="230">
        <v>50.940988539115182</v>
      </c>
      <c r="I83" s="230">
        <v>50.940988539115182</v>
      </c>
      <c r="J83" s="230">
        <v>50.940988539115182</v>
      </c>
      <c r="K83" s="230">
        <v>50.940988539115182</v>
      </c>
      <c r="L83" s="230">
        <v>50.940988539115182</v>
      </c>
      <c r="M83" s="230">
        <v>50.940988539115182</v>
      </c>
      <c r="N83" s="230">
        <v>50.940988539115182</v>
      </c>
      <c r="O83" s="230">
        <v>50.940988539115182</v>
      </c>
      <c r="P83" s="230">
        <v>50.940988539115182</v>
      </c>
      <c r="Q83" s="230">
        <v>50.940988539115182</v>
      </c>
      <c r="R83" s="230">
        <v>50.940988539115182</v>
      </c>
      <c r="S83" s="230">
        <v>50.940988539115182</v>
      </c>
      <c r="T83" s="230">
        <v>50.940988539115182</v>
      </c>
      <c r="U83" s="231"/>
      <c r="V83" s="231"/>
      <c r="W83" s="231"/>
      <c r="X83" s="231"/>
      <c r="Y83" s="231"/>
      <c r="Z83" s="231"/>
      <c r="AA83" s="231"/>
      <c r="AB83" s="231"/>
    </row>
    <row r="84" spans="1:28" ht="15" x14ac:dyDescent="0.25">
      <c r="A84" s="229" t="s">
        <v>514</v>
      </c>
      <c r="B84" s="230"/>
      <c r="C84" s="231"/>
      <c r="D84" s="231"/>
      <c r="E84" s="231"/>
      <c r="F84" s="230">
        <v>50.940988539115182</v>
      </c>
      <c r="G84" s="230">
        <v>50.940988539115182</v>
      </c>
      <c r="H84" s="230">
        <v>50.940988539115182</v>
      </c>
      <c r="I84" s="230">
        <v>50.940988539115182</v>
      </c>
      <c r="J84" s="230">
        <v>50.940988539115182</v>
      </c>
      <c r="K84" s="230">
        <v>50.940988539115182</v>
      </c>
      <c r="L84" s="230">
        <v>50.940988539115182</v>
      </c>
      <c r="M84" s="230">
        <v>50.940988539115182</v>
      </c>
      <c r="N84" s="230">
        <v>50.940988539115182</v>
      </c>
      <c r="O84" s="230">
        <v>50.940988539115182</v>
      </c>
      <c r="P84" s="230">
        <v>50.940988539115182</v>
      </c>
      <c r="Q84" s="230">
        <v>50.940988539115182</v>
      </c>
      <c r="R84" s="230">
        <v>50.940988539115182</v>
      </c>
      <c r="S84" s="230">
        <v>50.940988539115182</v>
      </c>
      <c r="T84" s="230">
        <v>50.940988539115182</v>
      </c>
      <c r="U84" s="231"/>
      <c r="V84" s="231"/>
      <c r="W84" s="231"/>
      <c r="X84" s="231"/>
      <c r="Y84" s="231"/>
      <c r="Z84" s="231"/>
      <c r="AA84" s="231"/>
      <c r="AB84" s="231"/>
    </row>
    <row r="85" spans="1:28" ht="15" x14ac:dyDescent="0.25">
      <c r="A85" s="229" t="s">
        <v>515</v>
      </c>
      <c r="B85" s="230"/>
      <c r="C85" s="231"/>
      <c r="D85" s="231"/>
      <c r="E85" s="231"/>
      <c r="F85" s="230">
        <v>50.940988539115182</v>
      </c>
      <c r="G85" s="230">
        <v>50.940988539115182</v>
      </c>
      <c r="H85" s="230">
        <v>50.940988539115182</v>
      </c>
      <c r="I85" s="230">
        <v>50.940988539115182</v>
      </c>
      <c r="J85" s="230">
        <v>50.940988539115182</v>
      </c>
      <c r="K85" s="230">
        <v>50.940988539115182</v>
      </c>
      <c r="L85" s="230">
        <v>50.940988539115182</v>
      </c>
      <c r="M85" s="230">
        <v>50.940988539115182</v>
      </c>
      <c r="N85" s="230">
        <v>50.940988539115182</v>
      </c>
      <c r="O85" s="230">
        <v>50.940988539115182</v>
      </c>
      <c r="P85" s="230">
        <v>50.940988539115182</v>
      </c>
      <c r="Q85" s="230">
        <v>50.940988539115182</v>
      </c>
      <c r="R85" s="230">
        <v>50.940988539115182</v>
      </c>
      <c r="S85" s="230">
        <v>50.940988539115182</v>
      </c>
      <c r="T85" s="230">
        <v>50.940988539115182</v>
      </c>
      <c r="U85" s="231"/>
      <c r="V85" s="231"/>
      <c r="W85" s="231"/>
      <c r="X85" s="231"/>
      <c r="Y85" s="231"/>
      <c r="Z85" s="231"/>
      <c r="AA85" s="231"/>
      <c r="AB85" s="231"/>
    </row>
    <row r="86" spans="1:28" ht="15" x14ac:dyDescent="0.25">
      <c r="A86" s="229" t="s">
        <v>516</v>
      </c>
      <c r="B86" s="230"/>
      <c r="C86" s="231"/>
      <c r="D86" s="231"/>
      <c r="E86" s="231"/>
      <c r="F86" s="230">
        <v>50.940988539115182</v>
      </c>
      <c r="G86" s="230">
        <v>50.940988539115182</v>
      </c>
      <c r="H86" s="230">
        <v>50.940988539115182</v>
      </c>
      <c r="I86" s="230">
        <v>50.940988539115182</v>
      </c>
      <c r="J86" s="230">
        <v>50.940988539115182</v>
      </c>
      <c r="K86" s="230">
        <v>50.940988539115182</v>
      </c>
      <c r="L86" s="230">
        <v>50.940988539115182</v>
      </c>
      <c r="M86" s="230">
        <v>50.940988539115182</v>
      </c>
      <c r="N86" s="230">
        <v>50.940988539115182</v>
      </c>
      <c r="O86" s="230">
        <v>50.940988539115182</v>
      </c>
      <c r="P86" s="230">
        <v>50.940988539115182</v>
      </c>
      <c r="Q86" s="230">
        <v>50.940988539115182</v>
      </c>
      <c r="R86" s="230">
        <v>50.940988539115182</v>
      </c>
      <c r="S86" s="230">
        <v>50.940988539115182</v>
      </c>
      <c r="T86" s="230">
        <v>50.940988539115182</v>
      </c>
      <c r="U86" s="231"/>
      <c r="V86" s="231"/>
      <c r="W86" s="231"/>
      <c r="X86" s="231"/>
      <c r="Y86" s="231"/>
      <c r="Z86" s="231"/>
      <c r="AA86" s="231"/>
      <c r="AB86" s="231"/>
    </row>
    <row r="87" spans="1:28" ht="15" x14ac:dyDescent="0.25">
      <c r="A87" s="229" t="s">
        <v>517</v>
      </c>
      <c r="B87" s="230"/>
      <c r="C87" s="231"/>
      <c r="D87" s="231"/>
      <c r="E87" s="231"/>
      <c r="F87" s="230">
        <v>50.940988539115182</v>
      </c>
      <c r="G87" s="230">
        <v>50.940988539115182</v>
      </c>
      <c r="H87" s="230">
        <v>50.940988539115182</v>
      </c>
      <c r="I87" s="230">
        <v>50.940988539115182</v>
      </c>
      <c r="J87" s="230">
        <v>50.940988539115182</v>
      </c>
      <c r="K87" s="230">
        <v>50.940988539115182</v>
      </c>
      <c r="L87" s="230">
        <v>50.940988539115182</v>
      </c>
      <c r="M87" s="230">
        <v>50.940988539115182</v>
      </c>
      <c r="N87" s="230">
        <v>50.940988539115182</v>
      </c>
      <c r="O87" s="230">
        <v>50.940988539115182</v>
      </c>
      <c r="P87" s="230">
        <v>50.940988539115182</v>
      </c>
      <c r="Q87" s="230">
        <v>50.940988539115182</v>
      </c>
      <c r="R87" s="230">
        <v>50.940988539115182</v>
      </c>
      <c r="S87" s="230">
        <v>50.940988539115182</v>
      </c>
      <c r="T87" s="230">
        <v>50.940988539115182</v>
      </c>
      <c r="U87" s="230"/>
      <c r="V87" s="231"/>
      <c r="W87" s="231"/>
      <c r="X87" s="231"/>
      <c r="Y87" s="231"/>
      <c r="Z87" s="231"/>
      <c r="AA87" s="231"/>
      <c r="AB87" s="231"/>
    </row>
    <row r="88" spans="1:28" ht="15" x14ac:dyDescent="0.25">
      <c r="A88" s="229" t="s">
        <v>518</v>
      </c>
      <c r="B88" s="230"/>
      <c r="C88" s="231"/>
      <c r="D88" s="231"/>
      <c r="E88" s="231"/>
      <c r="F88" s="230"/>
      <c r="G88" s="230">
        <v>50.940988539115182</v>
      </c>
      <c r="H88" s="230">
        <v>50.940988539115182</v>
      </c>
      <c r="I88" s="230">
        <v>50.940988539115182</v>
      </c>
      <c r="J88" s="230">
        <v>50.940988539115182</v>
      </c>
      <c r="K88" s="230">
        <v>50.940988539115182</v>
      </c>
      <c r="L88" s="230">
        <v>50.940988539115182</v>
      </c>
      <c r="M88" s="230">
        <v>50.940988539115182</v>
      </c>
      <c r="N88" s="230">
        <v>50.940988539115182</v>
      </c>
      <c r="O88" s="230">
        <v>50.940988539115182</v>
      </c>
      <c r="P88" s="230">
        <v>50.940988539115182</v>
      </c>
      <c r="Q88" s="230">
        <v>50.940988539115182</v>
      </c>
      <c r="R88" s="230">
        <v>50.940988539115182</v>
      </c>
      <c r="S88" s="230">
        <v>50.940988539115182</v>
      </c>
      <c r="T88" s="230">
        <v>50.940988539115182</v>
      </c>
      <c r="U88" s="230">
        <v>50.940988539115182</v>
      </c>
      <c r="V88" s="231"/>
      <c r="W88" s="231"/>
      <c r="X88" s="231"/>
      <c r="Y88" s="231"/>
      <c r="Z88" s="231"/>
      <c r="AA88" s="231"/>
      <c r="AB88" s="231"/>
    </row>
    <row r="89" spans="1:28" ht="15" x14ac:dyDescent="0.25">
      <c r="A89" s="229" t="s">
        <v>519</v>
      </c>
      <c r="B89" s="230"/>
      <c r="C89" s="231"/>
      <c r="D89" s="231"/>
      <c r="E89" s="231"/>
      <c r="F89" s="230"/>
      <c r="G89" s="230">
        <v>50.940988539115182</v>
      </c>
      <c r="H89" s="230">
        <v>50.940988539115182</v>
      </c>
      <c r="I89" s="230">
        <v>50.940988539115182</v>
      </c>
      <c r="J89" s="230">
        <v>50.940988539115182</v>
      </c>
      <c r="K89" s="230">
        <v>50.940988539115182</v>
      </c>
      <c r="L89" s="230">
        <v>50.940988539115182</v>
      </c>
      <c r="M89" s="230">
        <v>50.940988539115182</v>
      </c>
      <c r="N89" s="230">
        <v>50.940988539115182</v>
      </c>
      <c r="O89" s="230">
        <v>50.940988539115182</v>
      </c>
      <c r="P89" s="230">
        <v>50.940988539115182</v>
      </c>
      <c r="Q89" s="230">
        <v>50.940988539115182</v>
      </c>
      <c r="R89" s="230">
        <v>50.940988539115182</v>
      </c>
      <c r="S89" s="230">
        <v>50.940988539115182</v>
      </c>
      <c r="T89" s="230">
        <v>50.940988539115182</v>
      </c>
      <c r="U89" s="230">
        <v>50.940988539115182</v>
      </c>
      <c r="V89" s="231"/>
      <c r="W89" s="231"/>
      <c r="X89" s="231"/>
      <c r="Y89" s="231"/>
      <c r="Z89" s="231"/>
      <c r="AA89" s="231"/>
      <c r="AB89" s="231"/>
    </row>
    <row r="90" spans="1:28" ht="15" x14ac:dyDescent="0.25">
      <c r="A90" s="229" t="s">
        <v>520</v>
      </c>
      <c r="B90" s="230"/>
      <c r="C90" s="231"/>
      <c r="D90" s="231"/>
      <c r="E90" s="231"/>
      <c r="F90" s="230"/>
      <c r="G90" s="230">
        <v>50.940988539115182</v>
      </c>
      <c r="H90" s="230">
        <v>50.940988539115182</v>
      </c>
      <c r="I90" s="230">
        <v>50.940988539115182</v>
      </c>
      <c r="J90" s="230">
        <v>50.940988539115182</v>
      </c>
      <c r="K90" s="230">
        <v>50.940988539115182</v>
      </c>
      <c r="L90" s="230">
        <v>50.940988539115182</v>
      </c>
      <c r="M90" s="230">
        <v>50.940988539115182</v>
      </c>
      <c r="N90" s="230">
        <v>50.940988539115182</v>
      </c>
      <c r="O90" s="230">
        <v>50.940988539115182</v>
      </c>
      <c r="P90" s="230">
        <v>50.940988539115182</v>
      </c>
      <c r="Q90" s="230">
        <v>50.940988539115182</v>
      </c>
      <c r="R90" s="230">
        <v>50.940988539115182</v>
      </c>
      <c r="S90" s="230">
        <v>50.940988539115182</v>
      </c>
      <c r="T90" s="230">
        <v>50.940988539115182</v>
      </c>
      <c r="U90" s="230">
        <v>50.940988539115182</v>
      </c>
      <c r="V90" s="231"/>
      <c r="W90" s="231"/>
      <c r="X90" s="231"/>
      <c r="Y90" s="231"/>
      <c r="Z90" s="231"/>
      <c r="AA90" s="231"/>
      <c r="AB90" s="231"/>
    </row>
    <row r="91" spans="1:28" ht="15" x14ac:dyDescent="0.25">
      <c r="A91" s="229" t="s">
        <v>521</v>
      </c>
      <c r="B91" s="230"/>
      <c r="C91" s="231"/>
      <c r="D91" s="231"/>
      <c r="E91" s="231"/>
      <c r="F91" s="230"/>
      <c r="G91" s="230">
        <v>50.940988539115182</v>
      </c>
      <c r="H91" s="230">
        <v>50.940988539115182</v>
      </c>
      <c r="I91" s="230">
        <v>50.940988539115182</v>
      </c>
      <c r="J91" s="230">
        <v>50.940988539115182</v>
      </c>
      <c r="K91" s="230">
        <v>50.940988539115182</v>
      </c>
      <c r="L91" s="230">
        <v>50.940988539115182</v>
      </c>
      <c r="M91" s="230">
        <v>50.940988539115182</v>
      </c>
      <c r="N91" s="230">
        <v>50.940988539115182</v>
      </c>
      <c r="O91" s="230">
        <v>50.940988539115182</v>
      </c>
      <c r="P91" s="230">
        <v>50.940988539115182</v>
      </c>
      <c r="Q91" s="230">
        <v>50.940988539115182</v>
      </c>
      <c r="R91" s="230">
        <v>50.940988539115182</v>
      </c>
      <c r="S91" s="230">
        <v>50.940988539115182</v>
      </c>
      <c r="T91" s="230">
        <v>50.940988539115182</v>
      </c>
      <c r="U91" s="230">
        <v>50.940988539115182</v>
      </c>
      <c r="V91" s="231"/>
      <c r="W91" s="231"/>
      <c r="X91" s="231"/>
      <c r="Y91" s="231"/>
      <c r="Z91" s="231"/>
      <c r="AA91" s="231"/>
      <c r="AB91" s="231"/>
    </row>
    <row r="92" spans="1:28" ht="15" x14ac:dyDescent="0.25">
      <c r="A92" s="229" t="s">
        <v>522</v>
      </c>
      <c r="B92" s="230"/>
      <c r="C92" s="231"/>
      <c r="D92" s="231"/>
      <c r="E92" s="231"/>
      <c r="F92" s="230"/>
      <c r="G92" s="230">
        <v>50.940988539115182</v>
      </c>
      <c r="H92" s="230">
        <v>50.940988539115182</v>
      </c>
      <c r="I92" s="230">
        <v>50.940988539115182</v>
      </c>
      <c r="J92" s="230">
        <v>50.940988539115182</v>
      </c>
      <c r="K92" s="230">
        <v>50.940988539115182</v>
      </c>
      <c r="L92" s="230">
        <v>50.940988539115182</v>
      </c>
      <c r="M92" s="230">
        <v>50.940988539115182</v>
      </c>
      <c r="N92" s="230">
        <v>50.940988539115182</v>
      </c>
      <c r="O92" s="230">
        <v>50.940988539115182</v>
      </c>
      <c r="P92" s="230">
        <v>50.940988539115182</v>
      </c>
      <c r="Q92" s="230">
        <v>50.940988539115182</v>
      </c>
      <c r="R92" s="230">
        <v>50.940988539115182</v>
      </c>
      <c r="S92" s="230">
        <v>50.940988539115182</v>
      </c>
      <c r="T92" s="230">
        <v>50.940988539115182</v>
      </c>
      <c r="U92" s="230">
        <v>50.940988539115182</v>
      </c>
      <c r="V92" s="231"/>
      <c r="W92" s="231"/>
      <c r="X92" s="231"/>
      <c r="Y92" s="231"/>
      <c r="Z92" s="231"/>
      <c r="AA92" s="231"/>
      <c r="AB92" s="231"/>
    </row>
    <row r="93" spans="1:28" ht="15" x14ac:dyDescent="0.25">
      <c r="A93" s="229" t="s">
        <v>523</v>
      </c>
      <c r="B93" s="230"/>
      <c r="C93" s="231"/>
      <c r="D93" s="231"/>
      <c r="E93" s="231"/>
      <c r="F93" s="231"/>
      <c r="G93" s="230">
        <v>50.940988539115182</v>
      </c>
      <c r="H93" s="230">
        <v>50.940988539115182</v>
      </c>
      <c r="I93" s="230">
        <v>50.940988539115182</v>
      </c>
      <c r="J93" s="230">
        <v>50.940988539115182</v>
      </c>
      <c r="K93" s="230">
        <v>50.940988539115182</v>
      </c>
      <c r="L93" s="230">
        <v>50.940988539115182</v>
      </c>
      <c r="M93" s="230">
        <v>50.940988539115182</v>
      </c>
      <c r="N93" s="230">
        <v>50.940988539115182</v>
      </c>
      <c r="O93" s="230">
        <v>50.940988539115182</v>
      </c>
      <c r="P93" s="230">
        <v>50.940988539115182</v>
      </c>
      <c r="Q93" s="230">
        <v>50.940988539115182</v>
      </c>
      <c r="R93" s="230">
        <v>50.940988539115182</v>
      </c>
      <c r="S93" s="230">
        <v>50.940988539115182</v>
      </c>
      <c r="T93" s="230">
        <v>50.940988539115182</v>
      </c>
      <c r="U93" s="230">
        <v>50.940988539115182</v>
      </c>
      <c r="V93" s="231"/>
      <c r="W93" s="231"/>
      <c r="X93" s="231"/>
      <c r="Y93" s="231"/>
      <c r="Z93" s="231"/>
      <c r="AA93" s="231"/>
      <c r="AB93" s="231"/>
    </row>
    <row r="94" spans="1:28" ht="15" x14ac:dyDescent="0.25">
      <c r="A94" s="229" t="s">
        <v>524</v>
      </c>
      <c r="B94" s="230"/>
      <c r="C94" s="231"/>
      <c r="D94" s="231"/>
      <c r="E94" s="231"/>
      <c r="F94" s="231"/>
      <c r="G94" s="230">
        <v>50.940988539115182</v>
      </c>
      <c r="H94" s="230">
        <v>50.940988539115182</v>
      </c>
      <c r="I94" s="230">
        <v>50.940988539115182</v>
      </c>
      <c r="J94" s="230">
        <v>50.940988539115182</v>
      </c>
      <c r="K94" s="230">
        <v>50.940988539115182</v>
      </c>
      <c r="L94" s="230">
        <v>50.940988539115182</v>
      </c>
      <c r="M94" s="230">
        <v>50.940988539115182</v>
      </c>
      <c r="N94" s="230">
        <v>50.940988539115182</v>
      </c>
      <c r="O94" s="230">
        <v>50.940988539115182</v>
      </c>
      <c r="P94" s="230">
        <v>50.940988539115182</v>
      </c>
      <c r="Q94" s="230">
        <v>50.940988539115182</v>
      </c>
      <c r="R94" s="230">
        <v>50.940988539115182</v>
      </c>
      <c r="S94" s="230">
        <v>50.940988539115182</v>
      </c>
      <c r="T94" s="230">
        <v>50.940988539115182</v>
      </c>
      <c r="U94" s="230">
        <v>50.940988539115182</v>
      </c>
      <c r="V94" s="231"/>
      <c r="W94" s="231"/>
      <c r="X94" s="231"/>
      <c r="Y94" s="231"/>
      <c r="Z94" s="231"/>
      <c r="AA94" s="231"/>
      <c r="AB94" s="231"/>
    </row>
    <row r="95" spans="1:28" ht="15" x14ac:dyDescent="0.25">
      <c r="A95" s="229" t="s">
        <v>525</v>
      </c>
      <c r="B95" s="230"/>
      <c r="C95" s="231"/>
      <c r="D95" s="231"/>
      <c r="E95" s="231"/>
      <c r="F95" s="231"/>
      <c r="G95" s="230">
        <v>50.940988539115182</v>
      </c>
      <c r="H95" s="230">
        <v>50.940988539115182</v>
      </c>
      <c r="I95" s="230">
        <v>50.940988539115182</v>
      </c>
      <c r="J95" s="230">
        <v>50.940988539115182</v>
      </c>
      <c r="K95" s="230">
        <v>50.940988539115182</v>
      </c>
      <c r="L95" s="230">
        <v>50.940988539115182</v>
      </c>
      <c r="M95" s="230">
        <v>50.940988539115182</v>
      </c>
      <c r="N95" s="230">
        <v>50.940988539115182</v>
      </c>
      <c r="O95" s="230">
        <v>50.940988539115182</v>
      </c>
      <c r="P95" s="230">
        <v>50.940988539115182</v>
      </c>
      <c r="Q95" s="230">
        <v>50.940988539115182</v>
      </c>
      <c r="R95" s="230">
        <v>50.940988539115182</v>
      </c>
      <c r="S95" s="230">
        <v>50.940988539115182</v>
      </c>
      <c r="T95" s="230">
        <v>50.940988539115182</v>
      </c>
      <c r="U95" s="230">
        <v>50.940988539115182</v>
      </c>
      <c r="V95" s="231"/>
      <c r="W95" s="231"/>
      <c r="X95" s="231"/>
      <c r="Y95" s="231"/>
      <c r="Z95" s="231"/>
      <c r="AA95" s="231"/>
      <c r="AB95" s="231"/>
    </row>
    <row r="96" spans="1:28" ht="15" x14ac:dyDescent="0.25">
      <c r="A96" s="229" t="s">
        <v>526</v>
      </c>
      <c r="B96" s="230"/>
      <c r="C96" s="231"/>
      <c r="D96" s="231"/>
      <c r="E96" s="231"/>
      <c r="F96" s="231"/>
      <c r="G96" s="230">
        <v>50.940988539115182</v>
      </c>
      <c r="H96" s="230">
        <v>50.940988539115182</v>
      </c>
      <c r="I96" s="230">
        <v>50.940988539115182</v>
      </c>
      <c r="J96" s="230">
        <v>50.940988539115182</v>
      </c>
      <c r="K96" s="230">
        <v>50.940988539115182</v>
      </c>
      <c r="L96" s="230">
        <v>50.940988539115182</v>
      </c>
      <c r="M96" s="230">
        <v>50.940988539115182</v>
      </c>
      <c r="N96" s="230">
        <v>50.940988539115182</v>
      </c>
      <c r="O96" s="230">
        <v>50.940988539115182</v>
      </c>
      <c r="P96" s="230">
        <v>50.940988539115182</v>
      </c>
      <c r="Q96" s="230">
        <v>50.940988539115182</v>
      </c>
      <c r="R96" s="230">
        <v>50.940988539115182</v>
      </c>
      <c r="S96" s="230">
        <v>50.940988539115182</v>
      </c>
      <c r="T96" s="230">
        <v>50.940988539115182</v>
      </c>
      <c r="U96" s="230">
        <v>50.940988539115182</v>
      </c>
      <c r="V96" s="231"/>
      <c r="W96" s="231"/>
      <c r="X96" s="231"/>
      <c r="Y96" s="231"/>
      <c r="Z96" s="231"/>
      <c r="AA96" s="231"/>
      <c r="AB96" s="231"/>
    </row>
    <row r="97" spans="1:28" ht="15" x14ac:dyDescent="0.25">
      <c r="A97" s="236" t="s">
        <v>527</v>
      </c>
      <c r="B97" s="230"/>
      <c r="C97" s="231"/>
      <c r="D97" s="231"/>
      <c r="E97" s="231"/>
      <c r="F97" s="231"/>
      <c r="G97" s="230">
        <v>50.940988539115182</v>
      </c>
      <c r="H97" s="230">
        <v>50.940988539115182</v>
      </c>
      <c r="I97" s="230">
        <v>50.940988539115182</v>
      </c>
      <c r="J97" s="230">
        <v>50.940988539115182</v>
      </c>
      <c r="K97" s="230">
        <v>50.940988539115182</v>
      </c>
      <c r="L97" s="230">
        <v>50.940988539115182</v>
      </c>
      <c r="M97" s="230">
        <v>50.940988539115182</v>
      </c>
      <c r="N97" s="230">
        <v>50.940988539115182</v>
      </c>
      <c r="O97" s="230">
        <v>50.940988539115182</v>
      </c>
      <c r="P97" s="230">
        <v>50.940988539115182</v>
      </c>
      <c r="Q97" s="230">
        <v>50.940988539115182</v>
      </c>
      <c r="R97" s="230">
        <v>50.940988539115182</v>
      </c>
      <c r="S97" s="230">
        <v>50.940988539115182</v>
      </c>
      <c r="T97" s="230">
        <v>50.940988539115182</v>
      </c>
      <c r="U97" s="230">
        <v>50.940988539115182</v>
      </c>
      <c r="V97" s="231"/>
      <c r="W97" s="231"/>
      <c r="X97" s="231"/>
      <c r="Y97" s="231"/>
      <c r="Z97" s="231"/>
      <c r="AA97" s="231"/>
      <c r="AB97" s="231"/>
    </row>
    <row r="98" spans="1:28" ht="15" x14ac:dyDescent="0.25">
      <c r="A98" s="229" t="s">
        <v>528</v>
      </c>
      <c r="B98" s="230"/>
      <c r="C98" s="231"/>
      <c r="D98" s="231"/>
      <c r="E98" s="231"/>
      <c r="F98" s="231"/>
      <c r="G98" s="230"/>
      <c r="H98" s="230"/>
      <c r="I98" s="230"/>
      <c r="J98" s="230"/>
      <c r="K98" s="230"/>
      <c r="L98" s="230"/>
      <c r="M98" s="230"/>
      <c r="N98" s="230"/>
      <c r="O98" s="230"/>
      <c r="P98" s="230"/>
      <c r="Q98" s="230"/>
      <c r="R98" s="230"/>
      <c r="S98" s="230"/>
      <c r="T98" s="230"/>
      <c r="U98" s="230"/>
      <c r="V98" s="231"/>
      <c r="W98" s="231"/>
      <c r="X98" s="231"/>
      <c r="Y98" s="231"/>
      <c r="Z98" s="231"/>
      <c r="AA98" s="231"/>
      <c r="AB98" s="231"/>
    </row>
    <row r="99" spans="1:28" ht="15" x14ac:dyDescent="0.25">
      <c r="A99" s="229" t="s">
        <v>529</v>
      </c>
      <c r="B99" s="230"/>
      <c r="C99" s="231"/>
      <c r="D99" s="231"/>
      <c r="E99" s="231"/>
      <c r="F99" s="231"/>
      <c r="G99" s="230"/>
      <c r="H99" s="230"/>
      <c r="I99" s="230"/>
      <c r="J99" s="230"/>
      <c r="K99" s="230"/>
      <c r="L99" s="230"/>
      <c r="M99" s="230"/>
      <c r="N99" s="230"/>
      <c r="O99" s="230"/>
      <c r="P99" s="230"/>
      <c r="Q99" s="230"/>
      <c r="R99" s="230"/>
      <c r="S99" s="230"/>
      <c r="T99" s="230"/>
      <c r="U99" s="230"/>
      <c r="V99" s="231"/>
      <c r="W99" s="231"/>
      <c r="X99" s="231"/>
      <c r="Y99" s="231"/>
      <c r="Z99" s="231"/>
      <c r="AA99" s="231"/>
      <c r="AB99" s="231"/>
    </row>
    <row r="100" spans="1:28" ht="15" x14ac:dyDescent="0.25">
      <c r="A100" s="229"/>
      <c r="B100" s="230"/>
      <c r="C100" s="231"/>
      <c r="D100" s="231"/>
      <c r="E100" s="231"/>
      <c r="F100" s="231"/>
      <c r="G100" s="230"/>
      <c r="H100" s="230"/>
      <c r="I100" s="230"/>
      <c r="J100" s="230"/>
      <c r="K100" s="230"/>
      <c r="L100" s="230"/>
      <c r="M100" s="230"/>
      <c r="N100" s="230"/>
      <c r="O100" s="230"/>
      <c r="P100" s="230"/>
      <c r="Q100" s="230"/>
      <c r="R100" s="230"/>
      <c r="S100" s="230"/>
      <c r="T100" s="230"/>
      <c r="U100" s="230"/>
      <c r="V100" s="231"/>
      <c r="W100" s="231"/>
      <c r="X100" s="231"/>
      <c r="Y100" s="231"/>
      <c r="Z100" s="231"/>
      <c r="AA100" s="231"/>
      <c r="AB100" s="231"/>
    </row>
    <row r="101" spans="1:28" ht="15" x14ac:dyDescent="0.25">
      <c r="A101" s="229"/>
      <c r="B101" s="230"/>
      <c r="C101" s="231"/>
      <c r="D101" s="231"/>
      <c r="E101" s="231"/>
      <c r="F101" s="231"/>
      <c r="G101" s="230"/>
      <c r="H101" s="230"/>
      <c r="I101" s="230"/>
      <c r="J101" s="230"/>
      <c r="K101" s="230"/>
      <c r="L101" s="230"/>
      <c r="M101" s="230"/>
      <c r="N101" s="230"/>
      <c r="O101" s="230"/>
      <c r="P101" s="230"/>
      <c r="Q101" s="230"/>
      <c r="R101" s="230"/>
      <c r="S101" s="230"/>
      <c r="T101" s="230"/>
      <c r="U101" s="230"/>
      <c r="V101" s="231"/>
      <c r="W101" s="231"/>
      <c r="X101" s="231"/>
      <c r="Y101" s="231"/>
      <c r="Z101" s="231"/>
      <c r="AA101" s="231"/>
      <c r="AB101" s="231"/>
    </row>
    <row r="102" spans="1:28" ht="15" x14ac:dyDescent="0.25">
      <c r="A102" s="229"/>
      <c r="B102" s="230"/>
      <c r="C102" s="231"/>
      <c r="D102" s="231"/>
      <c r="E102" s="231"/>
      <c r="F102" s="231"/>
      <c r="G102" s="230"/>
      <c r="H102" s="230"/>
      <c r="I102" s="230"/>
      <c r="J102" s="230"/>
      <c r="K102" s="230"/>
      <c r="L102" s="230"/>
      <c r="M102" s="230"/>
      <c r="N102" s="230"/>
      <c r="O102" s="230"/>
      <c r="P102" s="230"/>
      <c r="Q102" s="230"/>
      <c r="R102" s="230"/>
      <c r="S102" s="230"/>
      <c r="T102" s="230"/>
      <c r="U102" s="230"/>
      <c r="V102" s="231"/>
      <c r="W102" s="231"/>
      <c r="X102" s="231"/>
      <c r="Y102" s="231"/>
      <c r="Z102" s="231"/>
      <c r="AA102" s="231"/>
      <c r="AB102" s="231"/>
    </row>
    <row r="103" spans="1:28" ht="15" x14ac:dyDescent="0.25">
      <c r="A103" s="229" t="s">
        <v>530</v>
      </c>
      <c r="B103" s="230">
        <f t="shared" ref="B103:U103" si="1">SUM(B53:B102)</f>
        <v>0</v>
      </c>
      <c r="C103" s="230">
        <f t="shared" si="1"/>
        <v>0</v>
      </c>
      <c r="D103" s="230">
        <f t="shared" si="1"/>
        <v>560.35087393026708</v>
      </c>
      <c r="E103" s="230">
        <f t="shared" si="1"/>
        <v>1171.6427363996493</v>
      </c>
      <c r="F103" s="230">
        <f t="shared" si="1"/>
        <v>1782.9345988690304</v>
      </c>
      <c r="G103" s="230">
        <f t="shared" si="1"/>
        <v>2292.3444842601816</v>
      </c>
      <c r="H103" s="230">
        <f t="shared" si="1"/>
        <v>2292.3444842601816</v>
      </c>
      <c r="I103" s="230">
        <f t="shared" si="1"/>
        <v>2292.3444842601816</v>
      </c>
      <c r="J103" s="230">
        <f t="shared" si="1"/>
        <v>2292.3444842601816</v>
      </c>
      <c r="K103" s="230">
        <f t="shared" si="1"/>
        <v>2292.3444842601816</v>
      </c>
      <c r="L103" s="230">
        <f t="shared" si="1"/>
        <v>2292.3444842601816</v>
      </c>
      <c r="M103" s="230">
        <f t="shared" si="1"/>
        <v>2292.3444842601816</v>
      </c>
      <c r="N103" s="230">
        <f t="shared" si="1"/>
        <v>2292.3444842601816</v>
      </c>
      <c r="O103" s="230">
        <f t="shared" si="1"/>
        <v>2292.3444842601816</v>
      </c>
      <c r="P103" s="230">
        <f t="shared" si="1"/>
        <v>2292.3444842601816</v>
      </c>
      <c r="Q103" s="230">
        <f t="shared" si="1"/>
        <v>2292.3444842601816</v>
      </c>
      <c r="R103" s="230">
        <f t="shared" si="1"/>
        <v>2292.3444842601816</v>
      </c>
      <c r="S103" s="230">
        <f t="shared" si="1"/>
        <v>1731.9936103299153</v>
      </c>
      <c r="T103" s="230">
        <f t="shared" si="1"/>
        <v>1120.7017478605342</v>
      </c>
      <c r="U103" s="230">
        <f t="shared" si="1"/>
        <v>509.40988539115187</v>
      </c>
      <c r="V103" s="231"/>
      <c r="W103" s="231"/>
      <c r="X103" s="231"/>
      <c r="Y103" s="231"/>
      <c r="Z103" s="231"/>
      <c r="AA103" s="231"/>
      <c r="AB103" s="231"/>
    </row>
    <row r="104" spans="1:28" ht="15" x14ac:dyDescent="0.25">
      <c r="A104" s="229" t="s">
        <v>531</v>
      </c>
      <c r="B104" s="230">
        <f>SUM(B103:U103)</f>
        <v>34385.167263902731</v>
      </c>
      <c r="C104" s="231"/>
      <c r="D104" s="231"/>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row>
    <row r="105" spans="1:28" ht="15" x14ac:dyDescent="0.25">
      <c r="A105" s="99"/>
      <c r="B105" s="71"/>
      <c r="C105"/>
      <c r="D105"/>
      <c r="E105"/>
      <c r="F105"/>
      <c r="G105"/>
      <c r="H105"/>
      <c r="I105"/>
      <c r="J105"/>
      <c r="K105"/>
      <c r="L105"/>
      <c r="M105"/>
      <c r="N105"/>
      <c r="O105"/>
      <c r="P105"/>
      <c r="Q105"/>
      <c r="R105"/>
      <c r="S105"/>
      <c r="T105"/>
      <c r="U105"/>
      <c r="V105"/>
      <c r="W105"/>
      <c r="X105"/>
      <c r="Y105"/>
      <c r="Z105"/>
      <c r="AA105"/>
      <c r="AB105"/>
    </row>
    <row r="106" spans="1:28" ht="30" x14ac:dyDescent="0.25">
      <c r="A106" s="232" t="s">
        <v>532</v>
      </c>
      <c r="B106" s="71">
        <f>SUM(C103:H103)</f>
        <v>8099.6171777193103</v>
      </c>
      <c r="C106"/>
      <c r="D106"/>
      <c r="E106"/>
      <c r="F106"/>
      <c r="G106"/>
      <c r="H106"/>
      <c r="I106"/>
      <c r="J106"/>
      <c r="K106"/>
      <c r="L106"/>
      <c r="M106"/>
      <c r="N106"/>
      <c r="O106"/>
      <c r="P106"/>
      <c r="Q106"/>
      <c r="R106"/>
      <c r="S106"/>
      <c r="T106"/>
      <c r="U106"/>
      <c r="V106"/>
      <c r="W106"/>
      <c r="X106"/>
      <c r="Y106"/>
      <c r="Z106"/>
      <c r="AA106"/>
      <c r="AB106"/>
    </row>
    <row r="107" spans="1:28" ht="15" x14ac:dyDescent="0.25">
      <c r="A107" s="99" t="s">
        <v>533</v>
      </c>
      <c r="B107" s="71">
        <f>SUM(C103:U103)</f>
        <v>34385.167263902731</v>
      </c>
      <c r="C107"/>
      <c r="D107"/>
      <c r="E107"/>
      <c r="F107"/>
      <c r="G107"/>
      <c r="H107"/>
      <c r="I107"/>
      <c r="J107"/>
      <c r="K107"/>
      <c r="L107"/>
      <c r="M107"/>
      <c r="N107"/>
      <c r="O107"/>
      <c r="P107"/>
      <c r="Q107"/>
      <c r="R107"/>
      <c r="S107"/>
      <c r="T107"/>
      <c r="U107"/>
      <c r="V107"/>
      <c r="W107"/>
      <c r="X107"/>
      <c r="Y107"/>
      <c r="Z107"/>
      <c r="AA107"/>
      <c r="AB107"/>
    </row>
    <row r="108" spans="1:28" ht="15" x14ac:dyDescent="0.25">
      <c r="A108" s="99"/>
      <c r="B108" s="71"/>
      <c r="C108"/>
      <c r="D108"/>
      <c r="E108"/>
      <c r="F108"/>
      <c r="G108"/>
      <c r="H108"/>
      <c r="I108"/>
      <c r="J108"/>
      <c r="K108"/>
      <c r="L108"/>
      <c r="M108"/>
      <c r="N108"/>
      <c r="O108"/>
      <c r="P108"/>
      <c r="Q108"/>
      <c r="R108"/>
      <c r="S108"/>
      <c r="T108"/>
      <c r="U108"/>
      <c r="V108"/>
      <c r="W108"/>
      <c r="X108"/>
      <c r="Y108"/>
      <c r="Z108"/>
      <c r="AA108"/>
      <c r="AB10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30635-FEFF-4A22-9524-49879D99D8DD}">
  <dimension ref="A1:V41"/>
  <sheetViews>
    <sheetView workbookViewId="0">
      <selection activeCell="E4" sqref="E4"/>
    </sheetView>
  </sheetViews>
  <sheetFormatPr defaultRowHeight="12.75" x14ac:dyDescent="0.2"/>
  <cols>
    <col min="1" max="1" width="34.42578125" customWidth="1"/>
    <col min="3" max="3" width="36.7109375" bestFit="1" customWidth="1"/>
    <col min="5" max="5" width="19.7109375" customWidth="1"/>
    <col min="15" max="15" width="20.85546875" customWidth="1"/>
    <col min="16" max="16" width="21.7109375" customWidth="1"/>
    <col min="17" max="17" width="20.42578125" customWidth="1"/>
  </cols>
  <sheetData>
    <row r="1" spans="1:22" s="1" customFormat="1" ht="101.25" x14ac:dyDescent="0.25">
      <c r="A1"/>
      <c r="B1" s="275" t="s">
        <v>534</v>
      </c>
      <c r="C1" s="44" t="s">
        <v>535</v>
      </c>
      <c r="D1" s="44" t="s">
        <v>536</v>
      </c>
      <c r="E1" s="44" t="s">
        <v>537</v>
      </c>
      <c r="F1" s="44" t="s">
        <v>538</v>
      </c>
      <c r="G1" s="241" t="s">
        <v>539</v>
      </c>
      <c r="H1" s="241" t="s">
        <v>540</v>
      </c>
      <c r="I1" s="241" t="s">
        <v>541</v>
      </c>
      <c r="J1" s="241" t="s">
        <v>542</v>
      </c>
      <c r="K1" s="242" t="s">
        <v>543</v>
      </c>
      <c r="L1" s="242" t="s">
        <v>544</v>
      </c>
      <c r="M1" s="242" t="s">
        <v>545</v>
      </c>
      <c r="N1" s="242" t="s">
        <v>546</v>
      </c>
      <c r="O1" s="275" t="s">
        <v>547</v>
      </c>
      <c r="P1" s="243" t="s">
        <v>548</v>
      </c>
      <c r="Q1" s="244" t="s">
        <v>549</v>
      </c>
      <c r="R1" s="245" t="s">
        <v>550</v>
      </c>
      <c r="S1" s="246" t="s">
        <v>551</v>
      </c>
      <c r="T1" s="247" t="s">
        <v>552</v>
      </c>
      <c r="U1" s="248" t="s">
        <v>553</v>
      </c>
      <c r="V1"/>
    </row>
    <row r="2" spans="1:22" ht="15" x14ac:dyDescent="0.25">
      <c r="A2" s="99" t="s">
        <v>554</v>
      </c>
      <c r="B2" s="238">
        <v>11.03921568627451</v>
      </c>
      <c r="C2" s="237">
        <v>468.32070071210126</v>
      </c>
      <c r="D2" s="237">
        <v>42.423367204826228</v>
      </c>
      <c r="E2" s="237">
        <f>D2*6</f>
        <v>254.54020322895735</v>
      </c>
      <c r="F2" s="237">
        <f>(D2*B2)+((D2-D3)*(15-B2))</f>
        <v>588.91600058183394</v>
      </c>
      <c r="G2" s="237">
        <v>8.9910446387345253</v>
      </c>
      <c r="H2" s="70">
        <v>0.81446407917488595</v>
      </c>
      <c r="I2" s="237">
        <v>4.8867844750493159</v>
      </c>
      <c r="J2" s="237">
        <v>10.473837557383407</v>
      </c>
      <c r="K2" s="70">
        <v>1.0505509498102981</v>
      </c>
      <c r="L2" s="70">
        <v>9.5165361350488809E-2</v>
      </c>
      <c r="M2" s="70">
        <v>0.57099216810293285</v>
      </c>
      <c r="N2" s="70">
        <v>1.0681438560149086</v>
      </c>
      <c r="O2" s="237">
        <v>29.864000000000001</v>
      </c>
      <c r="P2" s="71">
        <f>O2*E2</f>
        <v>7601.5886292295827</v>
      </c>
      <c r="Q2" s="71">
        <f>O2*F2</f>
        <v>17587.387441375889</v>
      </c>
      <c r="R2" s="237">
        <v>145.94129271605775</v>
      </c>
      <c r="S2" s="237">
        <v>312.79574546964346</v>
      </c>
      <c r="T2" s="237">
        <v>17.052385995158019</v>
      </c>
      <c r="U2" s="237">
        <v>31.899564212304917</v>
      </c>
    </row>
    <row r="3" spans="1:22" ht="15" x14ac:dyDescent="0.25">
      <c r="A3" s="249" t="s">
        <v>555</v>
      </c>
      <c r="B3" s="249">
        <v>11.7</v>
      </c>
      <c r="C3" s="250">
        <v>140.11965653275658</v>
      </c>
      <c r="D3" s="250">
        <v>11.976039019893726</v>
      </c>
      <c r="E3" s="250"/>
      <c r="F3" s="250"/>
      <c r="G3" s="250">
        <v>5.1491181691293963</v>
      </c>
      <c r="H3" s="251">
        <v>0.44009557001105953</v>
      </c>
      <c r="I3" s="249"/>
      <c r="J3" s="237"/>
      <c r="K3" s="252">
        <v>1.0614659796210599</v>
      </c>
      <c r="L3" s="252">
        <v>9.0723588001799998E-2</v>
      </c>
      <c r="M3" s="70"/>
      <c r="N3" s="70"/>
      <c r="O3" s="253"/>
      <c r="P3" s="254"/>
      <c r="Q3" s="71"/>
      <c r="R3" s="237"/>
      <c r="S3" s="237"/>
      <c r="T3" s="237"/>
      <c r="U3" s="237"/>
      <c r="V3" s="253"/>
    </row>
    <row r="4" spans="1:22" ht="15" x14ac:dyDescent="0.25">
      <c r="A4" s="99" t="s">
        <v>556</v>
      </c>
      <c r="B4">
        <v>4</v>
      </c>
      <c r="D4" s="237">
        <v>42.174999999999997</v>
      </c>
      <c r="E4" s="237">
        <f>D4*6</f>
        <v>253.04999999999998</v>
      </c>
      <c r="F4" s="237">
        <f>(D4*B4)+((D4-D5)*(15-B4))</f>
        <v>632.625</v>
      </c>
      <c r="H4" s="70">
        <v>0.57050000000000001</v>
      </c>
      <c r="I4" s="237">
        <v>2.4611369999999999</v>
      </c>
      <c r="J4" s="237">
        <v>3.2672534999999998</v>
      </c>
      <c r="L4" s="70">
        <v>9.8000000000000004E-2</v>
      </c>
      <c r="M4" s="70">
        <v>0.39513600000000004</v>
      </c>
      <c r="N4" s="70">
        <v>0.409248</v>
      </c>
      <c r="O4" s="240">
        <v>90.518000000000001</v>
      </c>
      <c r="P4" s="71">
        <f>O4*E4</f>
        <v>22905.579899999997</v>
      </c>
      <c r="Q4" s="71">
        <f>O4*F4</f>
        <v>57263.94975</v>
      </c>
      <c r="R4" s="237">
        <v>222.77605043539998</v>
      </c>
      <c r="S4" s="237">
        <v>295.74372759469998</v>
      </c>
      <c r="T4" s="237">
        <v>35.766736051200006</v>
      </c>
      <c r="U4" s="237">
        <v>37.044119481599999</v>
      </c>
    </row>
    <row r="5" spans="1:22" ht="15" x14ac:dyDescent="0.25">
      <c r="A5" s="249" t="s">
        <v>557</v>
      </c>
      <c r="B5" s="249">
        <v>4</v>
      </c>
      <c r="C5" s="249"/>
      <c r="D5" s="249">
        <v>0</v>
      </c>
      <c r="E5" s="249"/>
      <c r="F5" s="249"/>
      <c r="G5" s="249"/>
      <c r="H5" s="252">
        <v>0.48093150000000001</v>
      </c>
      <c r="I5" s="237"/>
      <c r="L5" s="252">
        <v>9.6432000000000004E-2</v>
      </c>
      <c r="M5" s="70"/>
      <c r="O5" s="237"/>
      <c r="P5" s="71"/>
      <c r="Q5" s="71"/>
      <c r="R5" s="237"/>
      <c r="S5" s="237"/>
      <c r="T5" s="237"/>
      <c r="U5" s="237"/>
    </row>
    <row r="6" spans="1:22" ht="15" x14ac:dyDescent="0.25">
      <c r="A6" s="99" t="s">
        <v>558</v>
      </c>
      <c r="B6">
        <v>5.4</v>
      </c>
      <c r="C6" s="237">
        <v>401.80000000000007</v>
      </c>
      <c r="D6" s="237">
        <v>74.407407407407419</v>
      </c>
      <c r="E6" s="237">
        <f>D6*6</f>
        <v>446.44444444444451</v>
      </c>
      <c r="F6" s="237">
        <f>(D6*B6)+((D6-D7)*(15-B6))</f>
        <v>1116.1111111111113</v>
      </c>
      <c r="G6" s="237">
        <v>21.226800000000001</v>
      </c>
      <c r="H6" s="237">
        <v>3.9308888888888887</v>
      </c>
      <c r="I6" s="237">
        <v>21.276329199999999</v>
      </c>
      <c r="J6" s="237">
        <v>22.019267200000002</v>
      </c>
      <c r="K6" s="237">
        <v>4.1547999999999998</v>
      </c>
      <c r="L6" s="70">
        <v>0.76940740740740732</v>
      </c>
      <c r="M6" s="70">
        <v>4.1640328888888885</v>
      </c>
      <c r="N6" s="238">
        <v>4.3025262222222223</v>
      </c>
      <c r="O6" s="240">
        <v>35.542000000000002</v>
      </c>
      <c r="P6" s="71">
        <f>O6*E6</f>
        <v>15867.528444444448</v>
      </c>
      <c r="Q6" s="71">
        <f>O6*F6</f>
        <v>39668.821111111123</v>
      </c>
      <c r="R6" s="237">
        <v>756.19440019197975</v>
      </c>
      <c r="S6" s="237">
        <v>782.5995920842837</v>
      </c>
      <c r="T6" s="237">
        <v>147.99631661992754</v>
      </c>
      <c r="U6" s="237">
        <v>152.91858879132204</v>
      </c>
    </row>
    <row r="7" spans="1:22" ht="15" x14ac:dyDescent="0.25">
      <c r="A7" s="249" t="s">
        <v>559</v>
      </c>
      <c r="D7" s="249">
        <v>0</v>
      </c>
      <c r="H7" s="251">
        <v>3.8483402222222218</v>
      </c>
      <c r="L7" s="252">
        <v>0.75401925925925917</v>
      </c>
    </row>
    <row r="8" spans="1:22" ht="15" x14ac:dyDescent="0.25">
      <c r="A8" s="99"/>
      <c r="O8" s="99" t="s">
        <v>560</v>
      </c>
      <c r="P8" s="101">
        <f>P6+P4</f>
        <v>38773.108344444445</v>
      </c>
      <c r="Q8" s="101">
        <f>Q6+Q4</f>
        <v>96932.770861111116</v>
      </c>
      <c r="R8" s="101">
        <v>978.97045062737971</v>
      </c>
      <c r="S8" s="101">
        <v>1078.3433196789838</v>
      </c>
      <c r="T8" s="101">
        <v>183.76305267112755</v>
      </c>
      <c r="U8" s="101">
        <v>189.96270827292204</v>
      </c>
    </row>
    <row r="9" spans="1:22" ht="15" x14ac:dyDescent="0.25">
      <c r="O9" s="99" t="s">
        <v>561</v>
      </c>
      <c r="P9" s="101">
        <f>P8*0.90718474</f>
        <v>35174.372212446666</v>
      </c>
      <c r="Q9" s="101">
        <f>Q8*0.90718474</f>
        <v>87935.930531116668</v>
      </c>
      <c r="R9" s="101">
        <v>888.10705372008238</v>
      </c>
      <c r="S9" s="101">
        <v>978.25660409371585</v>
      </c>
      <c r="T9" s="101">
        <v>166.70703715906316</v>
      </c>
      <c r="U9" s="101">
        <v>172.33127011426663</v>
      </c>
    </row>
    <row r="10" spans="1:22" ht="15" x14ac:dyDescent="0.25">
      <c r="O10" s="99"/>
      <c r="P10" s="101"/>
      <c r="Q10" s="101"/>
      <c r="S10" s="255"/>
    </row>
    <row r="11" spans="1:22" ht="15" x14ac:dyDescent="0.25">
      <c r="O11" s="99"/>
      <c r="P11" s="101"/>
      <c r="Q11" s="101"/>
    </row>
    <row r="12" spans="1:22" ht="15" x14ac:dyDescent="0.25">
      <c r="O12" s="99"/>
      <c r="P12" s="101"/>
      <c r="Q12" s="101"/>
    </row>
    <row r="13" spans="1:22" ht="105" x14ac:dyDescent="0.25">
      <c r="O13" s="232" t="s">
        <v>562</v>
      </c>
      <c r="P13" s="101">
        <f>P9*((100-AVERAGE('Electricity emission rates'!G87:G92))/100)</f>
        <v>48441.287559163364</v>
      </c>
      <c r="Q13" s="101">
        <f>((1/3)*((100-AVERAGE('Electricity emission rates'!G87:G92))/100)*Q9)+((2/3)*((100-AVERAGE('Electricity emission rates'!G77:G86))/100)*Q9)+((2/3)*((100-AVERAGE('Electricity emission rates'!G67:G76))/100)*Q9)/2</f>
        <v>188940.4237796964</v>
      </c>
      <c r="R13" s="101">
        <v>1184.142738293443</v>
      </c>
      <c r="S13" s="101">
        <v>1336.9506922614116</v>
      </c>
      <c r="T13" s="101">
        <v>222.27604954541755</v>
      </c>
      <c r="U13" s="101">
        <v>235.51940248949774</v>
      </c>
      <c r="V13" t="s">
        <v>563</v>
      </c>
    </row>
    <row r="14" spans="1:22" ht="15" x14ac:dyDescent="0.25">
      <c r="O14" s="99"/>
      <c r="P14" s="101"/>
      <c r="Q14" s="101"/>
      <c r="R14" s="101"/>
      <c r="S14" s="101"/>
      <c r="T14" s="101"/>
      <c r="U14" s="101"/>
    </row>
    <row r="15" spans="1:22" ht="15" x14ac:dyDescent="0.25">
      <c r="P15" s="101"/>
      <c r="Q15" s="101"/>
    </row>
    <row r="16" spans="1:22" x14ac:dyDescent="0.2">
      <c r="A16" t="s">
        <v>564</v>
      </c>
    </row>
    <row r="17" spans="1:17" x14ac:dyDescent="0.2">
      <c r="A17" t="s">
        <v>565</v>
      </c>
    </row>
    <row r="18" spans="1:17" ht="15" x14ac:dyDescent="0.25">
      <c r="A18" s="99" t="s">
        <v>566</v>
      </c>
    </row>
    <row r="19" spans="1:17" x14ac:dyDescent="0.2">
      <c r="A19" t="s">
        <v>567</v>
      </c>
    </row>
    <row r="20" spans="1:17" x14ac:dyDescent="0.2">
      <c r="A20" t="s">
        <v>564</v>
      </c>
      <c r="I20" s="193"/>
      <c r="J20" s="193"/>
      <c r="K20" s="193"/>
      <c r="L20" s="193"/>
      <c r="M20" s="193"/>
      <c r="N20" s="193"/>
      <c r="O20" s="193"/>
      <c r="P20" s="193"/>
    </row>
    <row r="21" spans="1:17" ht="15" x14ac:dyDescent="0.25">
      <c r="A21" t="s">
        <v>565</v>
      </c>
      <c r="B21" s="99"/>
      <c r="C21" s="202"/>
      <c r="D21" s="237"/>
      <c r="E21" s="187"/>
      <c r="F21" s="99"/>
      <c r="G21" s="237"/>
      <c r="H21" s="237"/>
      <c r="I21" s="256"/>
      <c r="J21" s="256"/>
      <c r="K21" s="256"/>
      <c r="L21" s="257"/>
      <c r="M21" s="257"/>
      <c r="N21" s="257"/>
      <c r="O21" s="258"/>
      <c r="P21" s="258"/>
      <c r="Q21" s="238"/>
    </row>
    <row r="22" spans="1:17" x14ac:dyDescent="0.2">
      <c r="C22" s="202"/>
      <c r="D22" s="237"/>
      <c r="E22" s="239"/>
      <c r="G22" s="237"/>
      <c r="H22" s="237"/>
      <c r="I22" s="193"/>
      <c r="J22" s="193"/>
      <c r="K22" s="186"/>
      <c r="L22" s="193"/>
      <c r="M22" s="193"/>
      <c r="N22" s="257"/>
      <c r="O22" s="193"/>
      <c r="P22" s="193"/>
      <c r="Q22" s="237"/>
    </row>
    <row r="23" spans="1:17" x14ac:dyDescent="0.2">
      <c r="C23" s="202"/>
      <c r="D23" s="237"/>
      <c r="E23" s="187"/>
      <c r="I23" s="193"/>
      <c r="J23" s="193"/>
      <c r="K23" s="186"/>
      <c r="L23" s="193"/>
      <c r="M23" s="193"/>
      <c r="N23" s="186"/>
      <c r="O23" s="193"/>
      <c r="P23" s="193"/>
      <c r="Q23" s="71"/>
    </row>
    <row r="24" spans="1:17" x14ac:dyDescent="0.2">
      <c r="I24" s="193"/>
      <c r="J24" s="193"/>
      <c r="K24" s="193"/>
      <c r="L24" s="193"/>
      <c r="M24" s="193"/>
      <c r="N24" s="193"/>
      <c r="O24" s="193"/>
      <c r="P24" s="193"/>
    </row>
    <row r="28" spans="1:17" x14ac:dyDescent="0.2">
      <c r="D28" s="240"/>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10F97-F021-4DE3-AB70-E0E7215054D9}">
  <dimension ref="A1:L35"/>
  <sheetViews>
    <sheetView workbookViewId="0">
      <selection activeCell="A4" sqref="A4"/>
    </sheetView>
  </sheetViews>
  <sheetFormatPr defaultRowHeight="12.75" customHeight="1" x14ac:dyDescent="0.2"/>
  <cols>
    <col min="1" max="1" width="36.85546875" customWidth="1"/>
    <col min="2" max="2" width="16.7109375" bestFit="1" customWidth="1"/>
    <col min="3" max="3" width="23.28515625" customWidth="1"/>
    <col min="4" max="4" width="19" customWidth="1"/>
    <col min="5" max="5" width="16.7109375" bestFit="1" customWidth="1"/>
    <col min="6" max="6" width="19.42578125" customWidth="1"/>
    <col min="7" max="7" width="34" customWidth="1"/>
    <col min="8" max="8" width="20.28515625" customWidth="1"/>
    <col min="9" max="9" width="20.140625" customWidth="1"/>
    <col min="10" max="10" width="19.28515625" bestFit="1" customWidth="1"/>
  </cols>
  <sheetData>
    <row r="1" spans="1:12" ht="12.75" customHeight="1" x14ac:dyDescent="0.2">
      <c r="A1" t="s">
        <v>568</v>
      </c>
      <c r="D1" s="69">
        <v>47848</v>
      </c>
      <c r="H1" s="69">
        <v>55153</v>
      </c>
    </row>
    <row r="2" spans="1:12" ht="12.75" customHeight="1" x14ac:dyDescent="0.2">
      <c r="D2" s="69"/>
      <c r="H2" s="69"/>
    </row>
    <row r="3" spans="1:12" ht="12.75" customHeight="1" x14ac:dyDescent="0.2">
      <c r="A3" s="112" t="s">
        <v>569</v>
      </c>
      <c r="B3" s="112" t="s">
        <v>570</v>
      </c>
      <c r="C3" s="112" t="s">
        <v>571</v>
      </c>
      <c r="D3" s="112" t="s">
        <v>572</v>
      </c>
      <c r="E3" s="112" t="s">
        <v>573</v>
      </c>
      <c r="F3" s="112" t="s">
        <v>574</v>
      </c>
      <c r="G3" s="112" t="s">
        <v>384</v>
      </c>
      <c r="H3" s="112" t="s">
        <v>575</v>
      </c>
      <c r="I3" s="112" t="s">
        <v>576</v>
      </c>
      <c r="J3" s="112" t="s">
        <v>577</v>
      </c>
      <c r="K3" s="112" t="s">
        <v>384</v>
      </c>
      <c r="L3" s="112" t="s">
        <v>376</v>
      </c>
    </row>
    <row r="4" spans="1:12" ht="12.75" customHeight="1" x14ac:dyDescent="0.2">
      <c r="A4" s="113" t="s">
        <v>578</v>
      </c>
      <c r="B4" s="113">
        <f>C4/0.653594444</f>
        <v>9600.0357065458775</v>
      </c>
      <c r="C4" s="113">
        <v>6274.53</v>
      </c>
      <c r="D4" s="114">
        <v>47118</v>
      </c>
      <c r="E4" s="115">
        <f>(D$1-D4)/365</f>
        <v>2</v>
      </c>
      <c r="F4" s="116">
        <f>E4*C4</f>
        <v>12549.06</v>
      </c>
      <c r="G4" s="117"/>
      <c r="H4" s="118"/>
      <c r="I4" s="119">
        <f t="shared" ref="I4:I12" si="0">(H$1-D4)/365.24</f>
        <v>21.999233380790713</v>
      </c>
      <c r="J4" s="116">
        <f>C4*I4</f>
        <v>138034.84982477274</v>
      </c>
      <c r="K4" s="120"/>
      <c r="L4" s="113" t="s">
        <v>579</v>
      </c>
    </row>
    <row r="5" spans="1:12" ht="12.75" customHeight="1" x14ac:dyDescent="0.2">
      <c r="A5" s="113" t="s">
        <v>580</v>
      </c>
      <c r="B5" s="266"/>
      <c r="C5" s="267">
        <v>41858.870000000003</v>
      </c>
      <c r="D5" s="114">
        <v>46447</v>
      </c>
      <c r="E5" s="115">
        <f>(D$1-D5)/365</f>
        <v>3.8383561643835615</v>
      </c>
      <c r="F5" s="116">
        <f>E5*C5</f>
        <v>160669.25169863013</v>
      </c>
      <c r="G5" s="290"/>
      <c r="H5" s="118"/>
      <c r="I5" s="119">
        <f t="shared" si="0"/>
        <v>23.836381557332164</v>
      </c>
      <c r="J5" s="116">
        <f>C5*I5</f>
        <v>997763.99687876471</v>
      </c>
      <c r="K5" s="291"/>
      <c r="L5" s="292" t="s">
        <v>581</v>
      </c>
    </row>
    <row r="6" spans="1:12" ht="12.75" customHeight="1" x14ac:dyDescent="0.2">
      <c r="A6" s="113" t="s">
        <v>582</v>
      </c>
      <c r="B6" s="266"/>
      <c r="C6" s="267">
        <v>41858.870000000003</v>
      </c>
      <c r="D6" s="114">
        <v>46722</v>
      </c>
      <c r="E6" s="115">
        <f>(D$1-D6)/365</f>
        <v>3.0849315068493151</v>
      </c>
      <c r="F6" s="116">
        <f>E6*C6</f>
        <v>129131.74690410959</v>
      </c>
      <c r="G6" s="290"/>
      <c r="H6" s="118"/>
      <c r="I6" s="119">
        <f t="shared" si="0"/>
        <v>23.083451976782388</v>
      </c>
      <c r="J6" s="116">
        <f>C6*I6</f>
        <v>966247.21544737706</v>
      </c>
      <c r="K6" s="291"/>
      <c r="L6" s="292"/>
    </row>
    <row r="7" spans="1:12" ht="12.75" customHeight="1" x14ac:dyDescent="0.2">
      <c r="A7" s="113" t="s">
        <v>583</v>
      </c>
      <c r="B7" s="266"/>
      <c r="C7" s="268">
        <f>25448.71*4</f>
        <v>101794.84</v>
      </c>
      <c r="D7" s="114">
        <v>46387</v>
      </c>
      <c r="E7" s="115">
        <f>(D$1-D7)/365</f>
        <v>4.0027397260273974</v>
      </c>
      <c r="F7" s="116">
        <f>E7*C7</f>
        <v>407458.24997260276</v>
      </c>
      <c r="G7" s="272"/>
      <c r="H7" s="118"/>
      <c r="I7" s="119">
        <f t="shared" si="0"/>
        <v>24.000657102179389</v>
      </c>
      <c r="J7" s="116">
        <f>C7*I7</f>
        <v>2443143.0496112145</v>
      </c>
      <c r="K7" s="120"/>
      <c r="L7" s="113" t="s">
        <v>584</v>
      </c>
    </row>
    <row r="8" spans="1:12" ht="12.75" customHeight="1" x14ac:dyDescent="0.2">
      <c r="A8" s="113" t="s">
        <v>585</v>
      </c>
      <c r="B8" s="266">
        <f t="shared" ref="B8:B17" si="1">C8/0.653594444</f>
        <v>4000.0187027293641</v>
      </c>
      <c r="C8" s="268">
        <v>2614.39</v>
      </c>
      <c r="D8" s="114">
        <v>46022</v>
      </c>
      <c r="E8" s="115">
        <f>(D$1-D8)/365</f>
        <v>5.0027397260273974</v>
      </c>
      <c r="F8" s="116">
        <f>E8*C8</f>
        <v>13079.112712328766</v>
      </c>
      <c r="G8" s="288"/>
      <c r="H8" s="118"/>
      <c r="I8" s="119">
        <f t="shared" si="0"/>
        <v>25</v>
      </c>
      <c r="J8" s="116">
        <f t="shared" ref="J8:J13" si="2">I8*C8</f>
        <v>65359.75</v>
      </c>
      <c r="K8" s="289"/>
      <c r="L8" s="113" t="s">
        <v>586</v>
      </c>
    </row>
    <row r="9" spans="1:12" ht="12.75" customHeight="1" x14ac:dyDescent="0.2">
      <c r="A9" s="113" t="s">
        <v>587</v>
      </c>
      <c r="B9" s="266">
        <f t="shared" si="1"/>
        <v>4000.0187027293641</v>
      </c>
      <c r="C9" s="268">
        <v>2614.39</v>
      </c>
      <c r="D9" s="114">
        <v>47848</v>
      </c>
      <c r="E9" s="115"/>
      <c r="F9" s="116"/>
      <c r="G9" s="288"/>
      <c r="H9" s="118"/>
      <c r="I9" s="119">
        <f t="shared" si="0"/>
        <v>20.000547585149491</v>
      </c>
      <c r="J9" s="116">
        <f t="shared" si="2"/>
        <v>52289.231601138978</v>
      </c>
      <c r="K9" s="289"/>
      <c r="L9" s="113"/>
    </row>
    <row r="10" spans="1:12" ht="12.75" customHeight="1" x14ac:dyDescent="0.2">
      <c r="A10" s="113" t="s">
        <v>588</v>
      </c>
      <c r="B10" s="266">
        <f t="shared" si="1"/>
        <v>4000.0187027293641</v>
      </c>
      <c r="C10" s="268">
        <v>2614.39</v>
      </c>
      <c r="D10" s="114">
        <v>49674</v>
      </c>
      <c r="E10" s="115"/>
      <c r="F10" s="116"/>
      <c r="G10" s="288"/>
      <c r="H10" s="118"/>
      <c r="I10" s="119">
        <f t="shared" si="0"/>
        <v>15.001095170298981</v>
      </c>
      <c r="J10" s="116">
        <f t="shared" si="2"/>
        <v>39218.713202277955</v>
      </c>
      <c r="K10" s="289"/>
      <c r="L10" s="113"/>
    </row>
    <row r="11" spans="1:12" ht="12.75" customHeight="1" x14ac:dyDescent="0.2">
      <c r="A11" s="113" t="s">
        <v>589</v>
      </c>
      <c r="B11" s="113">
        <f t="shared" si="1"/>
        <v>4000.0187027293641</v>
      </c>
      <c r="C11" s="119">
        <v>2614.39</v>
      </c>
      <c r="D11" s="114">
        <v>51501</v>
      </c>
      <c r="E11" s="115"/>
      <c r="F11" s="116"/>
      <c r="G11" s="288"/>
      <c r="H11" s="118"/>
      <c r="I11" s="119">
        <f t="shared" si="0"/>
        <v>9.9989048297010186</v>
      </c>
      <c r="J11" s="116">
        <f t="shared" si="2"/>
        <v>26141.036797722045</v>
      </c>
      <c r="K11" s="289"/>
      <c r="L11" s="113"/>
    </row>
    <row r="12" spans="1:12" ht="12.75" customHeight="1" x14ac:dyDescent="0.2">
      <c r="A12" s="113" t="s">
        <v>590</v>
      </c>
      <c r="B12" s="113">
        <f t="shared" si="1"/>
        <v>4000.0187027293641</v>
      </c>
      <c r="C12" s="119">
        <v>2614.39</v>
      </c>
      <c r="D12" s="114">
        <v>53327</v>
      </c>
      <c r="E12" s="115"/>
      <c r="F12" s="116"/>
      <c r="G12" s="288"/>
      <c r="H12" s="118"/>
      <c r="I12" s="119">
        <f t="shared" si="0"/>
        <v>4.9994524148505093</v>
      </c>
      <c r="J12" s="116">
        <f t="shared" si="2"/>
        <v>13070.518398861022</v>
      </c>
      <c r="K12" s="289"/>
      <c r="L12" s="113"/>
    </row>
    <row r="13" spans="1:12" s="49" customFormat="1" ht="12.75" customHeight="1" x14ac:dyDescent="0.2">
      <c r="A13" s="269" t="s">
        <v>591</v>
      </c>
      <c r="B13" s="113">
        <f t="shared" si="1"/>
        <v>1875.0006387753199</v>
      </c>
      <c r="C13" s="269">
        <v>1225.49</v>
      </c>
      <c r="D13" s="259">
        <v>46447</v>
      </c>
      <c r="E13" s="115">
        <f>(D$1-D13)/365</f>
        <v>3.8383561643835615</v>
      </c>
      <c r="F13" s="260">
        <f>E13*C13</f>
        <v>4703.8670958904113</v>
      </c>
      <c r="G13" s="261"/>
      <c r="H13" s="269"/>
      <c r="I13" s="269">
        <v>1.2</v>
      </c>
      <c r="J13" s="116">
        <f t="shared" si="2"/>
        <v>1470.588</v>
      </c>
      <c r="K13" s="287"/>
      <c r="L13" s="286" t="s">
        <v>592</v>
      </c>
    </row>
    <row r="14" spans="1:12" s="49" customFormat="1" ht="12.75" customHeight="1" x14ac:dyDescent="0.2">
      <c r="A14" s="269" t="s">
        <v>593</v>
      </c>
      <c r="B14" s="113">
        <f t="shared" si="1"/>
        <v>3750.0165775582996</v>
      </c>
      <c r="C14" s="269">
        <v>2450.9899999999998</v>
      </c>
      <c r="D14" s="259">
        <v>47908</v>
      </c>
      <c r="E14" s="269"/>
      <c r="F14" s="270"/>
      <c r="G14" s="270"/>
      <c r="H14" s="269"/>
      <c r="I14" s="269">
        <v>5</v>
      </c>
      <c r="J14" s="262">
        <v>12255</v>
      </c>
      <c r="K14" s="287"/>
      <c r="L14" s="286"/>
    </row>
    <row r="15" spans="1:12" s="49" customFormat="1" ht="12.75" customHeight="1" x14ac:dyDescent="0.2">
      <c r="A15" s="269" t="s">
        <v>594</v>
      </c>
      <c r="B15" s="113">
        <f t="shared" si="1"/>
        <v>5625.0172163336201</v>
      </c>
      <c r="C15" s="269">
        <v>3676.48</v>
      </c>
      <c r="D15" s="259">
        <v>49735</v>
      </c>
      <c r="E15" s="269"/>
      <c r="F15" s="270"/>
      <c r="G15" s="270"/>
      <c r="H15" s="269"/>
      <c r="I15" s="269">
        <v>5</v>
      </c>
      <c r="J15" s="262">
        <v>18382</v>
      </c>
      <c r="K15" s="287"/>
      <c r="L15" s="286"/>
    </row>
    <row r="16" spans="1:12" s="49" customFormat="1" ht="12.75" customHeight="1" x14ac:dyDescent="0.2">
      <c r="A16" s="269" t="s">
        <v>595</v>
      </c>
      <c r="B16" s="113">
        <f t="shared" si="1"/>
        <v>7500.0178551089402</v>
      </c>
      <c r="C16" s="269">
        <v>4901.97</v>
      </c>
      <c r="D16" s="259">
        <v>51561</v>
      </c>
      <c r="E16" s="269"/>
      <c r="F16" s="270"/>
      <c r="G16" s="270"/>
      <c r="H16" s="269"/>
      <c r="I16" s="269">
        <v>5</v>
      </c>
      <c r="J16" s="262">
        <v>24510</v>
      </c>
      <c r="K16" s="287"/>
      <c r="L16" s="286"/>
    </row>
    <row r="17" spans="1:12" s="49" customFormat="1" ht="12.75" customHeight="1" x14ac:dyDescent="0.2">
      <c r="A17" s="269" t="s">
        <v>596</v>
      </c>
      <c r="B17" s="113">
        <f t="shared" si="1"/>
        <v>9375.0184938842594</v>
      </c>
      <c r="C17" s="269">
        <v>6127.46</v>
      </c>
      <c r="D17" s="259">
        <v>53387</v>
      </c>
      <c r="E17" s="269"/>
      <c r="F17" s="270"/>
      <c r="G17" s="270"/>
      <c r="H17" s="269"/>
      <c r="I17" s="269">
        <v>5</v>
      </c>
      <c r="J17" s="262">
        <v>30637</v>
      </c>
      <c r="K17" s="287"/>
      <c r="L17" s="286"/>
    </row>
    <row r="18" spans="1:12" s="49" customFormat="1" ht="12.75" customHeight="1" x14ac:dyDescent="0.2">
      <c r="D18" s="263"/>
      <c r="E18" s="260"/>
      <c r="G18" s="264"/>
      <c r="I18" s="260"/>
      <c r="J18" s="265"/>
    </row>
    <row r="19" spans="1:12" ht="12.75" customHeight="1" x14ac:dyDescent="0.2">
      <c r="D19" t="s">
        <v>402</v>
      </c>
      <c r="E19" s="73">
        <f>SUM(F4:F17)</f>
        <v>727591.28838356165</v>
      </c>
      <c r="F19" s="71"/>
      <c r="H19" t="s">
        <v>402</v>
      </c>
      <c r="I19" s="73">
        <f>SUM(J4:J17)</f>
        <v>4828522.9497621292</v>
      </c>
    </row>
    <row r="21" spans="1:12" ht="12.75" customHeight="1" x14ac:dyDescent="0.2">
      <c r="D21" t="s">
        <v>597</v>
      </c>
      <c r="E21" s="71">
        <f>F5+F6</f>
        <v>289800.99860273971</v>
      </c>
      <c r="H21" t="s">
        <v>597</v>
      </c>
      <c r="I21" s="71">
        <f>J5+J6</f>
        <v>1964011.2123261418</v>
      </c>
    </row>
    <row r="22" spans="1:12" ht="12.75" customHeight="1" x14ac:dyDescent="0.2">
      <c r="D22" t="s">
        <v>598</v>
      </c>
      <c r="E22">
        <v>33411601</v>
      </c>
      <c r="I22">
        <v>33411601</v>
      </c>
    </row>
    <row r="23" spans="1:12" ht="12.75" customHeight="1" x14ac:dyDescent="0.2">
      <c r="D23" t="s">
        <v>368</v>
      </c>
      <c r="E23">
        <f>E22/E19</f>
        <v>45.920837059811703</v>
      </c>
      <c r="H23" t="s">
        <v>368</v>
      </c>
      <c r="I23">
        <f>I22/I19</f>
        <v>6.9196318103129197</v>
      </c>
    </row>
    <row r="25" spans="1:12" ht="12.75" customHeight="1" x14ac:dyDescent="0.2">
      <c r="A25" t="s">
        <v>599</v>
      </c>
    </row>
    <row r="26" spans="1:12" ht="12.75" customHeight="1" x14ac:dyDescent="0.2">
      <c r="A26" t="s">
        <v>600</v>
      </c>
    </row>
    <row r="27" spans="1:12" ht="12.75" customHeight="1" x14ac:dyDescent="0.2">
      <c r="A27" t="s">
        <v>601</v>
      </c>
    </row>
    <row r="28" spans="1:12" ht="12.75" customHeight="1" x14ac:dyDescent="0.2">
      <c r="A28" t="s">
        <v>602</v>
      </c>
    </row>
    <row r="29" spans="1:12" ht="12.75" customHeight="1" x14ac:dyDescent="0.2">
      <c r="A29" t="s">
        <v>603</v>
      </c>
    </row>
    <row r="33" spans="1:1" ht="12.75" customHeight="1" x14ac:dyDescent="0.2">
      <c r="A33" t="s">
        <v>604</v>
      </c>
    </row>
    <row r="34" spans="1:1" ht="12.75" customHeight="1" x14ac:dyDescent="0.2">
      <c r="A34" t="s">
        <v>605</v>
      </c>
    </row>
    <row r="35" spans="1:1" ht="12.75" customHeight="1" x14ac:dyDescent="0.2">
      <c r="A35" t="s">
        <v>606</v>
      </c>
    </row>
  </sheetData>
  <mergeCells count="7">
    <mergeCell ref="L13:L17"/>
    <mergeCell ref="K13:K17"/>
    <mergeCell ref="G8:G12"/>
    <mergeCell ref="K8:K12"/>
    <mergeCell ref="G5:G6"/>
    <mergeCell ref="K5:K6"/>
    <mergeCell ref="L5:L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53b5481-df89-4c1c-9ae0-f8270f220dcd" xsi:nil="true"/>
    <lcf76f155ced4ddcb4097134ff3c332f xmlns="04578738-faab-47b7-9e39-a6397e718d03">
      <Terms xmlns="http://schemas.microsoft.com/office/infopath/2007/PartnerControls"/>
    </lcf76f155ced4ddcb4097134ff3c332f>
    <SharedWithUsers xmlns="153b5481-df89-4c1c-9ae0-f8270f220dcd">
      <UserInfo>
        <DisplayName>Claflin, Anne (She/They) (MPCA)</DisplayName>
        <AccountId>88</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0D2EA9A8A154E40BBC1BB9DE7159EDB" ma:contentTypeVersion="16" ma:contentTypeDescription="Create a new document." ma:contentTypeScope="" ma:versionID="38e6b6caa0c425c529134a6e1c3a83e7">
  <xsd:schema xmlns:xsd="http://www.w3.org/2001/XMLSchema" xmlns:xs="http://www.w3.org/2001/XMLSchema" xmlns:p="http://schemas.microsoft.com/office/2006/metadata/properties" xmlns:ns2="04578738-faab-47b7-9e39-a6397e718d03" xmlns:ns3="153b5481-df89-4c1c-9ae0-f8270f220dcd" targetNamespace="http://schemas.microsoft.com/office/2006/metadata/properties" ma:root="true" ma:fieldsID="3e572e4002324207b7d5abf9bd8e7b14" ns2:_="" ns3:_="">
    <xsd:import namespace="04578738-faab-47b7-9e39-a6397e718d03"/>
    <xsd:import namespace="153b5481-df89-4c1c-9ae0-f8270f220d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578738-faab-47b7-9e39-a6397e718d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19cb8a3-2c43-49ff-bdd4-56a41dc47caf" ma:termSetId="09814cd3-568e-fe90-9814-8d621ff8fb84" ma:anchorId="fba54fb3-c3e1-fe81-a776-ca4b69148c4d" ma:open="true" ma:isKeyword="false">
      <xsd:complexType>
        <xsd:sequence>
          <xsd:element ref="pc:Terms" minOccurs="0" maxOccurs="1"/>
        </xsd:sequence>
      </xsd:complex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3b5481-df89-4c1c-9ae0-f8270f220d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1285bbbf-e03b-4461-bd62-f1c6b8bc0bf2}" ma:internalName="TaxCatchAll" ma:showField="CatchAllData" ma:web="153b5481-df89-4c1c-9ae0-f8270f220d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CC1066-6D84-4128-A549-57F9FA7EA723}">
  <ds:schemaRefs>
    <ds:schemaRef ds:uri="http://schemas.microsoft.com/office/2006/metadata/properties"/>
    <ds:schemaRef ds:uri="http://schemas.microsoft.com/office/infopath/2007/PartnerControls"/>
    <ds:schemaRef ds:uri="153b5481-df89-4c1c-9ae0-f8270f220dcd"/>
    <ds:schemaRef ds:uri="04578738-faab-47b7-9e39-a6397e718d03"/>
  </ds:schemaRefs>
</ds:datastoreItem>
</file>

<file path=customXml/itemProps2.xml><?xml version="1.0" encoding="utf-8"?>
<ds:datastoreItem xmlns:ds="http://schemas.openxmlformats.org/officeDocument/2006/customXml" ds:itemID="{19388263-FAAC-4028-A639-8A6138A4BCD6}">
  <ds:schemaRefs>
    <ds:schemaRef ds:uri="http://schemas.microsoft.com/sharepoint/v3/contenttype/forms"/>
  </ds:schemaRefs>
</ds:datastoreItem>
</file>

<file path=customXml/itemProps3.xml><?xml version="1.0" encoding="utf-8"?>
<ds:datastoreItem xmlns:ds="http://schemas.openxmlformats.org/officeDocument/2006/customXml" ds:itemID="{B907C098-77D9-4E84-BF9A-ED19854D9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578738-faab-47b7-9e39-a6397e718d03"/>
    <ds:schemaRef ds:uri="153b5481-df89-4c1c-9ae0-f8270f220d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b14b046-24c4-4519-8f26-b89c2159828c}" enabled="0" method="" siteId="{eb14b046-24c4-4519-8f26-b89c2159828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Constants</vt:lpstr>
      <vt:lpstr>Electricity emission rates</vt:lpstr>
      <vt:lpstr>1 Peatlands</vt:lpstr>
      <vt:lpstr>2 Ag</vt:lpstr>
      <vt:lpstr>3 Industrial</vt:lpstr>
      <vt:lpstr>4 Refrigerants</vt:lpstr>
      <vt:lpstr>5 Vehicles and equip</vt:lpstr>
      <vt:lpstr>6 Organics</vt:lpstr>
      <vt:lpstr>7 Tribal and local food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Claflin, Anne (She/They) (MPCA)</dc:creator>
  <cp:keywords/>
  <dc:description/>
  <cp:lastModifiedBy>Hanson, Kimberly (She/Her/Hers) (MPCA)</cp:lastModifiedBy>
  <cp:revision/>
  <dcterms:created xsi:type="dcterms:W3CDTF">2024-01-11T19:28:07Z</dcterms:created>
  <dcterms:modified xsi:type="dcterms:W3CDTF">2024-03-21T14:19:29Z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0x01010010D2EA9A8A154E40BBC1BB9DE7159EDB</vt:lpwstr>
  </property>
  <property fmtid="{D5CDD505-2E9C-101B-9397-08002B2CF9AE}" pid="3" name="MediaServiceImageTags">
    <vt:lpwstr/>
  </property>
</Properties>
</file>