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tratechinc.sharepoint.com/teams/CPRG_MississippiDEQ/Shared Documents/General/C_Implementation grant/Competitive grants program/FOR BINDING/"/>
    </mc:Choice>
  </mc:AlternateContent>
  <xr:revisionPtr revIDLastSave="994" documentId="8_{EDFF591A-0F1D-44B4-BC29-5FEDBE1FE7F6}" xr6:coauthVersionLast="47" xr6:coauthVersionMax="47" xr10:uidLastSave="{034D13B4-FFFF-499A-B5F4-DEF998EC3DE0}"/>
  <bookViews>
    <workbookView xWindow="38280" yWindow="-120" windowWidth="29040" windowHeight="15840" activeTab="4" xr2:uid="{B5F57438-6B68-43AA-979C-59465D9F2102}"/>
  </bookViews>
  <sheets>
    <sheet name="Project 2.2" sheetId="2" r:id="rId1"/>
    <sheet name="Project 2.3" sheetId="3" r:id="rId2"/>
    <sheet name="Project 2.4" sheetId="4" r:id="rId3"/>
    <sheet name="Project 2.5" sheetId="5" r:id="rId4"/>
    <sheet name="Summary Table" sheetId="6" r:id="rId5"/>
  </sheets>
  <definedNames>
    <definedName name="_xlnm.Print_Area" localSheetId="0">'Project 2.2'!$A$1:$G$24</definedName>
    <definedName name="_xlnm.Print_Area" localSheetId="1">'Project 2.3'!$A$1:$G$23</definedName>
    <definedName name="_xlnm.Print_Area" localSheetId="2">'Project 2.4'!$A$1:$D$51</definedName>
    <definedName name="_xlnm.Print_Area" localSheetId="3">'Project 2.5'!$A$1:$D$22</definedName>
    <definedName name="_xlnm.Print_Area" localSheetId="4">'Summary Table'!$A$1:$C$9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 l="1"/>
  <c r="C8" i="6"/>
  <c r="B8" i="6"/>
  <c r="B34" i="4"/>
  <c r="B46" i="4"/>
  <c r="B50" i="4" s="1"/>
  <c r="B45" i="4"/>
  <c r="B49" i="4" s="1"/>
  <c r="C6" i="4"/>
  <c r="C17" i="5"/>
  <c r="C19" i="5" s="1"/>
  <c r="B17" i="5"/>
  <c r="B19" i="5" s="1"/>
  <c r="B19" i="3"/>
  <c r="B20" i="3" s="1"/>
  <c r="F12" i="3"/>
  <c r="F13" i="3" s="1"/>
  <c r="D12" i="3"/>
  <c r="D13" i="3" s="1"/>
  <c r="G11" i="3"/>
  <c r="G12" i="3" s="1"/>
  <c r="G13" i="3" s="1"/>
  <c r="F11" i="3"/>
  <c r="E11" i="3"/>
  <c r="E12" i="3" s="1"/>
  <c r="D11" i="3"/>
  <c r="C11" i="3"/>
  <c r="C12" i="3" s="1"/>
  <c r="B11" i="3"/>
  <c r="B12" i="3" s="1"/>
  <c r="G8" i="2"/>
  <c r="B20" i="2" s="1"/>
  <c r="B22" i="2" s="1"/>
  <c r="F8" i="2"/>
  <c r="B19" i="2" s="1"/>
  <c r="E8" i="2"/>
  <c r="B18" i="2" s="1"/>
  <c r="D8" i="2"/>
  <c r="B17" i="2" s="1"/>
  <c r="C8" i="2"/>
  <c r="B16" i="2" s="1"/>
  <c r="B8" i="2"/>
  <c r="B21" i="5" l="1"/>
  <c r="D21" i="5" s="1"/>
  <c r="B20" i="5"/>
  <c r="C21" i="5"/>
  <c r="C20" i="5"/>
  <c r="C13" i="3"/>
  <c r="E13" i="3"/>
  <c r="B21" i="3"/>
  <c r="B15" i="2"/>
  <c r="B23" i="2" s="1"/>
  <c r="D20" i="5" l="1"/>
  <c r="B24" i="2"/>
  <c r="B21" i="2"/>
  <c r="C26" i="4" l="1"/>
  <c r="D26" i="4" s="1"/>
  <c r="C33" i="4"/>
  <c r="D33" i="4" s="1"/>
  <c r="C27" i="4"/>
  <c r="D27" i="4" s="1"/>
  <c r="C32" i="4"/>
  <c r="D32" i="4" s="1"/>
  <c r="C29" i="4"/>
  <c r="D29" i="4" s="1"/>
  <c r="C31" i="4"/>
  <c r="D31" i="4" s="1"/>
  <c r="C28" i="4"/>
  <c r="D28" i="4" s="1"/>
  <c r="B7" i="4"/>
  <c r="C7" i="4" s="1"/>
  <c r="C30" i="4"/>
  <c r="D30" i="4" s="1"/>
  <c r="B8" i="4" l="1"/>
  <c r="C8" i="4" l="1"/>
  <c r="B9" i="4"/>
  <c r="C9" i="4" l="1"/>
  <c r="B10" i="4"/>
  <c r="C10" i="4" l="1"/>
  <c r="B11" i="4"/>
  <c r="C11" i="4" l="1"/>
  <c r="B12" i="4"/>
  <c r="C12" i="4" l="1"/>
  <c r="B13" i="4"/>
  <c r="C13" i="4" l="1"/>
  <c r="B14" i="4"/>
  <c r="B15" i="4" l="1"/>
  <c r="C14" i="4"/>
  <c r="D14" i="4" s="1"/>
  <c r="B16" i="4" l="1"/>
  <c r="C16" i="4" s="1"/>
  <c r="C15" i="4"/>
  <c r="D15" i="4" s="1"/>
  <c r="B17" i="4" l="1"/>
  <c r="D16" i="4"/>
  <c r="B18" i="4" l="1"/>
  <c r="C17" i="4"/>
  <c r="D17" i="4" s="1"/>
  <c r="B19" i="4" l="1"/>
  <c r="C18" i="4"/>
  <c r="D18" i="4" s="1"/>
  <c r="B20" i="4" l="1"/>
  <c r="C19" i="4"/>
  <c r="D19" i="4" s="1"/>
  <c r="C20" i="4" l="1"/>
  <c r="D20" i="4" s="1"/>
  <c r="B21" i="4"/>
  <c r="C21" i="4" l="1"/>
  <c r="D21" i="4" s="1"/>
  <c r="B22" i="4"/>
  <c r="C22" i="4" l="1"/>
  <c r="D22" i="4" s="1"/>
  <c r="B23" i="4"/>
  <c r="C23" i="4" l="1"/>
  <c r="D23" i="4" s="1"/>
  <c r="B24" i="4"/>
  <c r="B25" i="4" l="1"/>
  <c r="C25" i="4" s="1"/>
  <c r="D25" i="4" s="1"/>
  <c r="C24" i="4"/>
  <c r="D24" i="4" s="1"/>
  <c r="D46" i="4" l="1"/>
  <c r="C45" i="4"/>
  <c r="C49" i="4" s="1"/>
  <c r="D45" i="4"/>
  <c r="D49" i="4" s="1"/>
  <c r="C46" i="4"/>
  <c r="C50" i="4" s="1"/>
  <c r="D50" i="4" s="1"/>
</calcChain>
</file>

<file path=xl/sharedStrings.xml><?xml version="1.0" encoding="utf-8"?>
<sst xmlns="http://schemas.openxmlformats.org/spreadsheetml/2006/main" count="105" uniqueCount="96">
  <si>
    <t>Project 2.2 Portable Biochar Production for Forest Restoration and Carbon Management</t>
  </si>
  <si>
    <t>Table 1. Annual conversion of forestland to biochar production and corresponding carbon sequestration</t>
  </si>
  <si>
    <t>Year 1</t>
  </si>
  <si>
    <t>Year 2</t>
  </si>
  <si>
    <t>Year 3</t>
  </si>
  <si>
    <t>Year 4</t>
  </si>
  <si>
    <t>Year 5</t>
  </si>
  <si>
    <t>Year 6 and afterwards</t>
  </si>
  <si>
    <t>Annual Conversion (acre)</t>
  </si>
  <si>
    <t>Cumulative Conversion (acre)</t>
  </si>
  <si>
    <r>
      <t>Annual sequestration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e)</t>
    </r>
  </si>
  <si>
    <r>
      <t>Carbon sequestered in biochar assumed to be the same as the estimate average carbon sequestration in forestland (3.1 MT 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e per acre)</t>
    </r>
  </si>
  <si>
    <t>Annual sequestration is calculated based on the cumulative acreage at the beginning of each year plus half of the added acreage over the course of this year</t>
  </si>
  <si>
    <t>Table 2. Estimated carbon sequestration from this project</t>
  </si>
  <si>
    <r>
      <t>Sequestration per acreage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 per acre forest)</t>
    </r>
  </si>
  <si>
    <t>Planned total acreage (acre)</t>
  </si>
  <si>
    <r>
      <t>2025 Reduction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e)</t>
    </r>
  </si>
  <si>
    <r>
      <t>2026 Reduction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e)</t>
    </r>
  </si>
  <si>
    <r>
      <t>2027 Reduction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e)</t>
    </r>
  </si>
  <si>
    <r>
      <t>2028 Reduction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e)</t>
    </r>
  </si>
  <si>
    <r>
      <t>2029 Reduction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e)</t>
    </r>
  </si>
  <si>
    <r>
      <t>2030 Reduction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e)</t>
    </r>
  </si>
  <si>
    <r>
      <t>Annual Average Reduction 2025-2030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e) </t>
    </r>
  </si>
  <si>
    <r>
      <t>Annual Reduction after 2030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e)</t>
    </r>
  </si>
  <si>
    <r>
      <t>2025-2030 Total Reduction (MT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</si>
  <si>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r>
      <t>2025-2050 Total Reduction (MT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</si>
  <si>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Project 2.3 Forest Infrastructure to Measure and Monitor Forest and Agricultural GHG Emissions</t>
  </si>
  <si>
    <t>Table 1. Carbon storage and sequestration from forest management</t>
  </si>
  <si>
    <t>Number of years after the implementation</t>
  </si>
  <si>
    <t>1 year</t>
  </si>
  <si>
    <t>5 years</t>
  </si>
  <si>
    <t>10 years</t>
  </si>
  <si>
    <t>30 years</t>
  </si>
  <si>
    <t>50 years</t>
  </si>
  <si>
    <t>90 years</t>
  </si>
  <si>
    <t>Carbon storage - Loblolly-Shortleaf Pine (MT Carbon per acre)</t>
  </si>
  <si>
    <t>Carbon storage - Oak-Pine (MT Carbon per acre)</t>
  </si>
  <si>
    <t>Carbon storage - Oak-Hickory (MT Carbon per acre)</t>
  </si>
  <si>
    <t>Carbon storage - Oak-Gum-Cypress (MT Carbon per acre)</t>
  </si>
  <si>
    <t>Carbon storage - Elm-Ash-Cottonwood (MT Carbon per acre)</t>
  </si>
  <si>
    <t>Average carbon storage among forest types (MT C per acre)</t>
  </si>
  <si>
    <r>
      <t>Average carbon storage among forest types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 per acre)</t>
    </r>
  </si>
  <si>
    <t>Annual carbon removal (MT CO2e per acre)</t>
  </si>
  <si>
    <t>-</t>
  </si>
  <si>
    <t>Table 2. Carbon storage and sequestration from this project</t>
  </si>
  <si>
    <r>
      <t>Annual sequestration from forest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 per acre forest)</t>
    </r>
  </si>
  <si>
    <t>Benefits from forest measuring and monitoring infrastructure</t>
  </si>
  <si>
    <r>
      <t>Annual Reduction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e)</t>
    </r>
  </si>
  <si>
    <t xml:space="preserve">Assuming measuring and montoring infrastructure can optimize management practices and contribute to 20% of carbon sequestration </t>
  </si>
  <si>
    <t>https://doi.org/10.1016/j.foreco.2022.120637</t>
  </si>
  <si>
    <t>Project 2.4 Carbon Fiber Recycling Demonstration Using Waste Heat</t>
  </si>
  <si>
    <t>Table 1. Annual carbon fiber production</t>
  </si>
  <si>
    <t>Year</t>
  </si>
  <si>
    <t>Global Market Size (MT)</t>
  </si>
  <si>
    <t>North America Production (MT)</t>
  </si>
  <si>
    <t>Recycled Carbon Fiber Production (MT)</t>
  </si>
  <si>
    <t>Factor of market growth</t>
  </si>
  <si>
    <t>Rate of annual market growth</t>
  </si>
  <si>
    <t>References:</t>
  </si>
  <si>
    <t>https://www.mdpi.com/2504-477X/3/3/86</t>
  </si>
  <si>
    <t>https://www.nrel.gov/docs/fy16osti/66071.pdf</t>
  </si>
  <si>
    <t>https://www.nrel.gov/docs/fy17osti/66875.pdf</t>
  </si>
  <si>
    <t>Table 2. Estimated GHG emission reduction from recycled carbon fiber production</t>
  </si>
  <si>
    <t>Project period</t>
  </si>
  <si>
    <t>2025-2030</t>
  </si>
  <si>
    <t>2031-2050</t>
  </si>
  <si>
    <t>2025-2050 Total</t>
  </si>
  <si>
    <t>Annual average recycled carbon fiber production (MT)</t>
  </si>
  <si>
    <t>Total recycled carbon fiber production during this period (MT)</t>
  </si>
  <si>
    <t>Emissions from carbon fiber production (kg CO2e per kg carbon fiber)</t>
  </si>
  <si>
    <t>Emission reduction from recycled carbon fiber</t>
  </si>
  <si>
    <r>
      <t>Annual average emission reduction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e)</t>
    </r>
  </si>
  <si>
    <r>
      <t>Total emission reduction from recycled carbon fiber (MT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</si>
  <si>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Project 2.5 GHG Sequestration in Farming Methods: No Till and Cover Crops</t>
  </si>
  <si>
    <t>Table 7. Carbon benefits from agriculture management practices</t>
  </si>
  <si>
    <t>Best management practice</t>
  </si>
  <si>
    <r>
      <t>Carbon Sequestration 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 per 10,000 acres)</t>
    </r>
  </si>
  <si>
    <t>Cover Crops</t>
  </si>
  <si>
    <t>Multiple Conservation Practices</t>
  </si>
  <si>
    <t>Nutrient Management</t>
  </si>
  <si>
    <t>Residue and Tillage Management – No-Till</t>
  </si>
  <si>
    <t>Residue and Tillage Management – Reduced Till</t>
  </si>
  <si>
    <t>Strip-cropping </t>
  </si>
  <si>
    <t>Table 8. Estimated GHG sequestration from this project</t>
  </si>
  <si>
    <t>No Till</t>
  </si>
  <si>
    <t>Total</t>
  </si>
  <si>
    <r>
      <t>Reduction per cropland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 per 1,000 acre)</t>
    </r>
  </si>
  <si>
    <t>Planned cropland (thousand acre)</t>
  </si>
  <si>
    <r>
      <t>2025-2030 Total Reduction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e)</t>
    </r>
  </si>
  <si>
    <r>
      <t>2025-2050 Total Reduction (MT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e)</t>
    </r>
  </si>
  <si>
    <t>Assuming management practices are implemented starting from 2026</t>
  </si>
  <si>
    <t>Summary Table (with rounded values)</t>
  </si>
  <si>
    <t>Selected Measure</t>
  </si>
  <si>
    <r>
      <t>2025-2030 Reduction, in 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-eq</t>
    </r>
  </si>
  <si>
    <r>
      <t>2025-2050 Reduction, in MT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-eq</t>
    </r>
  </si>
  <si>
    <t>Totals from Selected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</si>
</sst>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u/>
      <sz val="9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9" fontId="0" fillId="0" borderId="0" xfId="1" applyFont="1"/>
    <xf numFmtId="3" fontId="0" fillId="0" borderId="0" xfId="0" applyNumberFormat="1"/>
    <xf numFmtId="164" fontId="0" fillId="0" borderId="0" xfId="1" applyNumberFormat="1" applyFont="1"/>
    <xf numFmtId="165" fontId="0" fillId="0" borderId="0" xfId="0" applyNumberFormat="1"/>
    <xf numFmtId="0" fontId="4" fillId="0" borderId="0" xfId="0" applyFont="1"/>
    <xf numFmtId="0" fontId="6" fillId="0" borderId="0" xfId="0" applyFont="1"/>
    <xf numFmtId="0" fontId="0" fillId="0" borderId="0" xfId="0" applyAlignment="1">
      <alignment horizontal="left"/>
    </xf>
    <xf numFmtId="1" fontId="0" fillId="0" borderId="0" xfId="0" applyNumberFormat="1"/>
    <xf numFmtId="3" fontId="2" fillId="0" borderId="0" xfId="0" applyNumberFormat="1" applyFont="1"/>
    <xf numFmtId="0" fontId="9" fillId="0" borderId="0" xfId="2" applyFo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oi.org/10.1016/j.foreco.2022.120637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91E67-2685-4EFE-9281-AA919476D9CA}">
  <sheetPr>
    <pageSetUpPr fitToPage="1"/>
  </sheetPr>
  <dimension ref="A1:G60"/>
  <sheetViews>
    <sheetView zoomScaleNormal="100" workbookViewId="0">
      <selection sqref="A1:G24"/>
    </sheetView>
  </sheetViews>
  <sheetFormatPr defaultRowHeight="15" x14ac:dyDescent="0.25"/>
  <cols>
    <col min="1" max="1" width="52.7109375" customWidth="1"/>
    <col min="2" max="2" width="12.5703125" customWidth="1"/>
    <col min="3" max="3" width="11.5703125" customWidth="1"/>
    <col min="4" max="4" width="11.42578125" customWidth="1"/>
    <col min="5" max="5" width="12" customWidth="1"/>
    <col min="6" max="6" width="12.5703125" customWidth="1"/>
    <col min="7" max="7" width="12.85546875" customWidth="1"/>
  </cols>
  <sheetData>
    <row r="1" spans="1:7" ht="15.75" x14ac:dyDescent="0.25">
      <c r="A1" s="8" t="s">
        <v>0</v>
      </c>
    </row>
    <row r="4" spans="1:7" x14ac:dyDescent="0.25">
      <c r="A4" s="1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6</v>
      </c>
      <c r="G5" t="s">
        <v>7</v>
      </c>
    </row>
    <row r="6" spans="1:7" x14ac:dyDescent="0.25">
      <c r="A6" t="s">
        <v>8</v>
      </c>
      <c r="B6">
        <v>500</v>
      </c>
      <c r="C6">
        <v>500</v>
      </c>
      <c r="D6">
        <v>500</v>
      </c>
      <c r="E6">
        <v>500</v>
      </c>
      <c r="F6">
        <v>500</v>
      </c>
      <c r="G6">
        <v>0</v>
      </c>
    </row>
    <row r="7" spans="1:7" x14ac:dyDescent="0.25">
      <c r="A7" t="s">
        <v>9</v>
      </c>
      <c r="B7">
        <v>500</v>
      </c>
      <c r="C7">
        <v>1000</v>
      </c>
      <c r="D7">
        <v>1500</v>
      </c>
      <c r="E7">
        <v>2000</v>
      </c>
      <c r="F7">
        <v>2500</v>
      </c>
      <c r="G7">
        <v>2500</v>
      </c>
    </row>
    <row r="8" spans="1:7" ht="18" x14ac:dyDescent="0.35">
      <c r="A8" s="2" t="s">
        <v>10</v>
      </c>
      <c r="B8">
        <f>B13*B7*0.5</f>
        <v>775</v>
      </c>
      <c r="C8">
        <f>(B7+C6/2)*$B$13</f>
        <v>2325</v>
      </c>
      <c r="D8">
        <f>(C7+D6/2)*$B$13</f>
        <v>3875</v>
      </c>
      <c r="E8">
        <f>(D7+E6/2)*$B$13</f>
        <v>5425</v>
      </c>
      <c r="F8">
        <f>(E7+F6/2)*$B$13</f>
        <v>6975</v>
      </c>
      <c r="G8">
        <f>(F7+G6/2)*$B$13</f>
        <v>7750</v>
      </c>
    </row>
    <row r="9" spans="1:7" x14ac:dyDescent="0.25">
      <c r="A9" s="7" t="s">
        <v>11</v>
      </c>
    </row>
    <row r="10" spans="1:7" x14ac:dyDescent="0.25">
      <c r="A10" s="7" t="s">
        <v>12</v>
      </c>
    </row>
    <row r="12" spans="1:7" x14ac:dyDescent="0.25">
      <c r="A12" s="1" t="s">
        <v>13</v>
      </c>
    </row>
    <row r="13" spans="1:7" ht="18" x14ac:dyDescent="0.35">
      <c r="A13" t="s">
        <v>14</v>
      </c>
      <c r="B13">
        <v>3.1</v>
      </c>
    </row>
    <row r="14" spans="1:7" x14ac:dyDescent="0.25">
      <c r="A14" t="s">
        <v>15</v>
      </c>
      <c r="B14" s="4">
        <v>2500</v>
      </c>
      <c r="C14" s="4"/>
    </row>
    <row r="15" spans="1:7" ht="18" x14ac:dyDescent="0.35">
      <c r="A15" t="s">
        <v>16</v>
      </c>
      <c r="B15" s="4">
        <f>B8</f>
        <v>775</v>
      </c>
      <c r="C15" s="4"/>
    </row>
    <row r="16" spans="1:7" ht="18" x14ac:dyDescent="0.35">
      <c r="A16" t="s">
        <v>17</v>
      </c>
      <c r="B16" s="4">
        <f>C8</f>
        <v>2325</v>
      </c>
      <c r="C16" s="4"/>
    </row>
    <row r="17" spans="1:3" ht="18" x14ac:dyDescent="0.35">
      <c r="A17" t="s">
        <v>18</v>
      </c>
      <c r="B17" s="4">
        <f>D8</f>
        <v>3875</v>
      </c>
      <c r="C17" s="4"/>
    </row>
    <row r="18" spans="1:3" ht="18" x14ac:dyDescent="0.35">
      <c r="A18" t="s">
        <v>19</v>
      </c>
      <c r="B18" s="4">
        <f>E8</f>
        <v>5425</v>
      </c>
      <c r="C18" s="4"/>
    </row>
    <row r="19" spans="1:3" ht="18" x14ac:dyDescent="0.35">
      <c r="A19" t="s">
        <v>20</v>
      </c>
      <c r="B19" s="4">
        <f>F8</f>
        <v>6975</v>
      </c>
      <c r="C19" s="4"/>
    </row>
    <row r="20" spans="1:3" ht="18" x14ac:dyDescent="0.35">
      <c r="A20" t="s">
        <v>21</v>
      </c>
      <c r="B20" s="4">
        <f>G8</f>
        <v>7750</v>
      </c>
      <c r="C20" s="4"/>
    </row>
    <row r="21" spans="1:3" ht="18" x14ac:dyDescent="0.35">
      <c r="A21" t="s">
        <v>22</v>
      </c>
      <c r="B21" s="4">
        <f>B23/6</f>
        <v>4520.833333333333</v>
      </c>
      <c r="C21" s="4"/>
    </row>
    <row r="22" spans="1:3" ht="18" x14ac:dyDescent="0.35">
      <c r="A22" t="s">
        <v>23</v>
      </c>
      <c r="B22" s="4">
        <f>B20</f>
        <v>7750</v>
      </c>
      <c r="C22" s="4"/>
    </row>
    <row r="23" spans="1:3" ht="18" x14ac:dyDescent="0.35">
      <c r="A23" s="1" t="s">
        <v>24</v>
      </c>
      <c r="B23" s="11">
        <f>SUM(B15:B20)</f>
        <v>27125</v>
      </c>
      <c r="C23" s="4"/>
    </row>
    <row r="24" spans="1:3" ht="18" x14ac:dyDescent="0.35">
      <c r="A24" s="1" t="s">
        <v>25</v>
      </c>
      <c r="B24" s="11">
        <f>B23+B22*20</f>
        <v>182125</v>
      </c>
      <c r="C24" s="4"/>
    </row>
    <row r="25" spans="1:3" x14ac:dyDescent="0.25">
      <c r="B25" s="4"/>
      <c r="C25" s="4"/>
    </row>
    <row r="26" spans="1:3" x14ac:dyDescent="0.25">
      <c r="B26" s="4"/>
      <c r="C26" s="4"/>
    </row>
    <row r="27" spans="1:3" x14ac:dyDescent="0.25">
      <c r="B27" s="4"/>
      <c r="C27" s="4"/>
    </row>
    <row r="46" ht="17.100000000000001" customHeight="1" x14ac:dyDescent="0.25"/>
    <row r="60" ht="17.100000000000001" customHeight="1" x14ac:dyDescent="0.25"/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611BB-B974-4C48-930F-58A67C312BE9}">
  <dimension ref="A1:G23"/>
  <sheetViews>
    <sheetView workbookViewId="0">
      <selection sqref="A1:G23"/>
    </sheetView>
  </sheetViews>
  <sheetFormatPr defaultRowHeight="15" x14ac:dyDescent="0.25"/>
  <cols>
    <col min="1" max="1" width="61.28515625" customWidth="1"/>
    <col min="6" max="6" width="9.140625" customWidth="1"/>
    <col min="7" max="7" width="8.85546875" customWidth="1"/>
  </cols>
  <sheetData>
    <row r="1" spans="1:7" ht="15.75" x14ac:dyDescent="0.25">
      <c r="A1" s="8" t="s">
        <v>26</v>
      </c>
    </row>
    <row r="4" spans="1:7" x14ac:dyDescent="0.25">
      <c r="A4" s="1" t="s">
        <v>27</v>
      </c>
    </row>
    <row r="5" spans="1:7" x14ac:dyDescent="0.25">
      <c r="A5" t="s">
        <v>28</v>
      </c>
      <c r="B5" t="s">
        <v>29</v>
      </c>
      <c r="C5" t="s">
        <v>30</v>
      </c>
      <c r="D5" t="s">
        <v>31</v>
      </c>
      <c r="E5" t="s">
        <v>32</v>
      </c>
      <c r="F5" t="s">
        <v>33</v>
      </c>
      <c r="G5" t="s">
        <v>34</v>
      </c>
    </row>
    <row r="6" spans="1:7" x14ac:dyDescent="0.25">
      <c r="A6" t="s">
        <v>35</v>
      </c>
      <c r="B6" s="6">
        <v>5.7168784029038102</v>
      </c>
      <c r="C6" s="6">
        <v>8.8021778584391992</v>
      </c>
      <c r="D6" s="6">
        <v>23.502722323048999</v>
      </c>
      <c r="E6" s="6">
        <v>35.843920145190559</v>
      </c>
      <c r="F6" s="6">
        <v>42.5589836660617</v>
      </c>
      <c r="G6" s="6">
        <v>46.370235934664244</v>
      </c>
    </row>
    <row r="7" spans="1:7" x14ac:dyDescent="0.25">
      <c r="A7" t="s">
        <v>36</v>
      </c>
      <c r="B7" s="6">
        <v>5.7168784029038102</v>
      </c>
      <c r="C7" s="6">
        <v>7.8039927404718687</v>
      </c>
      <c r="D7" s="6">
        <v>16.515426497277677</v>
      </c>
      <c r="E7" s="6">
        <v>34.936479128856618</v>
      </c>
      <c r="F7" s="6">
        <v>40.834845735027223</v>
      </c>
      <c r="G7" s="6">
        <v>57.259528130671505</v>
      </c>
    </row>
    <row r="8" spans="1:7" x14ac:dyDescent="0.25">
      <c r="A8" t="s">
        <v>37</v>
      </c>
      <c r="B8" s="6">
        <v>5.8076225045372052</v>
      </c>
      <c r="C8" s="6">
        <v>4.2649727767695094</v>
      </c>
      <c r="D8" s="6">
        <v>15.426497277676949</v>
      </c>
      <c r="E8" s="6">
        <v>36.479128856624321</v>
      </c>
      <c r="F8" s="6">
        <v>48.185117967332118</v>
      </c>
      <c r="G8" s="6">
        <v>61.615245009074407</v>
      </c>
    </row>
    <row r="9" spans="1:7" x14ac:dyDescent="0.25">
      <c r="A9" t="s">
        <v>38</v>
      </c>
      <c r="B9" s="6">
        <v>4.6279491833030848</v>
      </c>
      <c r="C9" s="6">
        <v>4.2649727767695094</v>
      </c>
      <c r="D9" s="6">
        <v>7.8947368421052619</v>
      </c>
      <c r="E9" s="6">
        <v>30.399274047186932</v>
      </c>
      <c r="F9" s="6">
        <v>42.014519056261335</v>
      </c>
      <c r="G9" s="6">
        <v>51.542649727767689</v>
      </c>
    </row>
    <row r="10" spans="1:7" x14ac:dyDescent="0.25">
      <c r="A10" t="s">
        <v>39</v>
      </c>
      <c r="B10" s="6">
        <v>3.8112522686025407</v>
      </c>
      <c r="C10" s="6">
        <v>3.1760435571687839</v>
      </c>
      <c r="D10" s="6">
        <v>8.4392014519056264</v>
      </c>
      <c r="E10" s="6">
        <v>24.500907441016331</v>
      </c>
      <c r="F10" s="6">
        <v>32.21415607985481</v>
      </c>
      <c r="G10" s="6">
        <v>44.192377495462793</v>
      </c>
    </row>
    <row r="11" spans="1:7" x14ac:dyDescent="0.25">
      <c r="A11" t="s">
        <v>40</v>
      </c>
      <c r="B11" s="6">
        <f t="shared" ref="B11:G11" si="0">AVERAGE(B6:B10)</f>
        <v>5.1361161524500902</v>
      </c>
      <c r="C11" s="6">
        <f t="shared" si="0"/>
        <v>5.6624319419237734</v>
      </c>
      <c r="D11" s="6">
        <f t="shared" si="0"/>
        <v>14.355716878402902</v>
      </c>
      <c r="E11" s="6">
        <f t="shared" si="0"/>
        <v>32.43194192377495</v>
      </c>
      <c r="F11" s="6">
        <f t="shared" si="0"/>
        <v>41.16152450090744</v>
      </c>
      <c r="G11" s="6">
        <f t="shared" si="0"/>
        <v>52.19600725952813</v>
      </c>
    </row>
    <row r="12" spans="1:7" ht="18" x14ac:dyDescent="0.35">
      <c r="A12" t="s">
        <v>41</v>
      </c>
      <c r="B12" s="6">
        <f t="shared" ref="B12:G12" si="1">B11/12*44</f>
        <v>18.832425892316998</v>
      </c>
      <c r="C12" s="6">
        <f t="shared" si="1"/>
        <v>20.762250453720501</v>
      </c>
      <c r="D12" s="6">
        <f t="shared" si="1"/>
        <v>52.637628554143973</v>
      </c>
      <c r="E12" s="6">
        <f t="shared" si="1"/>
        <v>118.9171203871748</v>
      </c>
      <c r="F12" s="6">
        <f t="shared" si="1"/>
        <v>150.92558983666061</v>
      </c>
      <c r="G12" s="6">
        <f t="shared" si="1"/>
        <v>191.38535995160314</v>
      </c>
    </row>
    <row r="13" spans="1:7" x14ac:dyDescent="0.25">
      <c r="A13" t="s">
        <v>42</v>
      </c>
      <c r="B13" s="6" t="s">
        <v>43</v>
      </c>
      <c r="C13" s="6">
        <f>(C12-$B$12)/5</f>
        <v>0.38596491228070062</v>
      </c>
      <c r="D13" s="6">
        <f>(D12-$B$12)/10</f>
        <v>3.3805202661826974</v>
      </c>
      <c r="E13" s="6">
        <f>(E12-$B$12)/30</f>
        <v>3.3361564831619273</v>
      </c>
      <c r="F13" s="6">
        <f>(F12-$B$12)/50</f>
        <v>2.6418632788868721</v>
      </c>
      <c r="G13" s="6">
        <f>(G12-$B$12)/90</f>
        <v>1.9172548228809572</v>
      </c>
    </row>
    <row r="15" spans="1:7" x14ac:dyDescent="0.25">
      <c r="A15" s="1" t="s">
        <v>44</v>
      </c>
    </row>
    <row r="16" spans="1:7" ht="18" x14ac:dyDescent="0.35">
      <c r="A16" t="s">
        <v>45</v>
      </c>
      <c r="B16">
        <v>3.3</v>
      </c>
    </row>
    <row r="17" spans="1:2" x14ac:dyDescent="0.25">
      <c r="A17" t="s">
        <v>46</v>
      </c>
      <c r="B17" s="3">
        <v>0.2</v>
      </c>
    </row>
    <row r="18" spans="1:2" x14ac:dyDescent="0.25">
      <c r="A18" t="s">
        <v>15</v>
      </c>
      <c r="B18">
        <v>3750</v>
      </c>
    </row>
    <row r="19" spans="1:2" ht="18" x14ac:dyDescent="0.35">
      <c r="A19" t="s">
        <v>47</v>
      </c>
      <c r="B19">
        <f>B18*B17*B16</f>
        <v>2475</v>
      </c>
    </row>
    <row r="20" spans="1:2" ht="18" x14ac:dyDescent="0.35">
      <c r="A20" s="1" t="s">
        <v>24</v>
      </c>
      <c r="B20" s="1">
        <f>B19*6</f>
        <v>14850</v>
      </c>
    </row>
    <row r="21" spans="1:2" ht="18" x14ac:dyDescent="0.35">
      <c r="A21" s="1" t="s">
        <v>25</v>
      </c>
      <c r="B21" s="1">
        <f>B19*26</f>
        <v>64350</v>
      </c>
    </row>
    <row r="22" spans="1:2" x14ac:dyDescent="0.25">
      <c r="A22" s="7" t="s">
        <v>48</v>
      </c>
    </row>
    <row r="23" spans="1:2" x14ac:dyDescent="0.25">
      <c r="A23" s="12" t="s">
        <v>49</v>
      </c>
    </row>
  </sheetData>
  <hyperlinks>
    <hyperlink ref="A23" r:id="rId1" xr:uid="{4535389E-3AF4-43CF-A81F-E51FDC58826E}"/>
  </hyperlinks>
  <pageMargins left="0.7" right="0.7" top="0.75" bottom="0.75" header="0.3" footer="0.3"/>
  <pageSetup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D0F9B-51C0-451B-84E1-F3EF0EFE559D}">
  <dimension ref="A1:L51"/>
  <sheetViews>
    <sheetView workbookViewId="0">
      <selection sqref="A1:D51"/>
    </sheetView>
  </sheetViews>
  <sheetFormatPr defaultRowHeight="15" x14ac:dyDescent="0.25"/>
  <cols>
    <col min="1" max="1" width="59.28515625" customWidth="1"/>
    <col min="2" max="2" width="16.42578125" customWidth="1"/>
    <col min="3" max="3" width="14.140625" customWidth="1"/>
    <col min="4" max="4" width="12.85546875" customWidth="1"/>
  </cols>
  <sheetData>
    <row r="1" spans="1:12" ht="15.75" x14ac:dyDescent="0.25">
      <c r="A1" s="8" t="s">
        <v>50</v>
      </c>
    </row>
    <row r="4" spans="1:12" x14ac:dyDescent="0.25">
      <c r="A4" s="1" t="s">
        <v>51</v>
      </c>
    </row>
    <row r="5" spans="1:12" x14ac:dyDescent="0.25">
      <c r="A5" t="s">
        <v>52</v>
      </c>
      <c r="B5" t="s">
        <v>53</v>
      </c>
      <c r="C5" t="s">
        <v>54</v>
      </c>
      <c r="D5" t="s">
        <v>55</v>
      </c>
    </row>
    <row r="6" spans="1:12" x14ac:dyDescent="0.25">
      <c r="A6">
        <v>2023</v>
      </c>
      <c r="B6" s="4">
        <v>140000</v>
      </c>
      <c r="C6" s="4">
        <f>B6*0.25</f>
        <v>35000</v>
      </c>
      <c r="D6" s="4">
        <v>0</v>
      </c>
      <c r="G6" s="5"/>
    </row>
    <row r="7" spans="1:12" x14ac:dyDescent="0.25">
      <c r="A7">
        <v>2024</v>
      </c>
      <c r="B7" s="4">
        <f t="shared" ref="B7:B25" si="0">B6*$B$34</f>
        <v>152748.21127903173</v>
      </c>
      <c r="C7" s="4">
        <f t="shared" ref="C7:C33" si="1">B7*0.25</f>
        <v>38187.052819757933</v>
      </c>
      <c r="D7" s="4">
        <v>0</v>
      </c>
      <c r="F7" s="4"/>
    </row>
    <row r="8" spans="1:12" x14ac:dyDescent="0.25">
      <c r="A8">
        <v>2025</v>
      </c>
      <c r="B8" s="4">
        <f t="shared" si="0"/>
        <v>166657.25749245513</v>
      </c>
      <c r="C8" s="4">
        <f t="shared" si="1"/>
        <v>41664.314373113782</v>
      </c>
      <c r="D8" s="4">
        <v>0</v>
      </c>
      <c r="F8" s="4"/>
    </row>
    <row r="9" spans="1:12" x14ac:dyDescent="0.25">
      <c r="A9">
        <v>2026</v>
      </c>
      <c r="B9" s="4">
        <f t="shared" si="0"/>
        <v>181832.84270458238</v>
      </c>
      <c r="C9" s="4">
        <f t="shared" si="1"/>
        <v>45458.210676145594</v>
      </c>
      <c r="D9" s="4">
        <v>100</v>
      </c>
      <c r="F9" s="4"/>
    </row>
    <row r="10" spans="1:12" x14ac:dyDescent="0.25">
      <c r="A10">
        <v>2027</v>
      </c>
      <c r="B10" s="4">
        <f t="shared" si="0"/>
        <v>198390.29624933208</v>
      </c>
      <c r="C10" s="4">
        <f t="shared" si="1"/>
        <v>49597.57406233302</v>
      </c>
      <c r="D10" s="4">
        <v>100</v>
      </c>
      <c r="F10" s="4"/>
    </row>
    <row r="11" spans="1:12" x14ac:dyDescent="0.25">
      <c r="A11">
        <v>2028</v>
      </c>
      <c r="B11" s="4">
        <f t="shared" si="0"/>
        <v>216455.44919430482</v>
      </c>
      <c r="C11" s="4">
        <f t="shared" si="1"/>
        <v>54113.862298576205</v>
      </c>
      <c r="D11" s="4">
        <v>100</v>
      </c>
      <c r="F11" s="4"/>
    </row>
    <row r="12" spans="1:12" x14ac:dyDescent="0.25">
      <c r="A12">
        <v>2029</v>
      </c>
      <c r="B12" s="4">
        <f t="shared" si="0"/>
        <v>236165.59061449565</v>
      </c>
      <c r="C12" s="4">
        <f t="shared" si="1"/>
        <v>59041.397653623913</v>
      </c>
      <c r="D12" s="4">
        <v>100</v>
      </c>
      <c r="F12" s="4"/>
    </row>
    <row r="13" spans="1:12" x14ac:dyDescent="0.25">
      <c r="A13">
        <v>2030</v>
      </c>
      <c r="B13" s="4">
        <f t="shared" si="0"/>
        <v>257670.51094300213</v>
      </c>
      <c r="C13" s="4">
        <f t="shared" si="1"/>
        <v>64417.627735750531</v>
      </c>
      <c r="D13" s="4">
        <v>100</v>
      </c>
      <c r="F13" s="4"/>
    </row>
    <row r="14" spans="1:12" x14ac:dyDescent="0.25">
      <c r="A14">
        <v>2031</v>
      </c>
      <c r="B14" s="4">
        <f t="shared" si="0"/>
        <v>281133.64032784104</v>
      </c>
      <c r="C14" s="4">
        <f t="shared" si="1"/>
        <v>70283.410081960261</v>
      </c>
      <c r="D14" s="4">
        <f>C14*0.01</f>
        <v>702.83410081960267</v>
      </c>
      <c r="F14" s="4"/>
    </row>
    <row r="15" spans="1:12" x14ac:dyDescent="0.25">
      <c r="A15">
        <v>2032</v>
      </c>
      <c r="B15" s="4">
        <f t="shared" si="0"/>
        <v>306733.29064600274</v>
      </c>
      <c r="C15" s="4">
        <f t="shared" si="1"/>
        <v>76683.322661500686</v>
      </c>
      <c r="D15" s="4">
        <f t="shared" ref="D15:D33" si="2">C15*0.01</f>
        <v>766.83322661500688</v>
      </c>
      <c r="F15" s="4"/>
      <c r="G15" s="10"/>
    </row>
    <row r="16" spans="1:12" x14ac:dyDescent="0.25">
      <c r="A16">
        <v>2033</v>
      </c>
      <c r="B16" s="4">
        <f t="shared" si="0"/>
        <v>334664.01061363053</v>
      </c>
      <c r="C16" s="4">
        <f t="shared" si="1"/>
        <v>83666.002653407631</v>
      </c>
      <c r="D16" s="4">
        <f t="shared" si="2"/>
        <v>836.66002653407634</v>
      </c>
      <c r="F16" s="4"/>
      <c r="G16" s="10"/>
      <c r="L16" s="4"/>
    </row>
    <row r="17" spans="1:12" x14ac:dyDescent="0.25">
      <c r="A17">
        <v>2034</v>
      </c>
      <c r="B17" s="4">
        <f t="shared" si="0"/>
        <v>365138.06429070682</v>
      </c>
      <c r="C17" s="4">
        <f t="shared" si="1"/>
        <v>91284.516072676706</v>
      </c>
      <c r="D17" s="4">
        <f t="shared" si="2"/>
        <v>912.84516072676706</v>
      </c>
      <c r="F17" s="4"/>
      <c r="G17" s="10"/>
      <c r="L17" s="4"/>
    </row>
    <row r="18" spans="1:12" x14ac:dyDescent="0.25">
      <c r="A18">
        <v>2035</v>
      </c>
      <c r="B18" s="4">
        <f t="shared" si="0"/>
        <v>398387.04421638255</v>
      </c>
      <c r="C18" s="4">
        <f t="shared" si="1"/>
        <v>99596.761054095638</v>
      </c>
      <c r="D18" s="4">
        <f t="shared" si="2"/>
        <v>995.96761054095634</v>
      </c>
      <c r="F18" s="4"/>
      <c r="G18" s="10"/>
      <c r="L18" s="4"/>
    </row>
    <row r="19" spans="1:12" x14ac:dyDescent="0.25">
      <c r="A19">
        <v>2036</v>
      </c>
      <c r="B19" s="4">
        <f t="shared" si="0"/>
        <v>434663.63143423543</v>
      </c>
      <c r="C19" s="4">
        <f t="shared" si="1"/>
        <v>108665.90785855886</v>
      </c>
      <c r="D19" s="4">
        <f t="shared" si="2"/>
        <v>1086.6590785855885</v>
      </c>
      <c r="F19" s="4"/>
      <c r="G19" s="10"/>
      <c r="L19" s="4"/>
    </row>
    <row r="20" spans="1:12" x14ac:dyDescent="0.25">
      <c r="A20">
        <v>2037</v>
      </c>
      <c r="B20" s="4">
        <f t="shared" si="0"/>
        <v>474243.51578305551</v>
      </c>
      <c r="C20" s="4">
        <f t="shared" si="1"/>
        <v>118560.87894576388</v>
      </c>
      <c r="D20" s="4">
        <f t="shared" si="2"/>
        <v>1185.6087894576387</v>
      </c>
      <c r="F20" s="4"/>
      <c r="G20" s="10"/>
      <c r="L20" s="4"/>
    </row>
    <row r="21" spans="1:12" x14ac:dyDescent="0.25">
      <c r="A21">
        <v>2038</v>
      </c>
      <c r="B21" s="4">
        <f t="shared" si="0"/>
        <v>517427.49104672135</v>
      </c>
      <c r="C21" s="4">
        <f t="shared" si="1"/>
        <v>129356.87276168034</v>
      </c>
      <c r="D21" s="4">
        <f t="shared" si="2"/>
        <v>1293.5687276168035</v>
      </c>
      <c r="F21" s="4"/>
      <c r="G21" s="10"/>
      <c r="L21" s="4"/>
    </row>
    <row r="22" spans="1:12" x14ac:dyDescent="0.25">
      <c r="A22">
        <v>2039</v>
      </c>
      <c r="B22" s="4">
        <f t="shared" si="0"/>
        <v>564543.74088559928</v>
      </c>
      <c r="C22" s="4">
        <f t="shared" si="1"/>
        <v>141135.93522139982</v>
      </c>
      <c r="D22" s="4">
        <f t="shared" si="2"/>
        <v>1411.3593522139981</v>
      </c>
      <c r="F22" s="4"/>
      <c r="G22" s="10"/>
      <c r="L22" s="4"/>
    </row>
    <row r="23" spans="1:12" x14ac:dyDescent="0.25">
      <c r="A23">
        <v>2040</v>
      </c>
      <c r="B23" s="4">
        <f t="shared" si="0"/>
        <v>615950.33292177471</v>
      </c>
      <c r="C23" s="4">
        <f t="shared" si="1"/>
        <v>153987.58323044368</v>
      </c>
      <c r="D23" s="4">
        <f t="shared" si="2"/>
        <v>1539.8758323044367</v>
      </c>
      <c r="F23" s="4"/>
      <c r="G23" s="10"/>
      <c r="L23" s="4"/>
    </row>
    <row r="24" spans="1:12" x14ac:dyDescent="0.25">
      <c r="A24">
        <v>2041</v>
      </c>
      <c r="B24" s="4">
        <f t="shared" si="0"/>
        <v>672037.93993232271</v>
      </c>
      <c r="C24" s="4">
        <f t="shared" si="1"/>
        <v>168009.48498308068</v>
      </c>
      <c r="D24" s="4">
        <f t="shared" si="2"/>
        <v>1680.0948498308069</v>
      </c>
      <c r="F24" s="4"/>
      <c r="G24" s="10"/>
      <c r="L24" s="4"/>
    </row>
    <row r="25" spans="1:12" x14ac:dyDescent="0.25">
      <c r="A25">
        <v>2042</v>
      </c>
      <c r="B25" s="4">
        <f t="shared" si="0"/>
        <v>733232.80883076903</v>
      </c>
      <c r="C25" s="4">
        <f t="shared" si="1"/>
        <v>183308.20220769226</v>
      </c>
      <c r="D25" s="4">
        <f t="shared" si="2"/>
        <v>1833.0820220769226</v>
      </c>
      <c r="F25" s="4"/>
      <c r="G25" s="10"/>
      <c r="L25" s="4"/>
    </row>
    <row r="26" spans="1:12" x14ac:dyDescent="0.25">
      <c r="A26">
        <v>2043</v>
      </c>
      <c r="B26" s="4">
        <v>800000</v>
      </c>
      <c r="C26" s="4">
        <f t="shared" si="1"/>
        <v>200000</v>
      </c>
      <c r="D26" s="4">
        <f t="shared" si="2"/>
        <v>2000</v>
      </c>
      <c r="F26" s="4"/>
      <c r="G26" s="10"/>
      <c r="L26" s="4"/>
    </row>
    <row r="27" spans="1:12" x14ac:dyDescent="0.25">
      <c r="A27">
        <v>2044</v>
      </c>
      <c r="B27" s="4">
        <v>800000</v>
      </c>
      <c r="C27" s="4">
        <f t="shared" si="1"/>
        <v>200000</v>
      </c>
      <c r="D27" s="4">
        <f t="shared" si="2"/>
        <v>2000</v>
      </c>
      <c r="F27" s="4"/>
      <c r="G27" s="10"/>
    </row>
    <row r="28" spans="1:12" x14ac:dyDescent="0.25">
      <c r="A28">
        <v>2045</v>
      </c>
      <c r="B28" s="4">
        <v>800000</v>
      </c>
      <c r="C28" s="4">
        <f t="shared" si="1"/>
        <v>200000</v>
      </c>
      <c r="D28" s="4">
        <f t="shared" si="2"/>
        <v>2000</v>
      </c>
      <c r="F28" s="4"/>
      <c r="G28" s="10"/>
    </row>
    <row r="29" spans="1:12" x14ac:dyDescent="0.25">
      <c r="A29">
        <v>2046</v>
      </c>
      <c r="B29" s="4">
        <v>800000</v>
      </c>
      <c r="C29" s="4">
        <f t="shared" si="1"/>
        <v>200000</v>
      </c>
      <c r="D29" s="4">
        <f t="shared" si="2"/>
        <v>2000</v>
      </c>
      <c r="F29" s="4"/>
      <c r="G29" s="10"/>
    </row>
    <row r="30" spans="1:12" x14ac:dyDescent="0.25">
      <c r="A30">
        <v>2047</v>
      </c>
      <c r="B30" s="4">
        <v>800000</v>
      </c>
      <c r="C30" s="4">
        <f t="shared" si="1"/>
        <v>200000</v>
      </c>
      <c r="D30" s="4">
        <f t="shared" si="2"/>
        <v>2000</v>
      </c>
      <c r="F30" s="4"/>
      <c r="G30" s="10"/>
    </row>
    <row r="31" spans="1:12" x14ac:dyDescent="0.25">
      <c r="A31">
        <v>2048</v>
      </c>
      <c r="B31" s="4">
        <v>800000</v>
      </c>
      <c r="C31" s="4">
        <f t="shared" si="1"/>
        <v>200000</v>
      </c>
      <c r="D31" s="4">
        <f t="shared" si="2"/>
        <v>2000</v>
      </c>
      <c r="F31" s="4"/>
      <c r="G31" s="10"/>
    </row>
    <row r="32" spans="1:12" x14ac:dyDescent="0.25">
      <c r="A32">
        <v>2049</v>
      </c>
      <c r="B32" s="4">
        <v>800000</v>
      </c>
      <c r="C32" s="4">
        <f t="shared" si="1"/>
        <v>200000</v>
      </c>
      <c r="D32" s="4">
        <f t="shared" si="2"/>
        <v>2000</v>
      </c>
      <c r="F32" s="4"/>
      <c r="G32" s="10"/>
    </row>
    <row r="33" spans="1:7" x14ac:dyDescent="0.25">
      <c r="A33">
        <v>2050</v>
      </c>
      <c r="B33" s="4">
        <v>800000</v>
      </c>
      <c r="C33" s="4">
        <f t="shared" si="1"/>
        <v>200000</v>
      </c>
      <c r="D33" s="4">
        <f t="shared" si="2"/>
        <v>2000</v>
      </c>
      <c r="F33" s="4"/>
      <c r="G33" s="10"/>
    </row>
    <row r="34" spans="1:7" x14ac:dyDescent="0.25">
      <c r="A34" t="s">
        <v>56</v>
      </c>
      <c r="B34">
        <f>EXP(LN(B26/B6)/(A26-A6))</f>
        <v>1.0910586519930838</v>
      </c>
      <c r="D34" s="10"/>
      <c r="F34" s="4"/>
      <c r="G34" s="10"/>
    </row>
    <row r="35" spans="1:7" x14ac:dyDescent="0.25">
      <c r="A35" t="s">
        <v>57</v>
      </c>
      <c r="B35" s="3">
        <f>B34-1</f>
        <v>9.1058651993083828E-2</v>
      </c>
    </row>
    <row r="36" spans="1:7" x14ac:dyDescent="0.25">
      <c r="A36" s="7" t="s">
        <v>58</v>
      </c>
      <c r="B36" s="3"/>
    </row>
    <row r="37" spans="1:7" x14ac:dyDescent="0.25">
      <c r="A37" s="7" t="s">
        <v>59</v>
      </c>
      <c r="B37" s="3"/>
    </row>
    <row r="38" spans="1:7" x14ac:dyDescent="0.25">
      <c r="A38" s="7" t="s">
        <v>60</v>
      </c>
      <c r="B38" s="3"/>
    </row>
    <row r="39" spans="1:7" x14ac:dyDescent="0.25">
      <c r="A39" s="7" t="s">
        <v>61</v>
      </c>
      <c r="B39" s="3"/>
    </row>
    <row r="40" spans="1:7" x14ac:dyDescent="0.25">
      <c r="B40" s="3"/>
    </row>
    <row r="41" spans="1:7" x14ac:dyDescent="0.25">
      <c r="B41" s="3"/>
    </row>
    <row r="43" spans="1:7" x14ac:dyDescent="0.25">
      <c r="A43" s="1" t="s">
        <v>62</v>
      </c>
    </row>
    <row r="44" spans="1:7" x14ac:dyDescent="0.25">
      <c r="A44" s="9" t="s">
        <v>63</v>
      </c>
      <c r="B44" t="s">
        <v>64</v>
      </c>
      <c r="C44" t="s">
        <v>65</v>
      </c>
      <c r="D44" t="s">
        <v>66</v>
      </c>
    </row>
    <row r="45" spans="1:7" x14ac:dyDescent="0.25">
      <c r="A45" t="s">
        <v>67</v>
      </c>
      <c r="B45" s="4">
        <f>AVERAGE(D8:D13)</f>
        <v>83.333333333333329</v>
      </c>
      <c r="C45" s="4">
        <f>AVERAGE(D14:D33)</f>
        <v>1512.26943886613</v>
      </c>
      <c r="D45" s="4">
        <f>AVERAGE(D8:D33)</f>
        <v>1182.5149529739463</v>
      </c>
    </row>
    <row r="46" spans="1:7" x14ac:dyDescent="0.25">
      <c r="A46" t="s">
        <v>68</v>
      </c>
      <c r="B46" s="4">
        <f>SUM(D8:D13)</f>
        <v>500</v>
      </c>
      <c r="C46" s="4">
        <f>SUM(D14:D33)</f>
        <v>30245.388777322602</v>
      </c>
      <c r="D46" s="4">
        <f>AVERAGE(D9:D33)</f>
        <v>1229.8155510929041</v>
      </c>
    </row>
    <row r="47" spans="1:7" x14ac:dyDescent="0.25">
      <c r="A47" t="s">
        <v>69</v>
      </c>
      <c r="B47">
        <v>24.83</v>
      </c>
      <c r="C47">
        <v>24.83</v>
      </c>
      <c r="D47">
        <v>24.83</v>
      </c>
    </row>
    <row r="48" spans="1:7" x14ac:dyDescent="0.25">
      <c r="A48" t="s">
        <v>70</v>
      </c>
      <c r="B48" s="3">
        <v>0.8</v>
      </c>
      <c r="C48" s="3">
        <v>0.8</v>
      </c>
      <c r="D48" s="3">
        <v>0.8</v>
      </c>
    </row>
    <row r="49" spans="1:4" ht="18" x14ac:dyDescent="0.35">
      <c r="A49" t="s">
        <v>71</v>
      </c>
      <c r="B49" s="4">
        <f>B45*B47*B48</f>
        <v>1655.3333333333333</v>
      </c>
      <c r="C49" s="4">
        <f>C45*C47*C48</f>
        <v>30039.720133636805</v>
      </c>
      <c r="D49" s="4">
        <f>D45*D47*D48</f>
        <v>23489.477025874468</v>
      </c>
    </row>
    <row r="50" spans="1:4" ht="18" x14ac:dyDescent="0.35">
      <c r="A50" s="1" t="s">
        <v>72</v>
      </c>
      <c r="B50" s="11">
        <f>B46*B47*B48</f>
        <v>9932</v>
      </c>
      <c r="C50" s="11">
        <f t="shared" ref="C50" si="3">C46*C47*C48</f>
        <v>600794.40267273621</v>
      </c>
      <c r="D50" s="11">
        <f>B50+C50</f>
        <v>610726.40267273621</v>
      </c>
    </row>
    <row r="51" spans="1:4" x14ac:dyDescent="0.25">
      <c r="B51" s="3"/>
      <c r="C51" s="3"/>
      <c r="D51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6BFFB-A04F-42BA-9DC9-A4B0794D7E68}">
  <dimension ref="A1:D22"/>
  <sheetViews>
    <sheetView workbookViewId="0">
      <selection sqref="A1:D22"/>
    </sheetView>
  </sheetViews>
  <sheetFormatPr defaultRowHeight="15" x14ac:dyDescent="0.25"/>
  <cols>
    <col min="1" max="1" width="54.5703125" customWidth="1"/>
    <col min="3" max="3" width="10.85546875" bestFit="1" customWidth="1"/>
  </cols>
  <sheetData>
    <row r="1" spans="1:4" ht="15.75" x14ac:dyDescent="0.25">
      <c r="A1" s="8" t="s">
        <v>73</v>
      </c>
    </row>
    <row r="2" spans="1:4" x14ac:dyDescent="0.25">
      <c r="A2" s="1"/>
    </row>
    <row r="3" spans="1:4" x14ac:dyDescent="0.25">
      <c r="A3" s="1"/>
    </row>
    <row r="4" spans="1:4" x14ac:dyDescent="0.25">
      <c r="A4" s="1" t="s">
        <v>74</v>
      </c>
    </row>
    <row r="5" spans="1:4" ht="18" x14ac:dyDescent="0.35">
      <c r="A5" t="s">
        <v>75</v>
      </c>
      <c r="B5" t="s">
        <v>76</v>
      </c>
    </row>
    <row r="6" spans="1:4" x14ac:dyDescent="0.25">
      <c r="A6" t="s">
        <v>77</v>
      </c>
      <c r="B6" s="4">
        <v>6870</v>
      </c>
    </row>
    <row r="7" spans="1:4" x14ac:dyDescent="0.25">
      <c r="A7" t="s">
        <v>78</v>
      </c>
      <c r="B7" s="4">
        <v>12880</v>
      </c>
    </row>
    <row r="8" spans="1:4" x14ac:dyDescent="0.25">
      <c r="A8" t="s">
        <v>79</v>
      </c>
      <c r="B8" s="4">
        <v>2800</v>
      </c>
    </row>
    <row r="9" spans="1:4" x14ac:dyDescent="0.25">
      <c r="A9" t="s">
        <v>80</v>
      </c>
      <c r="B9" s="4">
        <v>3960</v>
      </c>
    </row>
    <row r="10" spans="1:4" x14ac:dyDescent="0.25">
      <c r="A10" t="s">
        <v>81</v>
      </c>
      <c r="B10" s="4">
        <v>2010</v>
      </c>
    </row>
    <row r="11" spans="1:4" x14ac:dyDescent="0.25">
      <c r="A11" t="s">
        <v>82</v>
      </c>
      <c r="B11" s="4">
        <v>2390</v>
      </c>
    </row>
    <row r="15" spans="1:4" x14ac:dyDescent="0.25">
      <c r="A15" s="1" t="s">
        <v>83</v>
      </c>
    </row>
    <row r="16" spans="1:4" x14ac:dyDescent="0.25">
      <c r="B16" t="s">
        <v>84</v>
      </c>
      <c r="C16" t="s">
        <v>77</v>
      </c>
      <c r="D16" s="1" t="s">
        <v>85</v>
      </c>
    </row>
    <row r="17" spans="1:4" ht="18" x14ac:dyDescent="0.35">
      <c r="A17" t="s">
        <v>86</v>
      </c>
      <c r="B17" s="4">
        <f>B9/10</f>
        <v>396</v>
      </c>
      <c r="C17" s="4">
        <f>B6/10</f>
        <v>687</v>
      </c>
      <c r="D17" s="11"/>
    </row>
    <row r="18" spans="1:4" x14ac:dyDescent="0.25">
      <c r="A18" t="s">
        <v>87</v>
      </c>
      <c r="B18" s="4">
        <v>10</v>
      </c>
      <c r="C18" s="4">
        <v>10</v>
      </c>
      <c r="D18" s="11"/>
    </row>
    <row r="19" spans="1:4" ht="18" x14ac:dyDescent="0.35">
      <c r="A19" t="s">
        <v>47</v>
      </c>
      <c r="B19" s="4">
        <f>B17*B18</f>
        <v>3960</v>
      </c>
      <c r="C19" s="4">
        <f>C17*C18</f>
        <v>6870</v>
      </c>
      <c r="D19" s="11"/>
    </row>
    <row r="20" spans="1:4" ht="18" x14ac:dyDescent="0.35">
      <c r="A20" t="s">
        <v>88</v>
      </c>
      <c r="B20" s="4">
        <f>B19*5</f>
        <v>19800</v>
      </c>
      <c r="C20" s="4">
        <f>C19*5</f>
        <v>34350</v>
      </c>
      <c r="D20" s="11">
        <f>SUM(B20:C20)</f>
        <v>54150</v>
      </c>
    </row>
    <row r="21" spans="1:4" ht="18" x14ac:dyDescent="0.35">
      <c r="A21" t="s">
        <v>89</v>
      </c>
      <c r="B21" s="4">
        <f>B19*25</f>
        <v>99000</v>
      </c>
      <c r="C21" s="4">
        <f>C19*25</f>
        <v>171750</v>
      </c>
      <c r="D21" s="11">
        <f>SUM(B21:C21)</f>
        <v>270750</v>
      </c>
    </row>
    <row r="22" spans="1:4" x14ac:dyDescent="0.25">
      <c r="A22" s="7" t="s">
        <v>90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AEF39-5B29-49C4-AFB1-0BD2A9066773}">
  <dimension ref="A1:C8"/>
  <sheetViews>
    <sheetView tabSelected="1" workbookViewId="0">
      <selection sqref="A1:C9"/>
    </sheetView>
  </sheetViews>
  <sheetFormatPr defaultRowHeight="15" x14ac:dyDescent="0.25"/>
  <cols>
    <col min="1" max="1" width="81.85546875" bestFit="1" customWidth="1"/>
    <col min="2" max="2" width="8.85546875" bestFit="1" customWidth="1"/>
    <col min="3" max="3" width="9.42578125" bestFit="1" customWidth="1"/>
  </cols>
  <sheetData>
    <row r="1" spans="1:3" ht="15.75" x14ac:dyDescent="0.25">
      <c r="A1" s="8" t="s">
        <v>91</v>
      </c>
    </row>
    <row r="2" spans="1:3" x14ac:dyDescent="0.25">
      <c r="A2" s="1"/>
    </row>
    <row r="3" spans="1:3" ht="18" x14ac:dyDescent="0.35">
      <c r="A3" t="s">
        <v>92</v>
      </c>
      <c r="B3" t="s">
        <v>93</v>
      </c>
      <c r="C3" t="s">
        <v>94</v>
      </c>
    </row>
    <row r="4" spans="1:3" x14ac:dyDescent="0.25">
      <c r="A4" t="s">
        <v>0</v>
      </c>
      <c r="B4" s="4">
        <v>27000</v>
      </c>
      <c r="C4" s="4">
        <v>182000</v>
      </c>
    </row>
    <row r="5" spans="1:3" x14ac:dyDescent="0.25">
      <c r="A5" t="s">
        <v>26</v>
      </c>
      <c r="B5" s="4">
        <v>15000</v>
      </c>
      <c r="C5" s="4">
        <v>64000</v>
      </c>
    </row>
    <row r="6" spans="1:3" x14ac:dyDescent="0.25">
      <c r="A6" t="s">
        <v>50</v>
      </c>
      <c r="B6" s="4">
        <v>10000</v>
      </c>
      <c r="C6" s="4">
        <v>611000</v>
      </c>
    </row>
    <row r="7" spans="1:3" x14ac:dyDescent="0.25">
      <c r="A7" t="s">
        <v>73</v>
      </c>
      <c r="B7" s="4">
        <v>54000</v>
      </c>
      <c r="C7" s="4">
        <v>271000</v>
      </c>
    </row>
    <row r="8" spans="1:3" x14ac:dyDescent="0.25">
      <c r="A8" t="s">
        <v>95</v>
      </c>
      <c r="B8" s="4">
        <f>SUM(B4:B7)</f>
        <v>106000</v>
      </c>
      <c r="C8" s="4">
        <f>SUM(C4:C7)</f>
        <v>1128000</v>
      </c>
    </row>
  </sheetData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EB4683E25715488F2B8C15AB6D3A46" ma:contentTypeVersion="14" ma:contentTypeDescription="Create a new document." ma:contentTypeScope="" ma:versionID="c337e2a7bc77671d548167393faafa0e">
  <xsd:schema xmlns:xsd="http://www.w3.org/2001/XMLSchema" xmlns:xs="http://www.w3.org/2001/XMLSchema" xmlns:p="http://schemas.microsoft.com/office/2006/metadata/properties" xmlns:ns2="ff0dc75a-79ab-40e2-b71a-431bd0c65d2c" xmlns:ns3="e8203ea7-e7ad-4f97-824c-6ad22b6983d9" targetNamespace="http://schemas.microsoft.com/office/2006/metadata/properties" ma:root="true" ma:fieldsID="e30d9833f424813c6f95012648fa832c" ns2:_="" ns3:_="">
    <xsd:import namespace="ff0dc75a-79ab-40e2-b71a-431bd0c65d2c"/>
    <xsd:import namespace="e8203ea7-e7ad-4f97-824c-6ad22b6983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0dc75a-79ab-40e2-b71a-431bd0c65d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ffb2afa-0461-4a25-b7e7-e28982f86d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203ea7-e7ad-4f97-824c-6ad22b6983d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17e1400-45a6-40dd-a921-c28453c8859d}" ma:internalName="TaxCatchAll" ma:showField="CatchAllData" ma:web="e8203ea7-e7ad-4f97-824c-6ad22b6983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8203ea7-e7ad-4f97-824c-6ad22b6983d9" xsi:nil="true"/>
    <lcf76f155ced4ddcb4097134ff3c332f xmlns="ff0dc75a-79ab-40e2-b71a-431bd0c65d2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20E029F-FC5C-45BC-9818-3223290ED6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0D8927-8FC2-4DF4-8BA8-13A3C4FFB5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0dc75a-79ab-40e2-b71a-431bd0c65d2c"/>
    <ds:schemaRef ds:uri="e8203ea7-e7ad-4f97-824c-6ad22b6983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43E30B-1C2B-47C9-8427-52B5A26B47CB}">
  <ds:schemaRefs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e8203ea7-e7ad-4f97-824c-6ad22b6983d9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purl.org/dc/dcmitype/"/>
    <ds:schemaRef ds:uri="ff0dc75a-79ab-40e2-b71a-431bd0c65d2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Project 2.2</vt:lpstr>
      <vt:lpstr>Project 2.3</vt:lpstr>
      <vt:lpstr>Project 2.4</vt:lpstr>
      <vt:lpstr>Project 2.5</vt:lpstr>
      <vt:lpstr>Summary Table</vt:lpstr>
      <vt:lpstr>'Project 2.2'!Print_Area</vt:lpstr>
      <vt:lpstr>'Project 2.3'!Print_Area</vt:lpstr>
      <vt:lpstr>'Project 2.4'!Print_Area</vt:lpstr>
      <vt:lpstr>'Project 2.5'!Print_Area</vt:lpstr>
      <vt:lpstr>'Summary Table'!Print_Area</vt:lpstr>
    </vt:vector>
  </TitlesOfParts>
  <Manager/>
  <Company>Tetra Tech Inc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Yuchuan Lai</dc:creator>
  <cp:keywords/>
  <dc:description/>
  <cp:lastModifiedBy>Stringer, Catherine</cp:lastModifiedBy>
  <cp:revision/>
  <dcterms:created xsi:type="dcterms:W3CDTF">2024-03-28T19:03:21Z</dcterms:created>
  <dcterms:modified xsi:type="dcterms:W3CDTF">2024-03-30T02:09:07Z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0x01010044EB4683E25715488F2B8C15AB6D3A46</vt:lpwstr>
  </property>
  <property fmtid="{D5CDD505-2E9C-101B-9397-08002B2CF9AE}" pid="3" name="MediaServiceImageTags">
    <vt:lpwstr/>
  </property>
</Properties>
</file>