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nr-nr32f\neqap\APCP\Grant Applications\CPRG - Implementation\Attachments\"/>
    </mc:Choice>
  </mc:AlternateContent>
  <xr:revisionPtr revIDLastSave="0" documentId="13_ncr:1_{DD16EEF6-A604-44AB-BBF3-37706D2ED20A}" xr6:coauthVersionLast="47" xr6:coauthVersionMax="47" xr10:uidLastSave="{00000000-0000-0000-0000-000000000000}"/>
  <bookViews>
    <workbookView xWindow="-120" yWindow="-120" windowWidth="29040" windowHeight="15840" xr2:uid="{00000000-000D-0000-FFFF-FFFF00000000}"/>
  </bookViews>
  <sheets>
    <sheet name="DNR Air Admin and PSD Summary" sheetId="8" r:id="rId1"/>
    <sheet name="Group #1-Air Projects PSD" sheetId="9" r:id="rId2"/>
    <sheet name="Group #2-Energy Projects PSD" sheetId="1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8" l="1"/>
  <c r="F123" i="15"/>
  <c r="G123" i="15"/>
  <c r="H123" i="15"/>
  <c r="I123" i="15"/>
  <c r="J123" i="15"/>
  <c r="K123" i="15"/>
  <c r="E123" i="15"/>
  <c r="F121" i="15"/>
  <c r="G121" i="15"/>
  <c r="H121" i="15"/>
  <c r="I121" i="15"/>
  <c r="J121" i="15"/>
  <c r="K121" i="15"/>
  <c r="E121" i="15"/>
  <c r="E40" i="8"/>
  <c r="F40" i="8"/>
  <c r="G40" i="8"/>
  <c r="H40" i="8"/>
  <c r="I40" i="8"/>
  <c r="J40" i="8"/>
  <c r="D40" i="8"/>
  <c r="F72" i="15"/>
  <c r="G72" i="15"/>
  <c r="H72" i="15"/>
  <c r="I72" i="15"/>
  <c r="J72" i="15"/>
  <c r="E72" i="15"/>
  <c r="J11" i="9"/>
  <c r="J96" i="9"/>
  <c r="J86" i="9"/>
  <c r="J87" i="9"/>
  <c r="J31" i="9"/>
  <c r="H131" i="15" l="1"/>
  <c r="H132" i="15"/>
  <c r="H133" i="15"/>
  <c r="H134" i="15"/>
  <c r="H135" i="15"/>
  <c r="H136" i="15"/>
  <c r="H130" i="15"/>
  <c r="D166" i="9" l="1"/>
  <c r="J165" i="9"/>
  <c r="E164" i="9"/>
  <c r="F164" i="9" s="1"/>
  <c r="H160" i="9"/>
  <c r="G160" i="9"/>
  <c r="F160" i="9"/>
  <c r="E160" i="9"/>
  <c r="D160" i="9"/>
  <c r="D161" i="9" s="1"/>
  <c r="J159" i="9"/>
  <c r="J158" i="9"/>
  <c r="J157" i="9"/>
  <c r="H155" i="9"/>
  <c r="G155" i="9"/>
  <c r="F155" i="9"/>
  <c r="E155" i="9"/>
  <c r="D155" i="9"/>
  <c r="J154" i="9"/>
  <c r="J153" i="9"/>
  <c r="J152" i="9"/>
  <c r="J151" i="9"/>
  <c r="H149" i="9"/>
  <c r="G149" i="9"/>
  <c r="F149" i="9"/>
  <c r="E149" i="9"/>
  <c r="D149" i="9"/>
  <c r="J148" i="9"/>
  <c r="J147" i="9"/>
  <c r="J149" i="9" s="1"/>
  <c r="H145" i="9"/>
  <c r="G145" i="9"/>
  <c r="F145" i="9"/>
  <c r="E145" i="9"/>
  <c r="D145" i="9"/>
  <c r="J144" i="9"/>
  <c r="J143" i="9"/>
  <c r="H141" i="9"/>
  <c r="G141" i="9"/>
  <c r="F141" i="9"/>
  <c r="E141" i="9"/>
  <c r="D141" i="9"/>
  <c r="J140" i="9"/>
  <c r="J139" i="9"/>
  <c r="J138" i="9"/>
  <c r="J137" i="9"/>
  <c r="J136" i="9"/>
  <c r="J135" i="9"/>
  <c r="J134" i="9"/>
  <c r="J133" i="9"/>
  <c r="D131" i="9"/>
  <c r="E130" i="9"/>
  <c r="F130" i="9" s="1"/>
  <c r="E129" i="9"/>
  <c r="F129" i="9" s="1"/>
  <c r="E128" i="9"/>
  <c r="E127" i="9"/>
  <c r="F127" i="9" s="1"/>
  <c r="E126" i="9"/>
  <c r="D124" i="9"/>
  <c r="E123" i="9"/>
  <c r="F123" i="9" s="1"/>
  <c r="E122" i="9"/>
  <c r="E121" i="9"/>
  <c r="F121" i="9" s="1"/>
  <c r="G121" i="9" s="1"/>
  <c r="H121" i="9" s="1"/>
  <c r="E120" i="9"/>
  <c r="F120" i="9" s="1"/>
  <c r="E119" i="9"/>
  <c r="J141" i="9" l="1"/>
  <c r="J145" i="9"/>
  <c r="J155" i="9"/>
  <c r="J160" i="9"/>
  <c r="D168" i="9"/>
  <c r="G127" i="9"/>
  <c r="H127" i="9" s="1"/>
  <c r="J127" i="9"/>
  <c r="J121" i="9"/>
  <c r="G120" i="9"/>
  <c r="H120" i="9" s="1"/>
  <c r="F166" i="9"/>
  <c r="G164" i="9"/>
  <c r="J129" i="9"/>
  <c r="G130" i="9"/>
  <c r="H130" i="9" s="1"/>
  <c r="J130" i="9"/>
  <c r="G123" i="9"/>
  <c r="H123" i="9" s="1"/>
  <c r="F122" i="9"/>
  <c r="G122" i="9" s="1"/>
  <c r="H122" i="9" s="1"/>
  <c r="F126" i="9"/>
  <c r="G129" i="9"/>
  <c r="H129" i="9" s="1"/>
  <c r="E131" i="9"/>
  <c r="E124" i="9"/>
  <c r="E161" i="9" s="1"/>
  <c r="F128" i="9"/>
  <c r="G128" i="9" s="1"/>
  <c r="H128" i="9" s="1"/>
  <c r="F119" i="9"/>
  <c r="E166" i="9"/>
  <c r="E168" i="9" l="1"/>
  <c r="J120" i="9"/>
  <c r="F124" i="9"/>
  <c r="G119" i="9"/>
  <c r="G126" i="9"/>
  <c r="F131" i="9"/>
  <c r="F161" i="9" s="1"/>
  <c r="J123" i="9"/>
  <c r="G166" i="9"/>
  <c r="H164" i="9"/>
  <c r="J122" i="9"/>
  <c r="J128" i="9"/>
  <c r="H119" i="9" l="1"/>
  <c r="G124" i="9"/>
  <c r="G131" i="9"/>
  <c r="G161" i="9" s="1"/>
  <c r="H126" i="9"/>
  <c r="H131" i="9" s="1"/>
  <c r="F168" i="9"/>
  <c r="H166" i="9"/>
  <c r="J164" i="9"/>
  <c r="J166" i="9" s="1"/>
  <c r="G168" i="9" l="1"/>
  <c r="H124" i="9"/>
  <c r="H161" i="9" s="1"/>
  <c r="J119" i="9"/>
  <c r="J124" i="9" s="1"/>
  <c r="J126" i="9"/>
  <c r="J131" i="9" s="1"/>
  <c r="E37" i="8"/>
  <c r="E43" i="8" s="1"/>
  <c r="E45" i="8" s="1"/>
  <c r="F37" i="8"/>
  <c r="G37" i="8"/>
  <c r="G43" i="8" s="1"/>
  <c r="G45" i="8" s="1"/>
  <c r="H37" i="8"/>
  <c r="I37" i="8"/>
  <c r="D37" i="8"/>
  <c r="K101" i="15"/>
  <c r="K109" i="15"/>
  <c r="K103" i="15"/>
  <c r="K105" i="15"/>
  <c r="K111" i="15"/>
  <c r="K88" i="15"/>
  <c r="K92" i="15"/>
  <c r="F116" i="15"/>
  <c r="J116" i="15"/>
  <c r="E116" i="15"/>
  <c r="K98" i="15"/>
  <c r="K97" i="15"/>
  <c r="K102" i="15"/>
  <c r="K100" i="15"/>
  <c r="K108" i="15"/>
  <c r="K106" i="15"/>
  <c r="K95" i="15"/>
  <c r="K110" i="15"/>
  <c r="K94" i="15"/>
  <c r="K112" i="15"/>
  <c r="K104" i="15"/>
  <c r="K96" i="15"/>
  <c r="K107" i="15"/>
  <c r="K99" i="15"/>
  <c r="K93" i="15"/>
  <c r="K91" i="15"/>
  <c r="K87" i="15"/>
  <c r="K90" i="15"/>
  <c r="K85" i="15"/>
  <c r="G116" i="15"/>
  <c r="K89" i="15"/>
  <c r="I116" i="15"/>
  <c r="K84" i="15"/>
  <c r="H116" i="15"/>
  <c r="K86" i="15"/>
  <c r="F118" i="15"/>
  <c r="G118" i="15"/>
  <c r="H118" i="15"/>
  <c r="I118" i="15"/>
  <c r="J118" i="15"/>
  <c r="E118" i="15"/>
  <c r="F82" i="15"/>
  <c r="G82" i="15"/>
  <c r="H82" i="15"/>
  <c r="I82" i="15"/>
  <c r="J82" i="15"/>
  <c r="E82" i="15"/>
  <c r="F75" i="15"/>
  <c r="G75" i="15"/>
  <c r="H75" i="15"/>
  <c r="I75" i="15"/>
  <c r="J75" i="15"/>
  <c r="E75" i="15"/>
  <c r="K77" i="15"/>
  <c r="K78" i="15"/>
  <c r="K79" i="15"/>
  <c r="K80" i="15"/>
  <c r="K81" i="15"/>
  <c r="K15" i="15"/>
  <c r="K10" i="15"/>
  <c r="K11" i="15"/>
  <c r="K12" i="15"/>
  <c r="K63" i="15"/>
  <c r="K62" i="15"/>
  <c r="K56" i="15"/>
  <c r="K55" i="15"/>
  <c r="K54" i="15"/>
  <c r="K31" i="15"/>
  <c r="K19" i="15"/>
  <c r="K9" i="15"/>
  <c r="K8" i="15"/>
  <c r="K13" i="15"/>
  <c r="K14" i="15"/>
  <c r="K16" i="15"/>
  <c r="K17" i="15"/>
  <c r="K18" i="15"/>
  <c r="K20" i="15"/>
  <c r="K21" i="15"/>
  <c r="K22" i="15"/>
  <c r="K23" i="15"/>
  <c r="K24" i="15"/>
  <c r="K25" i="15"/>
  <c r="K26" i="15"/>
  <c r="K27" i="15"/>
  <c r="K28" i="15"/>
  <c r="K29" i="15"/>
  <c r="K30" i="15"/>
  <c r="K32" i="15"/>
  <c r="K33" i="15"/>
  <c r="K34" i="15"/>
  <c r="K35" i="15"/>
  <c r="K36" i="15"/>
  <c r="K37" i="15"/>
  <c r="K38" i="15"/>
  <c r="K39" i="15"/>
  <c r="K40" i="15"/>
  <c r="K41" i="15"/>
  <c r="K42" i="15"/>
  <c r="K43" i="15"/>
  <c r="K44" i="15"/>
  <c r="K45" i="15"/>
  <c r="K46" i="15"/>
  <c r="K47" i="15"/>
  <c r="K48" i="15"/>
  <c r="K49" i="15"/>
  <c r="K50" i="15"/>
  <c r="K51" i="15"/>
  <c r="K52" i="15"/>
  <c r="K53" i="15"/>
  <c r="K57" i="15"/>
  <c r="K58" i="15"/>
  <c r="K59" i="15"/>
  <c r="K60" i="15"/>
  <c r="K61" i="15"/>
  <c r="K64" i="15"/>
  <c r="K65" i="15"/>
  <c r="K66" i="15"/>
  <c r="K67" i="15"/>
  <c r="K68" i="15"/>
  <c r="K69" i="15"/>
  <c r="K70" i="15"/>
  <c r="K71" i="15"/>
  <c r="K117" i="15"/>
  <c r="K115" i="15"/>
  <c r="K114" i="15"/>
  <c r="K113" i="15"/>
  <c r="K83" i="15"/>
  <c r="K76" i="15"/>
  <c r="K74" i="15"/>
  <c r="K75" i="15" s="1"/>
  <c r="K7" i="15"/>
  <c r="J9" i="9"/>
  <c r="E12" i="9"/>
  <c r="F12" i="9"/>
  <c r="G12" i="9"/>
  <c r="H12" i="9"/>
  <c r="I12" i="9"/>
  <c r="D12" i="9"/>
  <c r="J12" i="9" s="1"/>
  <c r="J32" i="9"/>
  <c r="J33" i="9"/>
  <c r="J47" i="9"/>
  <c r="J18" i="9"/>
  <c r="J25" i="9"/>
  <c r="J36" i="9"/>
  <c r="J44" i="9"/>
  <c r="J50" i="9"/>
  <c r="J58" i="9"/>
  <c r="J66" i="9"/>
  <c r="E107" i="9"/>
  <c r="E110" i="9" s="1"/>
  <c r="J73" i="9"/>
  <c r="J80" i="9"/>
  <c r="J85" i="9"/>
  <c r="J95" i="9"/>
  <c r="J104" i="9"/>
  <c r="J15" i="9"/>
  <c r="J16" i="9"/>
  <c r="J17" i="9"/>
  <c r="J19" i="9"/>
  <c r="J20" i="9"/>
  <c r="J21" i="9"/>
  <c r="J22" i="9"/>
  <c r="J23" i="9"/>
  <c r="J24" i="9"/>
  <c r="J26" i="9"/>
  <c r="J27" i="9"/>
  <c r="J28" i="9"/>
  <c r="J29" i="9"/>
  <c r="J30" i="9"/>
  <c r="J34" i="9"/>
  <c r="J35" i="9"/>
  <c r="J37" i="9"/>
  <c r="J38" i="9"/>
  <c r="J39" i="9"/>
  <c r="J40" i="9"/>
  <c r="J41" i="9"/>
  <c r="J42" i="9"/>
  <c r="J43" i="9"/>
  <c r="J45" i="9"/>
  <c r="J46" i="9"/>
  <c r="J48" i="9"/>
  <c r="J49" i="9"/>
  <c r="J51" i="9"/>
  <c r="J52" i="9"/>
  <c r="J53" i="9"/>
  <c r="J54" i="9"/>
  <c r="J55" i="9"/>
  <c r="J56" i="9"/>
  <c r="J57" i="9"/>
  <c r="J59" i="9"/>
  <c r="J60" i="9"/>
  <c r="J61" i="9"/>
  <c r="J62" i="9"/>
  <c r="J63" i="9"/>
  <c r="J64" i="9"/>
  <c r="J65" i="9"/>
  <c r="J67" i="9"/>
  <c r="J68" i="9"/>
  <c r="J69" i="9"/>
  <c r="J70" i="9"/>
  <c r="J71" i="9"/>
  <c r="J72" i="9"/>
  <c r="J74" i="9"/>
  <c r="J75" i="9"/>
  <c r="J76" i="9"/>
  <c r="J77" i="9"/>
  <c r="J78" i="9"/>
  <c r="J79" i="9"/>
  <c r="J81" i="9"/>
  <c r="J82" i="9"/>
  <c r="J83" i="9"/>
  <c r="J84" i="9"/>
  <c r="J88" i="9"/>
  <c r="J89" i="9"/>
  <c r="J90" i="9"/>
  <c r="J91" i="9"/>
  <c r="J92" i="9"/>
  <c r="J93" i="9"/>
  <c r="J94" i="9"/>
  <c r="J97" i="9"/>
  <c r="J98" i="9"/>
  <c r="J99" i="9"/>
  <c r="J100" i="9"/>
  <c r="J101" i="9"/>
  <c r="J102" i="9"/>
  <c r="J103" i="9"/>
  <c r="J105" i="9"/>
  <c r="J106" i="9"/>
  <c r="F107" i="9"/>
  <c r="G107" i="9"/>
  <c r="G110" i="9" s="1"/>
  <c r="H107" i="9"/>
  <c r="H110" i="9" s="1"/>
  <c r="I107" i="9"/>
  <c r="D107" i="9"/>
  <c r="J14" i="9"/>
  <c r="J8" i="9"/>
  <c r="J10" i="9"/>
  <c r="J7" i="9"/>
  <c r="H10" i="8"/>
  <c r="G10" i="8"/>
  <c r="F10" i="8"/>
  <c r="E10" i="8"/>
  <c r="D10" i="8"/>
  <c r="H9" i="8"/>
  <c r="G9" i="8"/>
  <c r="F9" i="8"/>
  <c r="J9" i="8"/>
  <c r="E9" i="8"/>
  <c r="D9" i="8"/>
  <c r="H8" i="8"/>
  <c r="G8" i="8"/>
  <c r="F8" i="8"/>
  <c r="E8" i="8"/>
  <c r="D8" i="8"/>
  <c r="H7" i="8"/>
  <c r="G7" i="8"/>
  <c r="F7" i="8"/>
  <c r="E7" i="8"/>
  <c r="D7" i="8"/>
  <c r="H6" i="8"/>
  <c r="G6" i="8"/>
  <c r="F6" i="8"/>
  <c r="E6" i="8"/>
  <c r="E11" i="8"/>
  <c r="E13" i="8"/>
  <c r="E14" i="8"/>
  <c r="D6" i="8"/>
  <c r="H5" i="8"/>
  <c r="G5" i="8"/>
  <c r="F5" i="8"/>
  <c r="E5" i="8"/>
  <c r="D5" i="8"/>
  <c r="H4" i="8"/>
  <c r="G4" i="8"/>
  <c r="F4" i="8"/>
  <c r="E4" i="8"/>
  <c r="D4" i="8"/>
  <c r="J18" i="8"/>
  <c r="H19" i="8"/>
  <c r="G19" i="8"/>
  <c r="G20" i="8"/>
  <c r="E19" i="8"/>
  <c r="E20" i="8"/>
  <c r="F19" i="8"/>
  <c r="F20" i="8"/>
  <c r="D19" i="8"/>
  <c r="H17" i="8"/>
  <c r="G17" i="8"/>
  <c r="F17" i="8"/>
  <c r="E17" i="8"/>
  <c r="D17" i="8"/>
  <c r="I30" i="8"/>
  <c r="J23" i="8"/>
  <c r="E24" i="8"/>
  <c r="F24" i="8"/>
  <c r="G24" i="8"/>
  <c r="H24" i="8"/>
  <c r="I24" i="8"/>
  <c r="I20" i="8"/>
  <c r="I14" i="8"/>
  <c r="I11" i="8"/>
  <c r="J34" i="8"/>
  <c r="J35" i="8"/>
  <c r="H43" i="8"/>
  <c r="H45" i="8" s="1"/>
  <c r="D43" i="8"/>
  <c r="D45" i="8" s="1"/>
  <c r="D24" i="8"/>
  <c r="J24" i="8"/>
  <c r="J8" i="8"/>
  <c r="I26" i="8"/>
  <c r="J10" i="8"/>
  <c r="J17" i="8"/>
  <c r="J4" i="8"/>
  <c r="J5" i="8"/>
  <c r="J7" i="8"/>
  <c r="D11" i="8"/>
  <c r="D13" i="8"/>
  <c r="D20" i="8"/>
  <c r="J20" i="8"/>
  <c r="J6" i="8"/>
  <c r="G11" i="8"/>
  <c r="G13" i="8"/>
  <c r="G14" i="8"/>
  <c r="G26" i="8"/>
  <c r="G29" i="8"/>
  <c r="G30" i="8"/>
  <c r="E26" i="8"/>
  <c r="E29" i="8"/>
  <c r="E30" i="8"/>
  <c r="H11" i="8"/>
  <c r="H13" i="8"/>
  <c r="H14" i="8"/>
  <c r="J19" i="8"/>
  <c r="F11" i="8"/>
  <c r="F13" i="8"/>
  <c r="F14" i="8"/>
  <c r="F26" i="8"/>
  <c r="F29" i="8"/>
  <c r="F30" i="8"/>
  <c r="H20" i="8"/>
  <c r="I43" i="8"/>
  <c r="I45" i="8" s="1"/>
  <c r="H26" i="8"/>
  <c r="H29" i="8"/>
  <c r="H30" i="8"/>
  <c r="J13" i="8"/>
  <c r="D14" i="8"/>
  <c r="J11" i="8"/>
  <c r="J14" i="8"/>
  <c r="J26" i="8"/>
  <c r="D26" i="8"/>
  <c r="D29" i="8"/>
  <c r="D30" i="8"/>
  <c r="J30" i="8"/>
  <c r="K72" i="15" l="1"/>
  <c r="J37" i="8"/>
  <c r="F110" i="9"/>
  <c r="I110" i="9"/>
  <c r="D110" i="9"/>
  <c r="J107" i="9"/>
  <c r="F43" i="8"/>
  <c r="F45" i="8" s="1"/>
  <c r="K116" i="15"/>
  <c r="C137" i="15"/>
  <c r="C138" i="15" s="1"/>
  <c r="C140" i="15" s="1"/>
  <c r="K82" i="15"/>
  <c r="K118" i="15"/>
  <c r="J161" i="9"/>
  <c r="J168" i="9" s="1"/>
  <c r="H168" i="9"/>
  <c r="D137" i="15" l="1"/>
  <c r="D138" i="15" s="1"/>
  <c r="D140" i="15" s="1"/>
  <c r="G137" i="15"/>
  <c r="G138" i="15" s="1"/>
  <c r="G140" i="15" s="1"/>
  <c r="F137" i="15"/>
  <c r="F138" i="15" s="1"/>
  <c r="F140" i="15" s="1"/>
  <c r="E137" i="15"/>
  <c r="E138" i="15" s="1"/>
  <c r="E140" i="15" s="1"/>
  <c r="H137" i="15" l="1"/>
  <c r="H138" i="15" s="1"/>
  <c r="H140" i="15" s="1"/>
</calcChain>
</file>

<file path=xl/sharedStrings.xml><?xml version="1.0" encoding="utf-8"?>
<sst xmlns="http://schemas.openxmlformats.org/spreadsheetml/2006/main" count="601" uniqueCount="489">
  <si>
    <t>INFORMATION</t>
  </si>
  <si>
    <t>DETAILS</t>
  </si>
  <si>
    <t>GRAND 
TOTAL</t>
  </si>
  <si>
    <t>Public Information Staff</t>
  </si>
  <si>
    <t>Total Personal Service</t>
  </si>
  <si>
    <t>Total Travel</t>
  </si>
  <si>
    <t xml:space="preserve">Supply Expense </t>
  </si>
  <si>
    <t>Miscellaneous supplies</t>
  </si>
  <si>
    <t>Total Supplies</t>
  </si>
  <si>
    <t>TOTAL DIRECT COST</t>
  </si>
  <si>
    <t>GRAND TOTAL</t>
  </si>
  <si>
    <t>Indirect Expense</t>
  </si>
  <si>
    <t>Misc. supplies for site visits/meetings</t>
  </si>
  <si>
    <t>FFY 2025 CPRG GRANT TOTALS</t>
  </si>
  <si>
    <t>FFY 2026 CPRG GRANT TOTALS</t>
  </si>
  <si>
    <t>FFY 2027 CPRG GRANT TOTALS</t>
  </si>
  <si>
    <t>FFY 2028 CPRG GRANT TOTALS</t>
  </si>
  <si>
    <t>FFY 2029 CPRG GRANT TOTALS</t>
  </si>
  <si>
    <t>FFY 2025-2029 LEVERAGED 
FUNDS</t>
  </si>
  <si>
    <t>Travel Expense</t>
  </si>
  <si>
    <t>Professional Engineer - Technical Project Manager</t>
  </si>
  <si>
    <t>Air Quality Planning Section Chief - Oversight/Approval Role</t>
  </si>
  <si>
    <t>Administrative Program Specialist - Grants Specialist/Accounting</t>
  </si>
  <si>
    <t>Environmental Program Analyst - Project Oversight/Reporting/Tracking/Technical Payment Review</t>
  </si>
  <si>
    <t>Associate Research Analyst - Grant Tracking/Reporting/Financial Payment Review</t>
  </si>
  <si>
    <t>Reporting Category</t>
  </si>
  <si>
    <t>Lodging</t>
  </si>
  <si>
    <t>Mileage</t>
  </si>
  <si>
    <t> (For project/technical managers and financial audits)</t>
  </si>
  <si>
    <t>Per Diem</t>
  </si>
  <si>
    <t>Total Particpant Support Costs</t>
  </si>
  <si>
    <t>Total Subgrant Costs</t>
  </si>
  <si>
    <t>NOTE:  * The State's indirect is negotiated &amp; fringe rate is Department approved each state fiscal year (SFY).  At this time SFY's 2025-2029 rates are unknown.</t>
  </si>
  <si>
    <r>
      <t xml:space="preserve">                      Total Indirect</t>
    </r>
    <r>
      <rPr>
        <sz val="11"/>
        <rFont val="Times New Roman"/>
        <family val="1"/>
      </rPr>
      <t xml:space="preserve"> *</t>
    </r>
  </si>
  <si>
    <r>
      <t xml:space="preserve">Total Fringe </t>
    </r>
    <r>
      <rPr>
        <sz val="11"/>
        <rFont val="Times New Roman"/>
        <family val="1"/>
      </rPr>
      <t>*</t>
    </r>
  </si>
  <si>
    <t>SHOW-ME MO ENVIRONMENTAL EXCELLENCE PROGRAM - DETAILED BUDGET
PROJECT PERIOD OCTOBER 1, 2024 to SEPTEMBER 30, 2029</t>
  </si>
  <si>
    <t>Air Pollution Control Program Director - Oversight/Approval Role</t>
  </si>
  <si>
    <t>3 trips per year average 400 miles round trip @ $0.655 per mile (est. miles 1,200) for FY2025-2027, then 1 trip per year average 400 miles round trip for FY2028-2029</t>
  </si>
  <si>
    <t>3 overnight stays for 2  @ $125 ea.(6 stays) per year for FY2025-2027, then 1 overnight stay for 2 (2 stays) per year for FY2028-2029</t>
  </si>
  <si>
    <t>Avg. Per Diem $41 per day (12 total days) per year for FY2025-2027 and 4 days per year for FY2028-2029</t>
  </si>
  <si>
    <t>Fringe SFY 2024 @ 60.22%</t>
  </si>
  <si>
    <t>700 hrs per year for FFY2025-2027, then 200 hrs per year FFY2028-2029 @ $33.14/hr with 3% COLA</t>
  </si>
  <si>
    <t>700 hrs per year for FFY2025-2027, then 200 hrs per year FFY2028-2029 @ $25.88/hr with 3% COLA</t>
  </si>
  <si>
    <t>300 hrs per year for FFY2025-2027, then 100 hrs per year FFY2028-2029 @ $21.47hr with 3% COLA</t>
  </si>
  <si>
    <t>1.5 FTE (3,120 hrs) for FFY2025-2027, then  400 hrs per year for FFY2028-2029 @ $24.08/hr with 3% COLA</t>
  </si>
  <si>
    <t>300 hrs per year for FFY2025-2027, then 100 hrs per year FFY2028-2029 @ $40.49/hr with 3% COLA</t>
  </si>
  <si>
    <t>100 hrs per year for FFY2025-2027, then 30 hrs per year FFY2028-2029 @ $47.58/hr with 3% COLA</t>
  </si>
  <si>
    <t>50 hrs per year for FFY2025-2027, then 10 hrs per year FFY2028-2029 @ $34.99/hr</t>
  </si>
  <si>
    <t xml:space="preserve">Indirect SFY 2024 @ 23.59%  </t>
  </si>
  <si>
    <t>Administration Expense (MDNR Air Program) Personal Service</t>
  </si>
  <si>
    <t>Missouri Public Utility Alliance - Project costs</t>
  </si>
  <si>
    <t xml:space="preserve">City of Springfield Utilities </t>
  </si>
  <si>
    <t>City of Springfield Gov</t>
  </si>
  <si>
    <t>Carthage Water and Electric</t>
  </si>
  <si>
    <t>Rolla Municipal Utilities</t>
  </si>
  <si>
    <t>City of Higginsville</t>
  </si>
  <si>
    <t xml:space="preserve">Poplar Bluff Utilities </t>
  </si>
  <si>
    <t>Phelps County Sanitary Landfill</t>
  </si>
  <si>
    <t>Bieser Farms</t>
  </si>
  <si>
    <t xml:space="preserve">Cole County Organization </t>
  </si>
  <si>
    <t xml:space="preserve">Webster County Gov </t>
  </si>
  <si>
    <t>Seed St. Louis</t>
  </si>
  <si>
    <t>Emmaus village</t>
  </si>
  <si>
    <t>ACRES</t>
  </si>
  <si>
    <t>City of Brentwood</t>
  </si>
  <si>
    <t>Lee's Summit Landfill</t>
  </si>
  <si>
    <t>Prairie View Landfill</t>
  </si>
  <si>
    <t xml:space="preserve">City of St. Peters </t>
  </si>
  <si>
    <t xml:space="preserve">Richard Osa </t>
  </si>
  <si>
    <t>Waste2Energy</t>
  </si>
  <si>
    <t>Webster County</t>
  </si>
  <si>
    <t xml:space="preserve">Forest Releaf of Missouri </t>
  </si>
  <si>
    <t>Downtown KC</t>
  </si>
  <si>
    <t xml:space="preserve">City of Columbia Gov </t>
  </si>
  <si>
    <t>New Roots Urban Farm Orchard</t>
  </si>
  <si>
    <t>Earthdance organic farm</t>
  </si>
  <si>
    <t>Mizzou Center for Regenerative Ag</t>
  </si>
  <si>
    <t>MSU</t>
  </si>
  <si>
    <t>Northeast Power Co-op</t>
  </si>
  <si>
    <t xml:space="preserve">Northwest Missouri State University </t>
  </si>
  <si>
    <t xml:space="preserve">William Jewel College </t>
  </si>
  <si>
    <t xml:space="preserve">Maryville University </t>
  </si>
  <si>
    <t>Missouri State University - West Plains</t>
  </si>
  <si>
    <t>Department of Conservation</t>
  </si>
  <si>
    <t>Missouri State University/City of Springfield Gov</t>
  </si>
  <si>
    <t xml:space="preserve">WCSB40 </t>
  </si>
  <si>
    <t xml:space="preserve">Van Buren School District </t>
  </si>
  <si>
    <t>Earthday 365</t>
  </si>
  <si>
    <t>Emmaus Village</t>
  </si>
  <si>
    <t>Dept of Conservation</t>
  </si>
  <si>
    <t>City of JC</t>
  </si>
  <si>
    <t>St. Louis Co. DOH</t>
  </si>
  <si>
    <t xml:space="preserve">Dynamic EVC </t>
  </si>
  <si>
    <t>KW Commercial Jennifer Grove</t>
  </si>
  <si>
    <t xml:space="preserve">Lifetime Destinations </t>
  </si>
  <si>
    <t xml:space="preserve">City of Jefferson City Gov </t>
  </si>
  <si>
    <t>City of Poplar Bluff</t>
  </si>
  <si>
    <t xml:space="preserve">City of Kirkwood </t>
  </si>
  <si>
    <t xml:space="preserve">Jefferson College </t>
  </si>
  <si>
    <t xml:space="preserve">City of Brentwood- return LOC on 18th </t>
  </si>
  <si>
    <t xml:space="preserve">Ozarks Land Transportation </t>
  </si>
  <si>
    <t>Other Expense - Program Specific Distribution (PSD) Subgrants and Participant Support Costs</t>
  </si>
  <si>
    <t>New Roots Urban Farm</t>
  </si>
  <si>
    <t>City of Columbia</t>
  </si>
  <si>
    <t>Borntobore</t>
  </si>
  <si>
    <t>Rustic Roots Sanctuary</t>
  </si>
  <si>
    <t>St. Johns United Church of Christ</t>
  </si>
  <si>
    <t>2 MW solar farm</t>
  </si>
  <si>
    <t>5 MW solar farm</t>
  </si>
  <si>
    <t>1.5 solar farm</t>
  </si>
  <si>
    <t>3 MW solar farm</t>
  </si>
  <si>
    <t>4.95 MW solar farms</t>
  </si>
  <si>
    <t xml:space="preserve">solar panels on County Public Works Maintenance facility </t>
  </si>
  <si>
    <t>renewable energy, energy efficiency leachate collection</t>
  </si>
  <si>
    <t>solar array for Armory building</t>
  </si>
  <si>
    <t>solar panels on business</t>
  </si>
  <si>
    <t>solar array for Seed St. Louis</t>
  </si>
  <si>
    <t>solar array</t>
  </si>
  <si>
    <t>solar panels for rec center</t>
  </si>
  <si>
    <t xml:space="preserve">Expansion of gas well collection field at  Noble Hill Sanitary Landfill </t>
  </si>
  <si>
    <t xml:space="preserve">Gas capture system at the Southwest Wastewater Treatment Plant </t>
  </si>
  <si>
    <t>Expanding and adding additional generation equipment to the existing methane to energy facility at the Prairie View Landfill</t>
  </si>
  <si>
    <t>Lee's summit Landfill methane conversion to CO2</t>
  </si>
  <si>
    <t>Material Recovering Facility upgrades to support a single stream recyclng pogram. And Recycling carts for municipal Solid waste</t>
  </si>
  <si>
    <t xml:space="preserve">satellite recycling collection sites in rural communiteis </t>
  </si>
  <si>
    <t>Combust waste for energy production</t>
  </si>
  <si>
    <t xml:space="preserve">Route optimization software for solid waste collections, curbside recycling </t>
  </si>
  <si>
    <t>On-site treatment of leachate from the Webster Co. landfill. Will reduce hauling for off-site treatment</t>
  </si>
  <si>
    <t>3000 additional trees/year</t>
  </si>
  <si>
    <t>73 trees - 1.2 acres of new tree canopy</t>
  </si>
  <si>
    <t xml:space="preserve">480 trees </t>
  </si>
  <si>
    <t>20 fruit trees</t>
  </si>
  <si>
    <t>1000 trees</t>
  </si>
  <si>
    <t>300 trees</t>
  </si>
  <si>
    <t>50 trees</t>
  </si>
  <si>
    <t>45 trees</t>
  </si>
  <si>
    <t>cover crop project</t>
  </si>
  <si>
    <t>20 acres of prairie grass cover for solar farm</t>
  </si>
  <si>
    <t>5 acres pollinator plot</t>
  </si>
  <si>
    <t>William Jewel College residential facilities to replace HVAC with geothermal or VRF system, replace windows and doors</t>
  </si>
  <si>
    <t>HVAC replacement for student apartments and construction of lab building with newer chillers</t>
  </si>
  <si>
    <t>Campus Parking Lot Lighting Conversion – Convert 115 light poles with older high pressure sodium light fixtures over to LED fixtures. We anticipate that this conversion will yield an estimated annual energy savings of 187,672 kWh</t>
  </si>
  <si>
    <t xml:space="preserve">17,000 sqft of closed cell foam insulation </t>
  </si>
  <si>
    <t>GSHP for - Armory</t>
  </si>
  <si>
    <t>replace florescent lighte swith LED in gov buildings and upgrade 320 street light from High Pressure solium to LED</t>
  </si>
  <si>
    <t>Softball center lighting replacement</t>
  </si>
  <si>
    <t>3 on campus solar panel and windows</t>
  </si>
  <si>
    <t>GSHP at municipal building</t>
  </si>
  <si>
    <t>HVAC replacement project at the Springfield Conservation Nature Center</t>
  </si>
  <si>
    <t>Updating Commission Headquarters with fiber cement siding, insulated doors, double pane glazing system, insulation, air sealing and high reflectively metal roof.</t>
  </si>
  <si>
    <t>Updated HVAC system for the 2 mil native tree seedlings coolers</t>
  </si>
  <si>
    <t xml:space="preserve">develop  and operate a turnkey for direct load control demand response program to reduce energy consumption during peak periods of demand. Program would reward customers with peak savings events from smart thermostats and EV chragers for both residential and commercial customers. </t>
  </si>
  <si>
    <t xml:space="preserve">Demand Response System </t>
  </si>
  <si>
    <t xml:space="preserve">Replace current City Utilities diesel fleet with electric vehicles with bidirectional charging capabilities. </t>
  </si>
  <si>
    <t>replace diesel with two city transit electric buses</t>
  </si>
  <si>
    <t xml:space="preserve">Replace gas powered vehicles with Evs for MO State University Transportation Services and 10 electric patrol vehicles </t>
  </si>
  <si>
    <t>convert the existing fleet of  52 gas-powered golf carts at L.A. Nickell Golf Course to electric powered golf carts</t>
  </si>
  <si>
    <t>purchase EV for school district and charging station</t>
  </si>
  <si>
    <t>1 EV SUV</t>
  </si>
  <si>
    <t>10 EVS</t>
  </si>
  <si>
    <t>3 Evs and EV box truck</t>
  </si>
  <si>
    <t>10 Evs</t>
  </si>
  <si>
    <t>14 Evs</t>
  </si>
  <si>
    <t>Replace 4 diesel engine pumps with electric pumps</t>
  </si>
  <si>
    <t>replace 22 diesel engine wells with 15 electric wells</t>
  </si>
  <si>
    <t>Electric mower exchange (1,250 mowers)</t>
  </si>
  <si>
    <t>3 dual port fast chargers at Branson Mall</t>
  </si>
  <si>
    <t>3 dual port fast chargers at T &amp; C Shopping Center</t>
  </si>
  <si>
    <t>3 dual port fast chargers at ReCharge Park</t>
  </si>
  <si>
    <t>3 dual port fast chargers at Ozark Hills Welcome Center</t>
  </si>
  <si>
    <t>2 dual port electric chargers at Branson Ticket Center</t>
  </si>
  <si>
    <t>2 dual port fast chargers at Branson Travel Group</t>
  </si>
  <si>
    <t>1 level 2 charger</t>
  </si>
  <si>
    <t>5 level 3 chargers</t>
  </si>
  <si>
    <t>2 level 2 chargers</t>
  </si>
  <si>
    <t>Construct trail in conjunction with I-44 Improvements in Springfield, MO: A trail is proposed as part of the lane additions to I-44 in Springfield. Construction costs include the trail, box culvert under I-44, lighting, and retaining wall.</t>
  </si>
  <si>
    <t xml:space="preserve">Goal of 24 acres wth 16,000 stems per acre </t>
  </si>
  <si>
    <t xml:space="preserve">Replace HVAC system at four on campus buildings using geothermal </t>
  </si>
  <si>
    <t xml:space="preserve">3 dual port fast chargers at 27 North </t>
  </si>
  <si>
    <t>Holcim Inc.</t>
  </si>
  <si>
    <t>Replace current solid fuel with low-carbon engineered fuel</t>
  </si>
  <si>
    <t>Purchase 2 hybrid 14 passenger, wheel chair accessible vans</t>
  </si>
  <si>
    <t>HOSCO</t>
  </si>
  <si>
    <t>Body and soil farm</t>
  </si>
  <si>
    <t>solar array and solar irrigation/lighting/exhaust fan/greenhouse</t>
  </si>
  <si>
    <t>10 MW solar farm</t>
  </si>
  <si>
    <t xml:space="preserve">Great Mines Health Center/T.R. Dudley </t>
  </si>
  <si>
    <t xml:space="preserve">T.R. Dudley </t>
  </si>
  <si>
    <t>EV charging stations - 12 level 3 chargers</t>
  </si>
  <si>
    <t>EV charging stations - 6 level 3 chargers</t>
  </si>
  <si>
    <t xml:space="preserve">install two electric vehicle fast chargers </t>
  </si>
  <si>
    <t xml:space="preserve">Nicholas Barrack </t>
  </si>
  <si>
    <t>Install EV charging stations at City of Rolla parking lots (30 locations)</t>
  </si>
  <si>
    <t>Kirkwood Electric will be installing six (6) Electric Vehicle charging stations at the Kirkwood Community Center</t>
  </si>
  <si>
    <t>10 EV charging stations</t>
  </si>
  <si>
    <t>Install 2 dual pedestral chargers (single fixture capable of charging two vehciles at one time) at Arnold and Hillsboro campus in Jefferson College</t>
  </si>
  <si>
    <t>14 private level 2 chargers and 15 public level 2 in new parking garage</t>
  </si>
  <si>
    <t>1 MW, 4 hour battery to replace diesel generator for City of Marshall</t>
  </si>
  <si>
    <t>1 MW, 4 hour battery to replace diesel generator City of Macon</t>
  </si>
  <si>
    <t>Subgrant costs for Air Projects</t>
  </si>
  <si>
    <t>Rural Solar Farms (33 MW in total) in the following cities: Houston, Monett, Mt. Vernon, Newburg, Richland, Salem, Steelville, Sullivan, and Willow Springs</t>
  </si>
  <si>
    <t>Total Subgrant Costs for Air Program Projects</t>
  </si>
  <si>
    <t>Participant Support Costs for Air Program Projects</t>
  </si>
  <si>
    <t>Total Particpant Support Costs for Air Program Projects</t>
  </si>
  <si>
    <t>Total Other (PSD) for Air Program Projects</t>
  </si>
  <si>
    <t>Missouri DNR Division of Energy - Admininstrative Costs</t>
  </si>
  <si>
    <t>Subgrant costs for Div. of Energy Projects</t>
  </si>
  <si>
    <t>Missouri DNR Division of Energy Projects - State Parks</t>
  </si>
  <si>
    <t>Location</t>
  </si>
  <si>
    <t>N/A</t>
  </si>
  <si>
    <t>Missouri DNR Division of Energy Projects - Low Income Weatherization</t>
  </si>
  <si>
    <t>Missouri DNR Division of Energy Projects - State EV Pilot</t>
  </si>
  <si>
    <t>Missouri DNR Division of Energy Projects - State Building Efficiency/Solar Upgrades</t>
  </si>
  <si>
    <t>Missouri DNR Division of Energy Projects - Sustainable Agriculture</t>
  </si>
  <si>
    <t>Bennett Spring State Park</t>
  </si>
  <si>
    <t>Bryant Creek State Park</t>
  </si>
  <si>
    <t>Current River State Park</t>
  </si>
  <si>
    <t>Echo Bluff State Park</t>
  </si>
  <si>
    <t>Ha Ha Tonka State Park</t>
  </si>
  <si>
    <t>Harry S Truman State Park</t>
  </si>
  <si>
    <t>Lake of the Ozarks State Park</t>
  </si>
  <si>
    <t>Montauk State Park</t>
  </si>
  <si>
    <t>Ozark Region Residence</t>
  </si>
  <si>
    <t>Ozarks Region Office</t>
  </si>
  <si>
    <t>Pomme de Terre State Park</t>
  </si>
  <si>
    <t>Prairie State Park</t>
  </si>
  <si>
    <t>Roaring River State Park</t>
  </si>
  <si>
    <t>Stockton State Park</t>
  </si>
  <si>
    <t>Table Rock State Park</t>
  </si>
  <si>
    <t>Harry S Truman Birthplace SHS</t>
  </si>
  <si>
    <t>Big Lake State Park</t>
  </si>
  <si>
    <t>Weston Bend State Park</t>
  </si>
  <si>
    <t>Wallace State Park</t>
  </si>
  <si>
    <t>North Region Office/Residence</t>
  </si>
  <si>
    <t>Mark Twain State Park Camp Si Colburn Group Camp</t>
  </si>
  <si>
    <t>Crowder State Park Grand River Group Camp</t>
  </si>
  <si>
    <t xml:space="preserve">Rock Bridge Memorial State Park Office </t>
  </si>
  <si>
    <t>Thousand Hills State Park</t>
  </si>
  <si>
    <t>Knob Noster SP Residence</t>
  </si>
  <si>
    <t>Big Lake State Park Office</t>
  </si>
  <si>
    <t>Trail of Tears SP VC</t>
  </si>
  <si>
    <t>Sam A Baker SP VC</t>
  </si>
  <si>
    <t>Pilot Knob SHS VC</t>
  </si>
  <si>
    <t>Mastodon SP VC</t>
  </si>
  <si>
    <t>Meramec SP VC</t>
  </si>
  <si>
    <t>Onondaga SP VC</t>
  </si>
  <si>
    <t>Rt 66 SP VC</t>
  </si>
  <si>
    <t>Scott Joplin State Historic Site and the St. Louis Area Outreach Office</t>
  </si>
  <si>
    <t>Cuivre River State Park Camp Sherwood Group Camp</t>
  </si>
  <si>
    <t>Cuivre River State Park Camp Derricotte Group Camp</t>
  </si>
  <si>
    <t>Cuivre River State Park Camp Cuivre Group Camp</t>
  </si>
  <si>
    <t>Babler State Park Group Camp</t>
  </si>
  <si>
    <t>Install grid tied solar panels to new electrical system in residences and/or shops that meet guidelines</t>
  </si>
  <si>
    <t>Scott Joplin State Historic Site Urban Tree Farm with Forest ReLeaf</t>
  </si>
  <si>
    <t>North Region</t>
  </si>
  <si>
    <t>Replace 7 gasoline or diesel commercial mowers with commercial grade EV mowers comparable to Gravely ProTurn EV 60.</t>
  </si>
  <si>
    <t>Restroom Replace Furnace</t>
  </si>
  <si>
    <t>Store Replace HVAC Systems</t>
  </si>
  <si>
    <t>Replace 18 2.5 ton units and Eight through-the-wall units</t>
  </si>
  <si>
    <t>Replace florescent bulbs with LED throughout the facility staff labor</t>
  </si>
  <si>
    <t>Replace windows in residence</t>
  </si>
  <si>
    <t>Create a net zero State Park through establishing a renewable energy sytem utilizing solar and any other viable options as well as energy efficiency upgrades to all structures, including: HVAC, roof, insulation, windows, doors, siding, hot water heater, and lighting.</t>
  </si>
  <si>
    <t>Supt. Residence Replace HVAC System</t>
  </si>
  <si>
    <t>Add solar panels to shop and office complex</t>
  </si>
  <si>
    <t>Replace HVAC Systems - Service Area Storage Bldg, Visitor Ctr, &amp; Res</t>
  </si>
  <si>
    <t>Service Building Replace HVAC Systems</t>
  </si>
  <si>
    <t>Rising Sun Group Camp Lodge / Cabins Install HVAC System, Insulate Building, and Upgrade Electrical</t>
  </si>
  <si>
    <t>Clover Point Group Camp Lodge / Cabins Install HVAC System, Insulate Building, and Upgrade Electrical</t>
  </si>
  <si>
    <t>Red Bud Group Camp Dining Lodge Install HVAC System, Insulate Building, and Upgrade Electrical</t>
  </si>
  <si>
    <t>Replace windows - Airport residence, Hawthorn Residence, Southside residence, Grand Glaize Marina, PB1 marina, and Black Road residence.</t>
  </si>
  <si>
    <t>Replace doors at the Ozark Caverns vistor center, Hawthorn residence, airport residence, and black road residence</t>
  </si>
  <si>
    <t>Weatherization surveys and mitigation for 6 residences, the park office, two shop buildings, and the visitor center.</t>
  </si>
  <si>
    <t>Replace Residence HVAC System</t>
  </si>
  <si>
    <t>Replace HVAC system, replace windows, add insulation</t>
  </si>
  <si>
    <t>Replace HVAC in residence and Lake House</t>
  </si>
  <si>
    <t>Add solar panels to shop and/or residence</t>
  </si>
  <si>
    <t>Visitor Center Replace HVAC Systems, weatherization, change lights to LED</t>
  </si>
  <si>
    <t>Camp Smokey Dining Lodge / Cabins Install HVAC System, Insulate Building, and Upgrade Electrical</t>
  </si>
  <si>
    <t>Emery Melton Inn &amp; Conference Center Replace HVAC Systems</t>
  </si>
  <si>
    <t>Replace HVAC Systems - 2ea 4 Plexes, &amp; 15 ea Cabins</t>
  </si>
  <si>
    <t>Office Replace HVAC Systems</t>
  </si>
  <si>
    <t xml:space="preserve">Energy efficiency improvements at park office/shop/residence and three lodging units. </t>
  </si>
  <si>
    <t>Replace windows and doors in park office</t>
  </si>
  <si>
    <t>Add solar panels to the roof of the maintenance facility</t>
  </si>
  <si>
    <t>Reforestation Project to replace 3000 trees lost to flooding and invasive species since 2011.</t>
  </si>
  <si>
    <t>Create a net zero State Park through establishing a renewable energy sytem utilizing solar and wind as well as energy efficiency upgrades to all structures, including: HVAC, roof, insulation, windows, doors, siding, hot water heater, and lighting.</t>
  </si>
  <si>
    <t xml:space="preserve">Energy Efficiency Upgrade for Park Residence: roof, insulation, windows, doors, siding, HVAC, and lighting. </t>
  </si>
  <si>
    <t xml:space="preserve">Energy Efficiency Upgrade for Park Residence: roof, insulation, windows, doors, siding, hot water heater, and lighting. </t>
  </si>
  <si>
    <t xml:space="preserve">Energy efficiency upgrade to dining hall, shower house, infirmary and four cabins to include: HVAC, roof, insulation, windows, doors, siding, hot water heater, and lighting.  </t>
  </si>
  <si>
    <t>Add solar power to generate renewable electricty for structures.</t>
  </si>
  <si>
    <t>Energy efficiency upgrade to dining hall, rec hall, infirmary and six cabins to include: HVAC, roof, insulation, windows, doors, siding, hot water heater, and lighting.</t>
  </si>
  <si>
    <t>Energy Efficiency Upgrade for Park Residence: roof, insulation, windows, doors,  HVAC, and lighting.   Addition of Solar panels if possible</t>
  </si>
  <si>
    <t>Energy efficiency upgrade to fourteen cabins, enclosed shelter, restaurant and marina to include: HVAC, roof, insulation, windows, doors, siding, hot water heater, and lighting.  Solar panels if possible for some structures.</t>
  </si>
  <si>
    <t xml:space="preserve">Energy Efficiency Upgrade for Park Residence: roof, insulation, windows, doors, HVAC, and lighting.   </t>
  </si>
  <si>
    <t xml:space="preserve">Energy Efficiency Upgrade for Park Residence: roof, insulation, windows, siding and lighting.   </t>
  </si>
  <si>
    <t>Upgrade as needed: the HVAC system, siding, roof, windows, and insulation</t>
  </si>
  <si>
    <t>Upgrade as needed:  the HVAC system, siding, roof, windows, and insulation</t>
  </si>
  <si>
    <t>Upgrade the HVAC system, siding, roof, windows, and insulation</t>
  </si>
  <si>
    <t>Basic scope is to use funds to perform energy efficiency upgrades as necessary across 6 small park offices in the region to potentially include roofs, siding, windows, doors, insulation, HVAC and water heaters based on the individual needs.</t>
  </si>
  <si>
    <t>Repair, replace and or renovate window and doors in both the Rosebud café, main building and the outreach office (historic buildings)</t>
  </si>
  <si>
    <t>Replace roofs of entire group camp with 50 yr. life composite shingles</t>
  </si>
  <si>
    <t>Replace roofs of entire group camp with 30 yr. life architectual asphalt shingles, windows, doors, siding and paint</t>
  </si>
  <si>
    <t xml:space="preserve">Typically 2 Commerical water heaters per showerhouse </t>
  </si>
  <si>
    <t>Install panels to the roof of both centers and tie into electrical system</t>
  </si>
  <si>
    <t>Install grid tied solar to new LED electrical system in Onondaga Cave (5800 linear feet)</t>
  </si>
  <si>
    <t>Hawn shop, Onondaga shop, Robertville residence, JSI residence, Babler residence, Hunter Dawson residence, Elephant Rocks residence</t>
  </si>
  <si>
    <t>Distribute 3000 free and reduced-price trees</t>
  </si>
  <si>
    <t>Replace HVAC Sys - Caverns Vis Ctr, Hawthorne res., park office, campground store, Grand Glaize Marina, &amp; Southside Res</t>
  </si>
  <si>
    <t xml:space="preserve">Replace 40 water heaters </t>
  </si>
  <si>
    <t>Park Residences Across EPD Region (30)</t>
  </si>
  <si>
    <t xml:space="preserve">Basic scope is to use funds to perform energy efficiency upgrades as necessary throughout housing across the EPD region to potentially include roofs, siding, windows, doors, insulation, HVAC and water heaters based on the individual needs of the residence </t>
  </si>
  <si>
    <t>Small park offices across EPD region (6)Wappapello, Castlewood, Robertsville, St. Francois, Washington, Dillard Mill</t>
  </si>
  <si>
    <t>Statewide</t>
  </si>
  <si>
    <t>Distribute Funds via subgrants to existing partners with oversubscribed programs</t>
  </si>
  <si>
    <t>DNR Regional Offices - Statewide</t>
  </si>
  <si>
    <t>5 EV purchases</t>
  </si>
  <si>
    <t>5 Level 2 Chargers</t>
  </si>
  <si>
    <t>State Parks - Statewide</t>
  </si>
  <si>
    <t>39 EV purchases</t>
  </si>
  <si>
    <t>Office of Admininstration  - Statewide</t>
  </si>
  <si>
    <t>10 EV purchases</t>
  </si>
  <si>
    <t>15 Level 2 Chargers</t>
  </si>
  <si>
    <t>New Program to fund sustainable agriculture projects with applications and selection process for beneficiaries</t>
  </si>
  <si>
    <t>Landers State Office Building</t>
  </si>
  <si>
    <t>Poplar Bluff Regional</t>
  </si>
  <si>
    <t>Dome - St. Louis Psyc</t>
  </si>
  <si>
    <t>St Louis State Office Building</t>
  </si>
  <si>
    <t>Gateway Hubert Wheeler</t>
  </si>
  <si>
    <t>South St. Louis County Service Center</t>
  </si>
  <si>
    <t>Mill Creek State Office Building</t>
  </si>
  <si>
    <t>Michael N. Keathly State Office Building</t>
  </si>
  <si>
    <t>Jennings State Office Building</t>
  </si>
  <si>
    <t>Jefferson City Shoe Factory</t>
  </si>
  <si>
    <t>Bellefontaine</t>
  </si>
  <si>
    <t>Delmar Cobble State School</t>
  </si>
  <si>
    <t>DOLIR</t>
  </si>
  <si>
    <t>Farmingtron</t>
  </si>
  <si>
    <t>Fulton</t>
  </si>
  <si>
    <t>GWC</t>
  </si>
  <si>
    <t>Higginsville</t>
  </si>
  <si>
    <t>House Garage</t>
  </si>
  <si>
    <t>JSOB</t>
  </si>
  <si>
    <t>MoDOT Garage</t>
  </si>
  <si>
    <t>Northwest Psychiatric</t>
  </si>
  <si>
    <t>Scruggs</t>
  </si>
  <si>
    <t>St. Louis Psych rehab</t>
  </si>
  <si>
    <t>New JC Warehouse 1</t>
  </si>
  <si>
    <t>New JC Warehouse 2</t>
  </si>
  <si>
    <t>Porite Bld</t>
  </si>
  <si>
    <t>Fletcher Daniels</t>
  </si>
  <si>
    <t>MSB</t>
  </si>
  <si>
    <t>Employment Security</t>
  </si>
  <si>
    <t>Capitol</t>
  </si>
  <si>
    <t>Proposed Project to Replace HVAC in the seven (7) group homes</t>
  </si>
  <si>
    <t>Proposed Project to Replace HVAC and Windows in the Dome Building. The Dome Building was built in 1864.  The windows are wood single-pane.</t>
  </si>
  <si>
    <t>Proposed Project to Replace 26 Rooftop HVAC units, Controls, and Windows. Sixteen were installed from 1986-2009, and vairous new replacements.  Total cooling is 261.5 tons with gas heat.</t>
  </si>
  <si>
    <t>Proposed Project to Replace HVAC and Controls at Gateway Hubert Wheeler.</t>
  </si>
  <si>
    <t>Proposed Project to Replace HVAC, Controls, and Windowsat South St. Louis County Service Center.  The current HVAC  was installed in 2001 and contains 180 tons of cooling and 998 MBTU of electric heat.</t>
  </si>
  <si>
    <t>Proposed Project to Repalce HVAC, Controls, and Windows at Mill Creek State Office Building.  Current HVAC was installed in 1995 and totals 210 tons of cool and 280 KW of electric heat.</t>
  </si>
  <si>
    <t>Proposed Project to Replace HVAC, Controls, and Windows at Michael N. Keathly State Office Building.  Current HVAC was installed in 2002 and totals 191 tons of cooling and electric heat.</t>
  </si>
  <si>
    <t>Proposed Project to Replace HVAC and Windows at Jennings State Office Building.  Current HVAC was installed in 2002 totals 135 tons of cooling and 223 KW of heat.</t>
  </si>
  <si>
    <t>HVAC and Windows for the rehabilitation of the Jefferson City Shoe Factory.</t>
  </si>
  <si>
    <t>Proposed project to install three (3) separate solar arrays to supply solar power to Bellefontaine Habilitation Center, Missouri Veterans Home, and future Division of Youth Services Youth Center.</t>
  </si>
  <si>
    <t>Proposed project to install one solar array to supply electricity to Delmar Cobble State School.</t>
  </si>
  <si>
    <t>Proposed project to install solar panels on the DOLIR State Office Building in Jefferson City, Missouri.</t>
  </si>
  <si>
    <t xml:space="preserve">Proposed project to install one solar array to supply solar power to Southeast Missouri Mental Health </t>
  </si>
  <si>
    <t xml:space="preserve">Proposed project to install one solar array to supply electricity to Fulton State Hospital, Fulton Treatment Center and Fulton Reception and Diagnostic Center </t>
  </si>
  <si>
    <t>Proposed project to install solar panels at the George Washington Carver State Office Building</t>
  </si>
  <si>
    <t>Proposed project to install solar array to electricity to Higginsville Habilitation Center.</t>
  </si>
  <si>
    <t>Proposed project to install solar panels at the House of Representatives Garage</t>
  </si>
  <si>
    <t xml:space="preserve">Proposed project to install solar panels at the Jefferson State Office Building </t>
  </si>
  <si>
    <t>Proposed project to install solar panels on the MoDOT Annex, to supply the MoDOT Annex, MoDOT Training Center, and James Kirkpatrick State Archives Buildings</t>
  </si>
  <si>
    <t>Proposed project to install solar array to electricity to Northwest Psychiatric Rehabilitation Center.</t>
  </si>
  <si>
    <t>Proposed project to install solar panels on the existing facility at the Scruggs Station Warehouse</t>
  </si>
  <si>
    <t>Proposed project to install solar panels on a new facility at the Scruggs Station Warehouse</t>
  </si>
  <si>
    <t>Proposed project to add solar thermal heating</t>
  </si>
  <si>
    <t>Add Solar Panels to building</t>
  </si>
  <si>
    <t>Proposed project to install solar panels on a new facility at the Porite Building, 1535 Fairgrounds Rd.</t>
  </si>
  <si>
    <t xml:space="preserve">Proposed project to replace energy inefficient window in the Fletcher Daniels State </t>
  </si>
  <si>
    <t>Proposed project to replace exterior windows and doors at the George Washington Carver State Office Building</t>
  </si>
  <si>
    <t>Proposed project to replace exterior windows and doors at the Jefferson State Office Building</t>
  </si>
  <si>
    <t>Proposed Project to replace Windows throughout the entire Missouri School for the Blind Campus.  Windows are currently wood single pane.</t>
  </si>
  <si>
    <t>Add windows to Employment Security Office</t>
  </si>
  <si>
    <t>Proposed Project to Windows and doors throughout the entire Missouri State Capitol</t>
  </si>
  <si>
    <t>Onondaga Cave Solar System</t>
  </si>
  <si>
    <t>3 visitor centers Johnson's Shut Ins, Babler State Park, Hunter Dawson</t>
  </si>
  <si>
    <t>Replace Commerical Water Heaters in 12 shower houses in the EPD Region</t>
  </si>
  <si>
    <t>Proposed project to replace HVAC and Controls at Landers State Office Building. The cooling system consists of three (3) water-cooled, rotary screw chillers and one (1) 2-cell cooling tower.</t>
  </si>
  <si>
    <t>Subgrant costs for Air Program Projects</t>
  </si>
  <si>
    <t>Subgrant costs for Division of Energy Projects</t>
  </si>
  <si>
    <t>Other Expense - Program Specific Distribution (PSD) Subgrant and Participant Support Costs</t>
  </si>
  <si>
    <t>MPUA Admin and Project Costs</t>
  </si>
  <si>
    <t>Energy Storage (large scale batteries) at two facilities and rural community solar at approximately 9 cities (see details in Air Projects PSD tab)</t>
  </si>
  <si>
    <t>MPUA Detailed Admininstrative Budget</t>
  </si>
  <si>
    <t>BUDGET BY YEAR</t>
  </si>
  <si>
    <t>COST-TYPE</t>
  </si>
  <si>
    <t>CATEGORY</t>
  </si>
  <si>
    <t>YEAR 1</t>
  </si>
  <si>
    <t>YEAR 2</t>
  </si>
  <si>
    <t>YEAR 3</t>
  </si>
  <si>
    <t>YEAR 4</t>
  </si>
  <si>
    <t>YEAR 5</t>
  </si>
  <si>
    <t>TOTAL</t>
  </si>
  <si>
    <t>Direct Costs</t>
  </si>
  <si>
    <t>Personnel</t>
  </si>
  <si>
    <t> </t>
  </si>
  <si>
    <t>Project Manager FTE w/ 3% raises</t>
  </si>
  <si>
    <t>Grant Manager FTE w/ 3% raises</t>
  </si>
  <si>
    <t>Project Coordinator w/ 3 % raises</t>
  </si>
  <si>
    <t>Technician FTE W/ Raises</t>
  </si>
  <si>
    <t>Project Engineer .75 FTE w/raises</t>
  </si>
  <si>
    <t xml:space="preserve">TOTAL PERSONNEL </t>
  </si>
  <si>
    <t xml:space="preserve"> Fringe Benefits </t>
  </si>
  <si>
    <t>FTE 1</t>
  </si>
  <si>
    <t>FTE 2</t>
  </si>
  <si>
    <t>FTE 3</t>
  </si>
  <si>
    <t>FTE 4</t>
  </si>
  <si>
    <t>FTE .75</t>
  </si>
  <si>
    <t xml:space="preserve"> TOTAL FRINGE BENEFITS  </t>
  </si>
  <si>
    <t xml:space="preserve"> Travel </t>
  </si>
  <si>
    <t>Milage for local travel at $0.67/MI 36,000 miles</t>
  </si>
  <si>
    <t xml:space="preserve">Hotels $150/night </t>
  </si>
  <si>
    <t xml:space="preserve">Per Diem at $96/day </t>
  </si>
  <si>
    <t xml:space="preserve"> TOTAL TRAVEL </t>
  </si>
  <si>
    <t xml:space="preserve"> Equipment </t>
  </si>
  <si>
    <t/>
  </si>
  <si>
    <t>PM Software</t>
  </si>
  <si>
    <t xml:space="preserve"> </t>
  </si>
  <si>
    <t xml:space="preserve"> TOTAL EQUIPMENT </t>
  </si>
  <si>
    <t xml:space="preserve"> Supplies </t>
  </si>
  <si>
    <t>3 laptop computers</t>
  </si>
  <si>
    <t>3 cellphones</t>
  </si>
  <si>
    <t xml:space="preserve"> TOTAL SUPPLIES </t>
  </si>
  <si>
    <t xml:space="preserve"> Contractual </t>
  </si>
  <si>
    <t>Outreach and Communications Contractor</t>
  </si>
  <si>
    <t>Professional Services Needed</t>
  </si>
  <si>
    <t xml:space="preserve"> TOTAL CONTRACTUAL </t>
  </si>
  <si>
    <t>OTHER</t>
  </si>
  <si>
    <t>TOTAL OTHER</t>
  </si>
  <si>
    <t>TOTAL DIRECT</t>
  </si>
  <si>
    <t>Indirect Costs</t>
  </si>
  <si>
    <t>Indirect Costs on 4.75 employees</t>
  </si>
  <si>
    <t xml:space="preserve"> TOTAL INDIRECT </t>
  </si>
  <si>
    <t xml:space="preserve"> TOTAL FUNDING </t>
  </si>
  <si>
    <t>Rural Solar Farms (33 MW in total)</t>
  </si>
  <si>
    <t>2-1 MW, 4 hour batteries to replace diesel generators</t>
  </si>
  <si>
    <t>a. Personnel</t>
  </si>
  <si>
    <t>b. Fringe Benefits</t>
  </si>
  <si>
    <t>c. Travel</t>
  </si>
  <si>
    <t>d. Equipment</t>
  </si>
  <si>
    <t>e. Supplies</t>
  </si>
  <si>
    <t>f. Contractual</t>
  </si>
  <si>
    <t>g. Construction</t>
  </si>
  <si>
    <t>h. Other</t>
  </si>
  <si>
    <t>j. Indirect Charges</t>
  </si>
  <si>
    <t>Division of Energy - Administrative Cost Detailed Budget</t>
  </si>
  <si>
    <t>6. Object Class Categories</t>
  </si>
  <si>
    <t>Year 1</t>
  </si>
  <si>
    <t>Year 2</t>
  </si>
  <si>
    <t>Year 3</t>
  </si>
  <si>
    <t>Year 4</t>
  </si>
  <si>
    <t>Year 5</t>
  </si>
  <si>
    <t>MO State CPRG Grant (DE Projects)</t>
  </si>
  <si>
    <t>Other Expense - Program Specific Distribution (PSD) Subgrant/Participant Support Costs</t>
  </si>
  <si>
    <t>Total Other (PSD) for Div. of Energy Projects*</t>
  </si>
  <si>
    <t>Total Subgrant/Participant Support Costs for Div. of Energy - Sustainable Agriculture*</t>
  </si>
  <si>
    <t>Total Subgrant/Participant Support Costs for Div. of Energy - State Building Efficiency/Building Upgrades*</t>
  </si>
  <si>
    <t>Total Subgrant/Participant Support Costs for Div. of Energy - State EV Pilot*</t>
  </si>
  <si>
    <t>Total Subgrant/Participant Support Costs for Div. of Energy - Low Income Weatherization Projects*</t>
  </si>
  <si>
    <t>Total Subgrant/Participant Support Costs for Div. of Energy - State Park Projects*</t>
  </si>
  <si>
    <t>* Note: Totals may not add exactly due to rounding</t>
  </si>
  <si>
    <t>i. Total Direct Charges (sum of 6a-6h)*</t>
  </si>
  <si>
    <t>Totals*</t>
  </si>
  <si>
    <t>GRAND 
TOTAL*</t>
  </si>
  <si>
    <t>k. TOTALS (sum of 6i and 6j)*</t>
  </si>
  <si>
    <t>Total Other - Program Specific Distribution (PSD) Subgrant and Participant Support Costs</t>
  </si>
  <si>
    <t>Measure groups include state park projects, state EV pilot project, low-income weatherization, state building upgrades, and sustainable agriculture program. (see details in Energy Projects PSD tab)</t>
  </si>
  <si>
    <t>Measures include numerous specific projects across the state including but not limited to solar, land use, electric conversion, energy efficiency, and waste management. (see details in Air Projects PSD tab)</t>
  </si>
  <si>
    <t>Julia's Farm</t>
  </si>
  <si>
    <t>Division of Energy Admin and Project Costs 
(5 groups of measures)</t>
  </si>
  <si>
    <t>Missouri Public Utility Alliance - Administrative Costs</t>
  </si>
  <si>
    <t>Includes personal service, fringe, indirect, travel, supplies, contractual for MPUA staff to oversee and implement the rural community solar projects. See MPUA Admin details below.</t>
  </si>
  <si>
    <t>Total MPUA Project Costs</t>
  </si>
  <si>
    <t>Includes personal service, fringe, indirect, travel, supplies, contractual for Div. of Energy staff to  oversee and implement the the projects they are overseeing. See Div of Energy Admin details below.</t>
  </si>
  <si>
    <t>39 Level 2 Chargers</t>
  </si>
  <si>
    <t>4 public charging stations for city fleet and public</t>
  </si>
  <si>
    <t>Replace HVAC Systems in Maintenance shop and lodging units</t>
  </si>
  <si>
    <t>Total Direct less Other category</t>
  </si>
  <si>
    <t>GRAND TOTAL (Div. of Energy Projects, included in Air Program's Other Category)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</si>
</sst>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6" formatCode="&quot;$&quot;#,##0_);[Red]\(&quot;$&quot;#,##0\)"/>
    <numFmt numFmtId="42" formatCode="_(&quot;$&quot;* #,##0_);_(&quot;$&quot;* \(#,##0\);_(&quot;$&quot;* &quot;-&quot;_);_(@_)"/>
    <numFmt numFmtId="44" formatCode="_(&quot;$&quot;* #,##0.00_);_(&quot;$&quot;* \(#,##0.00\);_(&quot;$&quot;* &quot;-&quot;??_);_(@_)"/>
    <numFmt numFmtId="164" formatCode="&quot;$&quot;#,##0.00"/>
    <numFmt numFmtId="165" formatCode="&quot;$&quot;#,##0"/>
    <numFmt numFmtId="166" formatCode="_(&quot;$&quot;* #,##0_);_(&quot;$&quot;* \(#,##0\);_(&quot;$&quot;* &quot;-&quot;??_);_(@_)"/>
  </numFmts>
  <fonts count="40" x14ac:knownFonts="1">
    <font>
      <sz val="10"/>
      <name val="Arial"/>
    </font>
    <font>
      <sz val="10"/>
      <name val="Arial"/>
    </font>
    <font>
      <b/>
      <sz val="11"/>
      <name val="Times New Roman"/>
      <family val="1"/>
    </font>
    <font>
      <sz val="11"/>
      <name val="Times New Roman"/>
      <family val="1"/>
    </font>
    <font>
      <sz val="11"/>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Times New Roman"/>
      <family val="1"/>
    </font>
    <font>
      <sz val="14"/>
      <name val="Times New Roman"/>
      <family val="1"/>
    </font>
    <font>
      <b/>
      <sz val="10"/>
      <name val="Arial"/>
      <family val="2"/>
    </font>
    <font>
      <sz val="10"/>
      <color theme="1"/>
      <name val="Calibri"/>
      <family val="2"/>
      <scheme val="minor"/>
    </font>
    <font>
      <sz val="11"/>
      <color theme="1"/>
      <name val="Calibri"/>
      <family val="2"/>
    </font>
    <font>
      <sz val="10"/>
      <name val="Arial"/>
    </font>
    <font>
      <b/>
      <sz val="16"/>
      <name val="Times New Roman"/>
      <family val="1"/>
    </font>
    <font>
      <b/>
      <sz val="14"/>
      <color theme="0"/>
      <name val="Calibri"/>
      <family val="2"/>
      <scheme val="minor"/>
    </font>
    <font>
      <b/>
      <sz val="11"/>
      <color theme="0"/>
      <name val="Calibri"/>
      <family val="2"/>
      <scheme val="minor"/>
    </font>
    <font>
      <b/>
      <sz val="11"/>
      <color rgb="FF000000"/>
      <name val="Calibri"/>
      <family val="2"/>
      <scheme val="minor"/>
    </font>
    <font>
      <b/>
      <sz val="11"/>
      <color theme="1"/>
      <name val="Calibri"/>
      <family val="2"/>
      <scheme val="minor"/>
    </font>
    <font>
      <sz val="11"/>
      <color rgb="FF000000"/>
      <name val="Calibri"/>
      <family val="2"/>
      <scheme val="minor"/>
    </font>
    <font>
      <sz val="11"/>
      <name val="Calibri"/>
      <family val="2"/>
      <scheme val="minor"/>
    </font>
    <font>
      <b/>
      <sz val="11"/>
      <name val="Calibri"/>
      <family val="2"/>
      <scheme val="minor"/>
    </font>
    <font>
      <sz val="10"/>
      <name val="Calibri"/>
      <family val="2"/>
      <scheme val="minor"/>
    </font>
    <font>
      <b/>
      <sz val="11"/>
      <color theme="1"/>
      <name val="Calibri"/>
      <family val="2"/>
    </font>
    <font>
      <sz val="11"/>
      <name val="Calibri"/>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E6E6E6"/>
        <bgColor rgb="FF000000"/>
      </patternFill>
    </fill>
    <fill>
      <patternFill patternType="solid">
        <fgColor rgb="FFFFFFCC"/>
        <bgColor rgb="FFFFFFCC"/>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indexed="64"/>
      </top>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44" fontId="1"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8" fillId="0" borderId="0"/>
    <xf numFmtId="0" fontId="5" fillId="23" borderId="7" applyNumberFormat="0" applyFon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cellStyleXfs>
  <cellXfs count="166">
    <xf numFmtId="0" fontId="0" fillId="0" borderId="0" xfId="0"/>
    <xf numFmtId="0" fontId="4" fillId="0" borderId="0" xfId="0" applyFont="1"/>
    <xf numFmtId="0" fontId="3" fillId="0" borderId="0" xfId="0" applyFont="1" applyBorder="1"/>
    <xf numFmtId="0" fontId="3" fillId="0" borderId="0" xfId="0" applyFont="1" applyFill="1" applyBorder="1"/>
    <xf numFmtId="0" fontId="2" fillId="0" borderId="0" xfId="0" applyFont="1" applyBorder="1"/>
    <xf numFmtId="0" fontId="3" fillId="0" borderId="0" xfId="0" applyFont="1"/>
    <xf numFmtId="0" fontId="3" fillId="0" borderId="0" xfId="0" applyFont="1" applyAlignment="1">
      <alignment horizontal="center"/>
    </xf>
    <xf numFmtId="5" fontId="3" fillId="0" borderId="0" xfId="0" applyNumberFormat="1" applyFont="1" applyAlignment="1">
      <alignment horizontal="right"/>
    </xf>
    <xf numFmtId="0" fontId="3" fillId="0" borderId="0" xfId="0" applyFont="1" applyAlignment="1">
      <alignment horizontal="right"/>
    </xf>
    <xf numFmtId="0" fontId="3" fillId="0" borderId="0" xfId="0" applyFont="1" applyAlignment="1">
      <alignment horizontal="left"/>
    </xf>
    <xf numFmtId="0" fontId="3" fillId="0" borderId="10" xfId="0" applyFont="1" applyBorder="1" applyAlignment="1">
      <alignment horizontal="center" vertical="center"/>
    </xf>
    <xf numFmtId="0" fontId="3" fillId="0" borderId="10" xfId="0" applyFont="1" applyBorder="1" applyAlignment="1">
      <alignment vertical="center"/>
    </xf>
    <xf numFmtId="0" fontId="3" fillId="0" borderId="10" xfId="0" applyFont="1" applyBorder="1" applyAlignment="1">
      <alignment vertical="center" wrapText="1"/>
    </xf>
    <xf numFmtId="0" fontId="23" fillId="0" borderId="10" xfId="0" applyFont="1" applyBorder="1" applyAlignment="1">
      <alignment vertical="center"/>
    </xf>
    <xf numFmtId="0" fontId="24" fillId="0" borderId="10" xfId="0" applyFont="1" applyBorder="1" applyAlignment="1">
      <alignment vertical="center"/>
    </xf>
    <xf numFmtId="39" fontId="4" fillId="0" borderId="0" xfId="0" applyNumberFormat="1" applyFont="1"/>
    <xf numFmtId="39" fontId="3" fillId="0" borderId="0" xfId="0" applyNumberFormat="1" applyFont="1" applyBorder="1"/>
    <xf numFmtId="39" fontId="2" fillId="0" borderId="0" xfId="0" applyNumberFormat="1" applyFont="1" applyBorder="1"/>
    <xf numFmtId="39" fontId="3" fillId="0" borderId="0" xfId="0" applyNumberFormat="1" applyFont="1" applyFill="1" applyBorder="1"/>
    <xf numFmtId="0" fontId="3" fillId="0" borderId="10" xfId="0" applyFont="1" applyFill="1" applyBorder="1" applyAlignment="1">
      <alignment horizontal="left" vertical="center"/>
    </xf>
    <xf numFmtId="0" fontId="3" fillId="0" borderId="10" xfId="0" applyFont="1" applyFill="1" applyBorder="1" applyAlignment="1">
      <alignment vertical="center"/>
    </xf>
    <xf numFmtId="0" fontId="3" fillId="0" borderId="10" xfId="0" applyFont="1" applyFill="1" applyBorder="1" applyAlignment="1">
      <alignment horizontal="right" vertical="center"/>
    </xf>
    <xf numFmtId="5" fontId="3" fillId="0" borderId="10" xfId="0" applyNumberFormat="1" applyFont="1" applyFill="1" applyBorder="1" applyAlignment="1">
      <alignment vertical="center" wrapText="1"/>
    </xf>
    <xf numFmtId="0" fontId="3" fillId="0" borderId="10" xfId="0" applyFont="1" applyFill="1" applyBorder="1" applyAlignment="1">
      <alignment vertical="center" wrapText="1"/>
    </xf>
    <xf numFmtId="0" fontId="3" fillId="0" borderId="10" xfId="0" applyFont="1" applyFill="1" applyBorder="1" applyAlignment="1">
      <alignment horizontal="left" vertical="center" wrapText="1"/>
    </xf>
    <xf numFmtId="5" fontId="3" fillId="0" borderId="10" xfId="0" applyNumberFormat="1" applyFont="1" applyFill="1" applyBorder="1" applyAlignment="1">
      <alignment horizontal="right" vertical="center"/>
    </xf>
    <xf numFmtId="5" fontId="3" fillId="0" borderId="10" xfId="0" applyNumberFormat="1" applyFont="1" applyFill="1" applyBorder="1" applyAlignment="1">
      <alignment horizontal="right" vertical="center" wrapText="1"/>
    </xf>
    <xf numFmtId="165" fontId="3" fillId="0" borderId="10" xfId="0" applyNumberFormat="1" applyFont="1" applyFill="1" applyBorder="1" applyAlignment="1">
      <alignment horizontal="right" vertical="center" wrapText="1"/>
    </xf>
    <xf numFmtId="0" fontId="3" fillId="0" borderId="10" xfId="0" applyFont="1" applyBorder="1" applyAlignment="1">
      <alignment horizontal="left" vertical="center" wrapText="1"/>
    </xf>
    <xf numFmtId="0" fontId="3" fillId="0" borderId="1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0" xfId="0" applyFont="1" applyFill="1" applyBorder="1" applyAlignment="1">
      <alignment horizontal="center" vertical="center" wrapText="1"/>
    </xf>
    <xf numFmtId="0" fontId="2" fillId="0" borderId="10" xfId="0" applyFont="1" applyFill="1" applyBorder="1" applyAlignment="1">
      <alignment horizontal="center" vertical="center"/>
    </xf>
    <xf numFmtId="0" fontId="2" fillId="0" borderId="10" xfId="0" applyFont="1" applyBorder="1" applyAlignment="1">
      <alignment vertical="center" wrapText="1"/>
    </xf>
    <xf numFmtId="39" fontId="3" fillId="0" borderId="0" xfId="0" applyNumberFormat="1" applyFont="1" applyBorder="1" applyAlignment="1">
      <alignment wrapText="1"/>
    </xf>
    <xf numFmtId="0" fontId="3" fillId="0" borderId="0" xfId="0" applyFont="1" applyBorder="1" applyAlignment="1">
      <alignment wrapText="1"/>
    </xf>
    <xf numFmtId="0" fontId="2" fillId="0" borderId="10" xfId="0" applyFont="1" applyBorder="1" applyAlignment="1">
      <alignment horizontal="center" vertical="center" wrapText="1"/>
    </xf>
    <xf numFmtId="5" fontId="2" fillId="0" borderId="10" xfId="0" applyNumberFormat="1" applyFont="1" applyFill="1" applyBorder="1" applyAlignment="1">
      <alignment horizontal="center" vertical="center" wrapText="1"/>
    </xf>
    <xf numFmtId="5" fontId="2" fillId="0" borderId="10" xfId="0" applyNumberFormat="1" applyFont="1" applyFill="1" applyBorder="1" applyAlignment="1">
      <alignment vertical="center" wrapText="1"/>
    </xf>
    <xf numFmtId="0" fontId="2" fillId="0" borderId="10" xfId="0" applyFont="1" applyFill="1" applyBorder="1" applyAlignment="1">
      <alignment horizontal="left" vertical="center"/>
    </xf>
    <xf numFmtId="0" fontId="3" fillId="0" borderId="10" xfId="0" applyFont="1" applyFill="1" applyBorder="1" applyAlignment="1">
      <alignment horizontal="center" vertical="center"/>
    </xf>
    <xf numFmtId="165" fontId="2" fillId="0" borderId="10" xfId="0" applyNumberFormat="1" applyFont="1" applyFill="1" applyBorder="1" applyAlignment="1">
      <alignment horizontal="right" vertical="center"/>
    </xf>
    <xf numFmtId="0" fontId="2" fillId="24" borderId="10" xfId="0" applyFont="1" applyFill="1" applyBorder="1" applyAlignment="1">
      <alignment horizontal="right" vertical="center" wrapText="1"/>
    </xf>
    <xf numFmtId="0" fontId="2" fillId="24" borderId="10" xfId="0" applyFont="1" applyFill="1" applyBorder="1" applyAlignment="1">
      <alignment vertical="center" wrapText="1"/>
    </xf>
    <xf numFmtId="0" fontId="2" fillId="24" borderId="10" xfId="0" applyFont="1" applyFill="1" applyBorder="1" applyAlignment="1">
      <alignment horizontal="left" vertical="center" wrapText="1"/>
    </xf>
    <xf numFmtId="5" fontId="2" fillId="24" borderId="10" xfId="0" applyNumberFormat="1" applyFont="1" applyFill="1" applyBorder="1" applyAlignment="1">
      <alignment horizontal="right" vertical="center" wrapText="1"/>
    </xf>
    <xf numFmtId="0" fontId="2" fillId="0" borderId="10" xfId="0" applyFont="1" applyFill="1" applyBorder="1" applyAlignment="1">
      <alignment horizontal="right" vertical="center"/>
    </xf>
    <xf numFmtId="5" fontId="2" fillId="0" borderId="10" xfId="0" applyNumberFormat="1" applyFont="1" applyFill="1" applyBorder="1" applyAlignment="1">
      <alignment horizontal="right" vertical="center"/>
    </xf>
    <xf numFmtId="0" fontId="3" fillId="0" borderId="10" xfId="0" applyFont="1" applyFill="1" applyBorder="1" applyAlignment="1">
      <alignment horizontal="justify" vertical="center" wrapText="1"/>
    </xf>
    <xf numFmtId="0" fontId="2" fillId="0" borderId="10" xfId="0" applyFont="1" applyFill="1" applyBorder="1" applyAlignment="1">
      <alignment horizontal="right" vertical="center" wrapText="1"/>
    </xf>
    <xf numFmtId="0" fontId="2" fillId="0" borderId="10" xfId="0" applyFont="1" applyFill="1" applyBorder="1" applyAlignment="1">
      <alignment vertical="center"/>
    </xf>
    <xf numFmtId="3" fontId="3" fillId="0" borderId="10" xfId="0" applyNumberFormat="1" applyFont="1" applyFill="1" applyBorder="1" applyAlignment="1">
      <alignment vertical="center"/>
    </xf>
    <xf numFmtId="165" fontId="3" fillId="0" borderId="10" xfId="0" applyNumberFormat="1" applyFont="1" applyFill="1" applyBorder="1" applyAlignment="1">
      <alignment horizontal="right" vertical="center"/>
    </xf>
    <xf numFmtId="5" fontId="2" fillId="0" borderId="10" xfId="0" applyNumberFormat="1" applyFont="1" applyFill="1" applyBorder="1" applyAlignment="1">
      <alignment horizontal="right" vertical="center" wrapText="1"/>
    </xf>
    <xf numFmtId="5" fontId="23" fillId="0" borderId="10" xfId="0" applyNumberFormat="1" applyFont="1" applyFill="1" applyBorder="1" applyAlignment="1">
      <alignment horizontal="right" vertical="center" wrapText="1"/>
    </xf>
    <xf numFmtId="0" fontId="2" fillId="0" borderId="10" xfId="0" applyFont="1" applyFill="1" applyBorder="1" applyAlignment="1">
      <alignment vertical="center" wrapText="1"/>
    </xf>
    <xf numFmtId="0" fontId="2" fillId="0" borderId="11" xfId="0" applyFont="1" applyFill="1" applyBorder="1" applyAlignment="1">
      <alignment horizontal="left" vertical="center"/>
    </xf>
    <xf numFmtId="0" fontId="3" fillId="0" borderId="10" xfId="0" applyFont="1" applyBorder="1" applyAlignment="1">
      <alignment horizontal="center" vertical="center" wrapText="1"/>
    </xf>
    <xf numFmtId="0" fontId="26" fillId="0" borderId="10" xfId="0" applyFont="1" applyBorder="1"/>
    <xf numFmtId="0" fontId="26" fillId="0" borderId="10" xfId="0" applyFont="1" applyBorder="1" applyAlignment="1">
      <alignment wrapText="1"/>
    </xf>
    <xf numFmtId="0" fontId="26" fillId="0" borderId="10" xfId="0" applyFont="1" applyBorder="1" applyAlignment="1">
      <alignment horizontal="left" vertical="center"/>
    </xf>
    <xf numFmtId="0" fontId="26" fillId="0" borderId="10" xfId="0" applyFont="1" applyBorder="1" applyAlignment="1">
      <alignment horizontal="left" vertical="center" wrapText="1"/>
    </xf>
    <xf numFmtId="166" fontId="26" fillId="0" borderId="10" xfId="28" applyNumberFormat="1" applyFont="1" applyFill="1" applyBorder="1" applyAlignment="1">
      <alignment horizontal="center"/>
    </xf>
    <xf numFmtId="166" fontId="26" fillId="0" borderId="10" xfId="28" applyNumberFormat="1" applyFont="1" applyFill="1" applyBorder="1" applyAlignment="1">
      <alignment horizontal="center" wrapText="1"/>
    </xf>
    <xf numFmtId="166" fontId="26" fillId="0" borderId="10" xfId="28" applyNumberFormat="1" applyFont="1" applyBorder="1" applyAlignment="1">
      <alignment horizontal="center"/>
    </xf>
    <xf numFmtId="166" fontId="0" fillId="0" borderId="10" xfId="28" applyNumberFormat="1" applyFont="1" applyBorder="1"/>
    <xf numFmtId="166" fontId="0" fillId="0" borderId="10" xfId="28" applyNumberFormat="1" applyFont="1" applyBorder="1" applyAlignment="1">
      <alignment vertical="center"/>
    </xf>
    <xf numFmtId="0" fontId="27" fillId="25" borderId="10" xfId="0" applyFont="1" applyFill="1" applyBorder="1" applyAlignment="1">
      <alignment horizontal="left" vertical="center" wrapText="1"/>
    </xf>
    <xf numFmtId="0" fontId="0" fillId="0" borderId="10" xfId="0" applyBorder="1" applyAlignment="1">
      <alignment vertical="center"/>
    </xf>
    <xf numFmtId="0" fontId="27" fillId="0" borderId="10" xfId="0" applyFont="1"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3" fillId="0" borderId="0" xfId="0" applyFont="1" applyAlignment="1">
      <alignment horizontal="center" vertical="center"/>
    </xf>
    <xf numFmtId="0" fontId="3" fillId="0" borderId="0" xfId="0" applyFont="1" applyAlignment="1">
      <alignment vertical="center"/>
    </xf>
    <xf numFmtId="0" fontId="3" fillId="26" borderId="10" xfId="0" applyFont="1" applyFill="1" applyBorder="1" applyAlignment="1">
      <alignment vertical="center" wrapText="1"/>
    </xf>
    <xf numFmtId="5" fontId="3" fillId="26" borderId="10" xfId="0" applyNumberFormat="1" applyFont="1" applyFill="1" applyBorder="1" applyAlignment="1">
      <alignment horizontal="right" vertical="center" wrapText="1"/>
    </xf>
    <xf numFmtId="166" fontId="2" fillId="0" borderId="10" xfId="0" applyNumberFormat="1" applyFont="1" applyFill="1" applyBorder="1" applyAlignment="1">
      <alignment horizontal="right" vertical="center" wrapText="1"/>
    </xf>
    <xf numFmtId="166" fontId="25" fillId="0" borderId="10" xfId="28" applyNumberFormat="1" applyFont="1" applyBorder="1" applyAlignment="1">
      <alignment vertical="center"/>
    </xf>
    <xf numFmtId="0" fontId="26" fillId="0" borderId="10" xfId="0" applyFont="1" applyBorder="1" applyAlignment="1">
      <alignment vertical="top" wrapText="1"/>
    </xf>
    <xf numFmtId="0" fontId="26" fillId="0" borderId="10" xfId="0" applyFont="1" applyFill="1" applyBorder="1" applyAlignment="1">
      <alignment vertical="top" wrapText="1"/>
    </xf>
    <xf numFmtId="0" fontId="26" fillId="0" borderId="11" xfId="0" applyFont="1" applyBorder="1" applyAlignment="1">
      <alignment vertical="top" wrapText="1"/>
    </xf>
    <xf numFmtId="0" fontId="26" fillId="0" borderId="12" xfId="0" applyFont="1" applyBorder="1" applyAlignment="1">
      <alignment vertical="top" wrapText="1"/>
    </xf>
    <xf numFmtId="0" fontId="18" fillId="0" borderId="10" xfId="0" applyFont="1" applyBorder="1" applyAlignment="1">
      <alignment vertical="center" wrapText="1"/>
    </xf>
    <xf numFmtId="0" fontId="26" fillId="0" borderId="11" xfId="0" applyFont="1" applyBorder="1" applyAlignment="1">
      <alignment vertical="center"/>
    </xf>
    <xf numFmtId="0" fontId="26" fillId="0" borderId="10" xfId="0" applyFont="1" applyBorder="1" applyAlignment="1">
      <alignment vertical="center"/>
    </xf>
    <xf numFmtId="0" fontId="26" fillId="0" borderId="10" xfId="0" applyFont="1" applyFill="1" applyBorder="1" applyAlignment="1">
      <alignment vertical="center"/>
    </xf>
    <xf numFmtId="0" fontId="26" fillId="0" borderId="10" xfId="0" applyFont="1" applyFill="1" applyBorder="1" applyAlignment="1">
      <alignment vertical="center" wrapText="1"/>
    </xf>
    <xf numFmtId="0" fontId="26" fillId="0" borderId="12" xfId="0" applyFont="1" applyBorder="1" applyAlignment="1">
      <alignment vertical="center"/>
    </xf>
    <xf numFmtId="166" fontId="26" fillId="0" borderId="11" xfId="28" applyNumberFormat="1" applyFont="1" applyBorder="1" applyAlignment="1">
      <alignment vertical="center" wrapText="1"/>
    </xf>
    <xf numFmtId="166" fontId="26" fillId="0" borderId="10" xfId="28" applyNumberFormat="1" applyFont="1" applyBorder="1" applyAlignment="1">
      <alignment vertical="center" wrapText="1"/>
    </xf>
    <xf numFmtId="166" fontId="26" fillId="0" borderId="10" xfId="28" applyNumberFormat="1" applyFont="1" applyFill="1" applyBorder="1" applyAlignment="1">
      <alignment vertical="center" wrapText="1"/>
    </xf>
    <xf numFmtId="166" fontId="26" fillId="0" borderId="12" xfId="28" applyNumberFormat="1" applyFont="1" applyFill="1" applyBorder="1" applyAlignment="1">
      <alignment vertical="center" wrapText="1"/>
    </xf>
    <xf numFmtId="0" fontId="30" fillId="27" borderId="14" xfId="0" applyFont="1" applyFill="1" applyBorder="1"/>
    <xf numFmtId="0" fontId="31" fillId="27" borderId="15" xfId="0" applyFont="1" applyFill="1" applyBorder="1" applyAlignment="1">
      <alignment wrapText="1"/>
    </xf>
    <xf numFmtId="0" fontId="31" fillId="27" borderId="16" xfId="0" applyFont="1" applyFill="1" applyBorder="1" applyAlignment="1">
      <alignment wrapText="1"/>
    </xf>
    <xf numFmtId="0" fontId="32" fillId="28" borderId="17" xfId="0" applyFont="1" applyFill="1" applyBorder="1" applyAlignment="1">
      <alignment wrapText="1"/>
    </xf>
    <xf numFmtId="0" fontId="32" fillId="28" borderId="18" xfId="0" applyFont="1" applyFill="1" applyBorder="1" applyAlignment="1">
      <alignment wrapText="1"/>
    </xf>
    <xf numFmtId="0" fontId="32" fillId="28" borderId="19" xfId="0" applyFont="1" applyFill="1" applyBorder="1" applyAlignment="1">
      <alignment wrapText="1"/>
    </xf>
    <xf numFmtId="0" fontId="32" fillId="28" borderId="15" xfId="0" applyFont="1" applyFill="1" applyBorder="1" applyAlignment="1">
      <alignment wrapText="1"/>
    </xf>
    <xf numFmtId="0" fontId="32" fillId="28" borderId="11" xfId="0" applyFont="1" applyFill="1" applyBorder="1"/>
    <xf numFmtId="0" fontId="33" fillId="0" borderId="12" xfId="0" applyFont="1" applyBorder="1" applyAlignment="1">
      <alignment vertical="top" wrapText="1"/>
    </xf>
    <xf numFmtId="0" fontId="33" fillId="0" borderId="10" xfId="0" applyFont="1" applyBorder="1" applyAlignment="1">
      <alignment vertical="top"/>
    </xf>
    <xf numFmtId="0" fontId="34" fillId="0" borderId="10" xfId="0" applyFont="1" applyBorder="1" applyAlignment="1">
      <alignment wrapText="1"/>
    </xf>
    <xf numFmtId="0" fontId="34" fillId="0" borderId="0" xfId="0" applyFont="1"/>
    <xf numFmtId="0" fontId="34" fillId="0" borderId="10" xfId="0" applyFont="1" applyBorder="1"/>
    <xf numFmtId="0" fontId="0" fillId="0" borderId="13" xfId="0" applyBorder="1" applyAlignment="1">
      <alignment vertical="top"/>
    </xf>
    <xf numFmtId="0" fontId="0" fillId="0" borderId="11" xfId="0" applyBorder="1" applyAlignment="1">
      <alignment vertical="top"/>
    </xf>
    <xf numFmtId="0" fontId="0" fillId="0" borderId="0" xfId="0" applyAlignment="1">
      <alignment vertical="top"/>
    </xf>
    <xf numFmtId="0" fontId="32" fillId="0" borderId="21" xfId="0" applyFont="1" applyBorder="1" applyAlignment="1">
      <alignment wrapText="1"/>
    </xf>
    <xf numFmtId="0" fontId="18" fillId="0" borderId="0" xfId="0" applyFont="1"/>
    <xf numFmtId="0" fontId="18" fillId="0" borderId="10" xfId="0" applyFont="1" applyBorder="1"/>
    <xf numFmtId="0" fontId="35" fillId="0" borderId="10" xfId="0" applyFont="1" applyBorder="1" applyAlignment="1">
      <alignment horizontal="left" wrapText="1" indent="2"/>
    </xf>
    <xf numFmtId="6" fontId="35" fillId="0" borderId="10" xfId="0" applyNumberFormat="1" applyFont="1" applyBorder="1" applyAlignment="1">
      <alignment wrapText="1"/>
    </xf>
    <xf numFmtId="6" fontId="35" fillId="0" borderId="0" xfId="0" applyNumberFormat="1" applyFont="1"/>
    <xf numFmtId="0" fontId="35" fillId="0" borderId="0" xfId="0" applyFont="1"/>
    <xf numFmtId="0" fontId="35" fillId="29" borderId="10" xfId="0" applyFont="1" applyFill="1" applyBorder="1" applyAlignment="1">
      <alignment wrapText="1"/>
    </xf>
    <xf numFmtId="6" fontId="35" fillId="29" borderId="10" xfId="0" applyNumberFormat="1" applyFont="1" applyFill="1" applyBorder="1" applyAlignment="1">
      <alignment wrapText="1"/>
    </xf>
    <xf numFmtId="0" fontId="36" fillId="0" borderId="10" xfId="0" applyFont="1" applyBorder="1" applyAlignment="1">
      <alignment wrapText="1"/>
    </xf>
    <xf numFmtId="0" fontId="35" fillId="0" borderId="10" xfId="0" applyFont="1" applyBorder="1" applyAlignment="1">
      <alignment wrapText="1"/>
    </xf>
    <xf numFmtId="0" fontId="35" fillId="0" borderId="10" xfId="0" applyFont="1" applyBorder="1"/>
    <xf numFmtId="42" fontId="35" fillId="0" borderId="10" xfId="0" applyNumberFormat="1" applyFont="1" applyBorder="1" applyAlignment="1">
      <alignment wrapText="1"/>
    </xf>
    <xf numFmtId="0" fontId="37" fillId="0" borderId="10" xfId="0" applyFont="1" applyBorder="1" applyAlignment="1">
      <alignment horizontal="left" wrapText="1" indent="4"/>
    </xf>
    <xf numFmtId="0" fontId="35" fillId="0" borderId="10" xfId="0" applyFont="1" applyBorder="1" applyAlignment="1">
      <alignment horizontal="left" wrapText="1" indent="4"/>
    </xf>
    <xf numFmtId="6" fontId="35" fillId="29" borderId="20" xfId="0" applyNumberFormat="1" applyFont="1" applyFill="1" applyBorder="1" applyAlignment="1">
      <alignment wrapText="1"/>
    </xf>
    <xf numFmtId="0" fontId="36" fillId="0" borderId="10" xfId="0" applyFont="1" applyBorder="1"/>
    <xf numFmtId="42" fontId="35" fillId="0" borderId="10" xfId="28" applyNumberFormat="1" applyFont="1" applyBorder="1" applyAlignment="1">
      <alignment wrapText="1"/>
    </xf>
    <xf numFmtId="0" fontId="36" fillId="0" borderId="21" xfId="0" applyFont="1" applyBorder="1" applyAlignment="1">
      <alignment wrapText="1"/>
    </xf>
    <xf numFmtId="6" fontId="36" fillId="0" borderId="22" xfId="0" applyNumberFormat="1" applyFont="1" applyBorder="1" applyAlignment="1">
      <alignment wrapText="1"/>
    </xf>
    <xf numFmtId="0" fontId="27" fillId="0" borderId="10" xfId="0" applyFont="1" applyBorder="1" applyAlignment="1">
      <alignment wrapText="1"/>
    </xf>
    <xf numFmtId="0" fontId="38" fillId="0" borderId="23" xfId="0" quotePrefix="1" applyFont="1" applyBorder="1" applyAlignment="1">
      <alignment horizontal="center"/>
    </xf>
    <xf numFmtId="0" fontId="38" fillId="0" borderId="23" xfId="0" applyFont="1" applyBorder="1" applyAlignment="1">
      <alignment horizontal="center"/>
    </xf>
    <xf numFmtId="164" fontId="3" fillId="0" borderId="0" xfId="0" applyNumberFormat="1" applyFont="1" applyAlignment="1">
      <alignment horizontal="center"/>
    </xf>
    <xf numFmtId="166" fontId="23" fillId="0" borderId="10" xfId="0" applyNumberFormat="1" applyFont="1" applyFill="1" applyBorder="1" applyAlignment="1">
      <alignment horizontal="right" vertical="center" wrapText="1"/>
    </xf>
    <xf numFmtId="165" fontId="27" fillId="30" borderId="10" xfId="0" applyNumberFormat="1" applyFont="1" applyFill="1" applyBorder="1"/>
    <xf numFmtId="165" fontId="27" fillId="0" borderId="10" xfId="0" applyNumberFormat="1" applyFont="1" applyBorder="1"/>
    <xf numFmtId="166" fontId="25" fillId="0" borderId="10" xfId="28" applyNumberFormat="1" applyFont="1" applyBorder="1"/>
    <xf numFmtId="166" fontId="28" fillId="0" borderId="10" xfId="28" applyNumberFormat="1" applyFont="1" applyFill="1" applyBorder="1" applyAlignment="1">
      <alignment vertical="center"/>
    </xf>
    <xf numFmtId="166" fontId="0" fillId="0" borderId="10" xfId="28" applyNumberFormat="1" applyFont="1" applyFill="1" applyBorder="1" applyAlignment="1">
      <alignment vertical="center"/>
    </xf>
    <xf numFmtId="166" fontId="2" fillId="0" borderId="0" xfId="0" applyNumberFormat="1" applyFont="1" applyBorder="1"/>
    <xf numFmtId="5" fontId="3" fillId="0" borderId="0" xfId="0" applyNumberFormat="1" applyFont="1" applyBorder="1" applyAlignment="1">
      <alignment wrapText="1"/>
    </xf>
    <xf numFmtId="0" fontId="2" fillId="0" borderId="10" xfId="0" applyFont="1" applyFill="1" applyBorder="1" applyAlignment="1">
      <alignment vertical="center" wrapText="1"/>
    </xf>
    <xf numFmtId="0" fontId="2" fillId="0" borderId="10" xfId="0" applyFont="1" applyBorder="1" applyAlignment="1">
      <alignment horizontal="center" wrapText="1"/>
    </xf>
    <xf numFmtId="0" fontId="2" fillId="0" borderId="10"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9" fillId="0" borderId="0" xfId="0" applyFont="1" applyAlignment="1">
      <alignment horizontal="center"/>
    </xf>
    <xf numFmtId="0" fontId="2" fillId="0" borderId="10" xfId="0" applyFont="1" applyBorder="1" applyAlignment="1">
      <alignment horizontal="center" vertical="center" wrapText="1"/>
    </xf>
    <xf numFmtId="0" fontId="3" fillId="0" borderId="10"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8" fillId="0" borderId="25" xfId="0" applyFont="1" applyBorder="1" applyAlignment="1">
      <alignment horizontal="center" wrapText="1"/>
    </xf>
    <xf numFmtId="0" fontId="39" fillId="0" borderId="28" xfId="0" applyFont="1" applyBorder="1"/>
    <xf numFmtId="0" fontId="39" fillId="0" borderId="29" xfId="0" applyFont="1" applyBorder="1"/>
    <xf numFmtId="0" fontId="38" fillId="0" borderId="24" xfId="0" applyFont="1" applyBorder="1" applyAlignment="1">
      <alignment horizontal="center"/>
    </xf>
    <xf numFmtId="0" fontId="39" fillId="0" borderId="26" xfId="0" applyFont="1" applyBorder="1"/>
    <xf numFmtId="0" fontId="39" fillId="0" borderId="27" xfId="0" applyFont="1" applyBorder="1"/>
    <xf numFmtId="0" fontId="38" fillId="0" borderId="25" xfId="0" applyFont="1" applyBorder="1" applyAlignment="1">
      <alignment horizont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30" xfId="0" applyFont="1" applyBorder="1" applyAlignment="1">
      <alignment horizontal="left"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61"/>
  <sheetViews>
    <sheetView tabSelected="1" zoomScale="75" zoomScaleNormal="75" zoomScaleSheetLayoutView="100" workbookViewId="0">
      <pane xSplit="1" ySplit="2" topLeftCell="C35" activePane="bottomRight" state="frozen"/>
      <selection pane="topRight" activeCell="B1" sqref="B1"/>
      <selection pane="bottomLeft" activeCell="A3" sqref="A3"/>
      <selection pane="bottomRight" activeCell="J56" sqref="J56"/>
    </sheetView>
  </sheetViews>
  <sheetFormatPr defaultRowHeight="15" x14ac:dyDescent="0.25"/>
  <cols>
    <col min="1" max="1" width="33.28515625" style="5" customWidth="1"/>
    <col min="2" max="2" width="53.28515625" style="9" customWidth="1"/>
    <col min="3" max="3" width="44.42578125" style="5" customWidth="1"/>
    <col min="4" max="4" width="16.28515625" style="5" customWidth="1"/>
    <col min="5" max="5" width="17.5703125" style="5" customWidth="1"/>
    <col min="6" max="6" width="18.28515625" style="5" customWidth="1"/>
    <col min="7" max="7" width="18.140625" style="5" customWidth="1"/>
    <col min="8" max="8" width="16.28515625" style="5" customWidth="1"/>
    <col min="9" max="9" width="15.5703125" style="5" bestFit="1" customWidth="1"/>
    <col min="10" max="10" width="18" style="8" customWidth="1"/>
    <col min="11" max="11" width="9.140625" style="16"/>
    <col min="12" max="14" width="9.140625" style="2"/>
    <col min="15" max="15" width="14.42578125" style="2" bestFit="1" customWidth="1"/>
    <col min="16" max="16384" width="9.140625" style="2"/>
  </cols>
  <sheetData>
    <row r="1" spans="1:11" s="1" customFormat="1" ht="37.5" customHeight="1" x14ac:dyDescent="0.2">
      <c r="A1" s="144" t="s">
        <v>35</v>
      </c>
      <c r="B1" s="144"/>
      <c r="C1" s="144"/>
      <c r="D1" s="144"/>
      <c r="E1" s="144"/>
      <c r="F1" s="144"/>
      <c r="G1" s="144"/>
      <c r="H1" s="144"/>
      <c r="I1" s="144"/>
      <c r="J1" s="144"/>
      <c r="K1" s="15"/>
    </row>
    <row r="2" spans="1:11" s="1" customFormat="1" ht="57" x14ac:dyDescent="0.2">
      <c r="A2" s="32" t="s">
        <v>25</v>
      </c>
      <c r="B2" s="32" t="s">
        <v>0</v>
      </c>
      <c r="C2" s="33" t="s">
        <v>1</v>
      </c>
      <c r="D2" s="32" t="s">
        <v>13</v>
      </c>
      <c r="E2" s="32" t="s">
        <v>14</v>
      </c>
      <c r="F2" s="32" t="s">
        <v>15</v>
      </c>
      <c r="G2" s="32" t="s">
        <v>16</v>
      </c>
      <c r="H2" s="32" t="s">
        <v>17</v>
      </c>
      <c r="I2" s="37" t="s">
        <v>18</v>
      </c>
      <c r="J2" s="38" t="s">
        <v>2</v>
      </c>
      <c r="K2" s="15"/>
    </row>
    <row r="3" spans="1:11" s="1" customFormat="1" x14ac:dyDescent="0.2">
      <c r="A3" s="145" t="s">
        <v>49</v>
      </c>
      <c r="B3" s="19"/>
      <c r="C3" s="20"/>
      <c r="D3" s="21"/>
      <c r="E3" s="21"/>
      <c r="F3" s="21"/>
      <c r="G3" s="21"/>
      <c r="H3" s="21"/>
      <c r="I3" s="22"/>
      <c r="J3" s="39"/>
      <c r="K3" s="15"/>
    </row>
    <row r="4" spans="1:11" s="1" customFormat="1" ht="45" x14ac:dyDescent="0.2">
      <c r="A4" s="145"/>
      <c r="B4" s="23" t="s">
        <v>20</v>
      </c>
      <c r="C4" s="24" t="s">
        <v>41</v>
      </c>
      <c r="D4" s="25">
        <f>700*33.14</f>
        <v>23198</v>
      </c>
      <c r="E4" s="25">
        <f>(700*33.14)*1.03</f>
        <v>23893.940000000002</v>
      </c>
      <c r="F4" s="25">
        <f>(700*33.14)*1.03^2</f>
        <v>24610.7582</v>
      </c>
      <c r="G4" s="25">
        <f>(200*33.14)*1.03^3</f>
        <v>7242.594556</v>
      </c>
      <c r="H4" s="25">
        <f>(200*33.14)*1.03^4</f>
        <v>7459.8723926799994</v>
      </c>
      <c r="I4" s="26">
        <v>0</v>
      </c>
      <c r="J4" s="39">
        <f>SUM(D4:I4)</f>
        <v>86405.165148679996</v>
      </c>
      <c r="K4" s="15"/>
    </row>
    <row r="5" spans="1:11" ht="45" x14ac:dyDescent="0.25">
      <c r="A5" s="145"/>
      <c r="B5" s="24" t="s">
        <v>22</v>
      </c>
      <c r="C5" s="24" t="s">
        <v>42</v>
      </c>
      <c r="D5" s="25">
        <f>700*25.88</f>
        <v>18116</v>
      </c>
      <c r="E5" s="25">
        <f>(700*25.88)*1.03</f>
        <v>18659.48</v>
      </c>
      <c r="F5" s="25">
        <f>(700*25.88)*1.03^2</f>
        <v>19219.2644</v>
      </c>
      <c r="G5" s="25">
        <f>(200*25.88)*1.03^3</f>
        <v>5655.954952</v>
      </c>
      <c r="H5" s="25">
        <f>(200*25.88)*1.03^4</f>
        <v>5825.6336005599996</v>
      </c>
      <c r="I5" s="26">
        <v>0</v>
      </c>
      <c r="J5" s="39">
        <f t="shared" ref="J5:J10" si="0">SUM(D5:I5)</f>
        <v>67476.332952559998</v>
      </c>
    </row>
    <row r="6" spans="1:11" ht="45" x14ac:dyDescent="0.25">
      <c r="A6" s="145"/>
      <c r="B6" s="24" t="s">
        <v>24</v>
      </c>
      <c r="C6" s="24" t="s">
        <v>43</v>
      </c>
      <c r="D6" s="25">
        <f>300*21.47</f>
        <v>6441</v>
      </c>
      <c r="E6" s="25">
        <f>(300*21.47)*1.03</f>
        <v>6634.2300000000005</v>
      </c>
      <c r="F6" s="25">
        <f>(300*21.47)*1.03^2</f>
        <v>6833.2568999999994</v>
      </c>
      <c r="G6" s="25">
        <f>(100*21.47)*1.03^3</f>
        <v>2346.0848689999998</v>
      </c>
      <c r="H6" s="25">
        <f>(100*21.47)*1.03^4</f>
        <v>2416.4674150699998</v>
      </c>
      <c r="I6" s="26">
        <v>0</v>
      </c>
      <c r="J6" s="39">
        <f t="shared" si="0"/>
        <v>24671.039184069999</v>
      </c>
    </row>
    <row r="7" spans="1:11" ht="45" x14ac:dyDescent="0.25">
      <c r="A7" s="145"/>
      <c r="B7" s="24" t="s">
        <v>23</v>
      </c>
      <c r="C7" s="24" t="s">
        <v>44</v>
      </c>
      <c r="D7" s="25">
        <f>3120*24.08</f>
        <v>75129.599999999991</v>
      </c>
      <c r="E7" s="25">
        <f>(3120*24.08)*1.03</f>
        <v>77383.487999999998</v>
      </c>
      <c r="F7" s="25">
        <f>(3120*24.08)*1.03^2</f>
        <v>79704.992639999982</v>
      </c>
      <c r="G7" s="25">
        <f>(400*24.08)*1.03^3</f>
        <v>10525.146463999999</v>
      </c>
      <c r="H7" s="25">
        <f>(400*24.08)*1.03^4</f>
        <v>10840.90085792</v>
      </c>
      <c r="I7" s="26">
        <v>0</v>
      </c>
      <c r="J7" s="39">
        <f t="shared" si="0"/>
        <v>253584.12796191996</v>
      </c>
    </row>
    <row r="8" spans="1:11" ht="45" x14ac:dyDescent="0.25">
      <c r="A8" s="145"/>
      <c r="B8" s="24" t="s">
        <v>21</v>
      </c>
      <c r="C8" s="24" t="s">
        <v>45</v>
      </c>
      <c r="D8" s="25">
        <f>300*40.49</f>
        <v>12147</v>
      </c>
      <c r="E8" s="25">
        <f>(300*40.49)*1.03</f>
        <v>12511.41</v>
      </c>
      <c r="F8" s="25">
        <f>(300*40.49)*1.03^2</f>
        <v>12886.7523</v>
      </c>
      <c r="G8" s="25">
        <f>(100*40.49)*1.03^3</f>
        <v>4424.4516229999999</v>
      </c>
      <c r="H8" s="25">
        <f>(100*40.49)*1.03^4</f>
        <v>4557.1851716900001</v>
      </c>
      <c r="I8" s="26">
        <v>0</v>
      </c>
      <c r="J8" s="39">
        <f t="shared" si="0"/>
        <v>46526.799094689995</v>
      </c>
    </row>
    <row r="9" spans="1:11" ht="45" x14ac:dyDescent="0.25">
      <c r="A9" s="145"/>
      <c r="B9" s="24" t="s">
        <v>36</v>
      </c>
      <c r="C9" s="24" t="s">
        <v>46</v>
      </c>
      <c r="D9" s="25">
        <f>100*47.58</f>
        <v>4758</v>
      </c>
      <c r="E9" s="25">
        <f>(100*47.58)*1.03</f>
        <v>4900.74</v>
      </c>
      <c r="F9" s="25">
        <f>(100*47.58)*1.03^2</f>
        <v>5047.7622000000001</v>
      </c>
      <c r="G9" s="25">
        <f>(30*47.58)*1.03^3</f>
        <v>1559.7585197999999</v>
      </c>
      <c r="H9" s="25">
        <f>(30*47.58)*1.03^4</f>
        <v>1606.5512753939997</v>
      </c>
      <c r="I9" s="26">
        <v>0</v>
      </c>
      <c r="J9" s="39">
        <f t="shared" si="0"/>
        <v>17872.811995193999</v>
      </c>
    </row>
    <row r="10" spans="1:11" ht="30" x14ac:dyDescent="0.25">
      <c r="A10" s="145"/>
      <c r="B10" s="24" t="s">
        <v>3</v>
      </c>
      <c r="C10" s="24" t="s">
        <v>47</v>
      </c>
      <c r="D10" s="25">
        <f>50*34.99</f>
        <v>1749.5</v>
      </c>
      <c r="E10" s="25">
        <f>(50*34.99)*1.03</f>
        <v>1801.9850000000001</v>
      </c>
      <c r="F10" s="25">
        <f>(50*34.99)*1.03^2</f>
        <v>1856.0445499999998</v>
      </c>
      <c r="G10" s="25">
        <f>(10*34.99)*1.03^3</f>
        <v>382.34517730000005</v>
      </c>
      <c r="H10" s="25">
        <f>(10*34.99)*1.03^4</f>
        <v>393.81553261900001</v>
      </c>
      <c r="I10" s="26">
        <v>0</v>
      </c>
      <c r="J10" s="39">
        <f t="shared" si="0"/>
        <v>6183.6902599189998</v>
      </c>
    </row>
    <row r="11" spans="1:11" x14ac:dyDescent="0.25">
      <c r="A11" s="40" t="s">
        <v>4</v>
      </c>
      <c r="B11" s="19"/>
      <c r="C11" s="41"/>
      <c r="D11" s="42">
        <f t="shared" ref="D11:I11" si="1">SUM(D4:D10)</f>
        <v>141539.09999999998</v>
      </c>
      <c r="E11" s="42">
        <f t="shared" si="1"/>
        <v>145785.27299999999</v>
      </c>
      <c r="F11" s="42">
        <f t="shared" si="1"/>
        <v>150158.83118999997</v>
      </c>
      <c r="G11" s="42">
        <f t="shared" si="1"/>
        <v>32136.336161100004</v>
      </c>
      <c r="H11" s="42">
        <f t="shared" si="1"/>
        <v>33100.426245932998</v>
      </c>
      <c r="I11" s="42">
        <f t="shared" si="1"/>
        <v>0</v>
      </c>
      <c r="J11" s="39">
        <f>SUM(D11:I11)</f>
        <v>502719.96659703297</v>
      </c>
    </row>
    <row r="12" spans="1:11" s="4" customFormat="1" ht="11.25" customHeight="1" x14ac:dyDescent="0.2">
      <c r="A12" s="43"/>
      <c r="B12" s="44"/>
      <c r="C12" s="45"/>
      <c r="D12" s="46"/>
      <c r="E12" s="46"/>
      <c r="F12" s="46"/>
      <c r="G12" s="46"/>
      <c r="H12" s="46"/>
      <c r="I12" s="46"/>
      <c r="J12" s="46"/>
      <c r="K12" s="17"/>
    </row>
    <row r="13" spans="1:11" ht="38.25" customHeight="1" x14ac:dyDescent="0.25">
      <c r="A13" s="57"/>
      <c r="B13" s="29" t="s">
        <v>40</v>
      </c>
      <c r="C13" s="23"/>
      <c r="D13" s="25">
        <f>D$11*0.6022</f>
        <v>85234.846019999983</v>
      </c>
      <c r="E13" s="25">
        <f>E$11*0.6022</f>
        <v>87791.891400599983</v>
      </c>
      <c r="F13" s="25">
        <f>F$11*0.6022</f>
        <v>90425.648142617982</v>
      </c>
      <c r="G13" s="25">
        <f>G$11*0.6022</f>
        <v>19352.50163621442</v>
      </c>
      <c r="H13" s="25">
        <f>H$11*0.6022</f>
        <v>19933.07668530085</v>
      </c>
      <c r="I13" s="25">
        <v>0</v>
      </c>
      <c r="J13" s="39">
        <f>SUM(D13:I13)</f>
        <v>302737.96388473321</v>
      </c>
    </row>
    <row r="14" spans="1:11" x14ac:dyDescent="0.25">
      <c r="A14" s="47" t="s">
        <v>34</v>
      </c>
      <c r="B14" s="19"/>
      <c r="C14" s="20"/>
      <c r="D14" s="48">
        <f t="shared" ref="D14:I14" si="2">SUM(D13:D13)</f>
        <v>85234.846019999983</v>
      </c>
      <c r="E14" s="48">
        <f t="shared" si="2"/>
        <v>87791.891400599983</v>
      </c>
      <c r="F14" s="48">
        <f t="shared" si="2"/>
        <v>90425.648142617982</v>
      </c>
      <c r="G14" s="48">
        <f t="shared" si="2"/>
        <v>19352.50163621442</v>
      </c>
      <c r="H14" s="48">
        <f t="shared" si="2"/>
        <v>19933.07668530085</v>
      </c>
      <c r="I14" s="48">
        <f t="shared" si="2"/>
        <v>0</v>
      </c>
      <c r="J14" s="39">
        <f>SUM(D14:I14)</f>
        <v>302737.96388473321</v>
      </c>
    </row>
    <row r="15" spans="1:11" s="4" customFormat="1" ht="11.25" customHeight="1" x14ac:dyDescent="0.2">
      <c r="A15" s="43"/>
      <c r="B15" s="44"/>
      <c r="C15" s="45"/>
      <c r="D15" s="46"/>
      <c r="E15" s="46"/>
      <c r="F15" s="46"/>
      <c r="G15" s="46"/>
      <c r="H15" s="46"/>
      <c r="I15" s="46"/>
      <c r="J15" s="46"/>
      <c r="K15" s="17"/>
    </row>
    <row r="16" spans="1:11" ht="16.5" customHeight="1" x14ac:dyDescent="0.25">
      <c r="A16" s="146" t="s">
        <v>19</v>
      </c>
      <c r="B16" s="10" t="s">
        <v>28</v>
      </c>
      <c r="C16" s="11"/>
      <c r="D16" s="21"/>
      <c r="E16" s="21"/>
      <c r="F16" s="21"/>
      <c r="G16" s="21"/>
      <c r="H16" s="21"/>
      <c r="I16" s="26"/>
      <c r="J16" s="39"/>
    </row>
    <row r="17" spans="1:11" ht="60" x14ac:dyDescent="0.25">
      <c r="A17" s="146"/>
      <c r="B17" s="12" t="s">
        <v>27</v>
      </c>
      <c r="C17" s="12" t="s">
        <v>37</v>
      </c>
      <c r="D17" s="27">
        <f>0.655*1200</f>
        <v>786</v>
      </c>
      <c r="E17" s="27">
        <f>0.655*1200</f>
        <v>786</v>
      </c>
      <c r="F17" s="27">
        <f>0.655*1200</f>
        <v>786</v>
      </c>
      <c r="G17" s="27">
        <f>400*0.655</f>
        <v>262</v>
      </c>
      <c r="H17" s="27">
        <f>400*0.655</f>
        <v>262</v>
      </c>
      <c r="I17" s="26">
        <v>0</v>
      </c>
      <c r="J17" s="39">
        <f>SUM(D17:I17)</f>
        <v>2882</v>
      </c>
    </row>
    <row r="18" spans="1:11" ht="63" customHeight="1" x14ac:dyDescent="0.25">
      <c r="A18" s="146"/>
      <c r="B18" s="12" t="s">
        <v>26</v>
      </c>
      <c r="C18" s="12" t="s">
        <v>38</v>
      </c>
      <c r="D18" s="27">
        <v>750</v>
      </c>
      <c r="E18" s="27">
        <v>750</v>
      </c>
      <c r="F18" s="27">
        <v>750</v>
      </c>
      <c r="G18" s="27">
        <v>250</v>
      </c>
      <c r="H18" s="27">
        <v>250</v>
      </c>
      <c r="I18" s="26">
        <v>0</v>
      </c>
      <c r="J18" s="39">
        <f>SUM(D18:I18)</f>
        <v>2750</v>
      </c>
    </row>
    <row r="19" spans="1:11" ht="45" x14ac:dyDescent="0.25">
      <c r="A19" s="146"/>
      <c r="B19" s="12" t="s">
        <v>29</v>
      </c>
      <c r="C19" s="12" t="s">
        <v>39</v>
      </c>
      <c r="D19" s="25">
        <f>41*12</f>
        <v>492</v>
      </c>
      <c r="E19" s="25">
        <f>41*12</f>
        <v>492</v>
      </c>
      <c r="F19" s="25">
        <f>41*12</f>
        <v>492</v>
      </c>
      <c r="G19" s="25">
        <f>41*4</f>
        <v>164</v>
      </c>
      <c r="H19" s="25">
        <f>41*4</f>
        <v>164</v>
      </c>
      <c r="I19" s="26">
        <v>0</v>
      </c>
      <c r="J19" s="39">
        <f>SUM(D19:I19)</f>
        <v>1804</v>
      </c>
    </row>
    <row r="20" spans="1:11" x14ac:dyDescent="0.25">
      <c r="A20" s="47" t="s">
        <v>5</v>
      </c>
      <c r="B20" s="19"/>
      <c r="C20" s="20"/>
      <c r="D20" s="42">
        <f t="shared" ref="D20:I20" si="3">SUM(D17:D19)</f>
        <v>2028</v>
      </c>
      <c r="E20" s="42">
        <f t="shared" si="3"/>
        <v>2028</v>
      </c>
      <c r="F20" s="42">
        <f t="shared" si="3"/>
        <v>2028</v>
      </c>
      <c r="G20" s="42">
        <f t="shared" si="3"/>
        <v>676</v>
      </c>
      <c r="H20" s="42">
        <f t="shared" si="3"/>
        <v>676</v>
      </c>
      <c r="I20" s="42">
        <f t="shared" si="3"/>
        <v>0</v>
      </c>
      <c r="J20" s="39">
        <f>SUM(D20:I20)</f>
        <v>7436</v>
      </c>
    </row>
    <row r="21" spans="1:11" s="4" customFormat="1" ht="11.25" customHeight="1" x14ac:dyDescent="0.2">
      <c r="A21" s="43"/>
      <c r="B21" s="44"/>
      <c r="C21" s="45"/>
      <c r="D21" s="46"/>
      <c r="E21" s="46"/>
      <c r="F21" s="46"/>
      <c r="G21" s="46"/>
      <c r="H21" s="46"/>
      <c r="I21" s="46"/>
      <c r="J21" s="46"/>
      <c r="K21" s="17"/>
    </row>
    <row r="22" spans="1:11" x14ac:dyDescent="0.25">
      <c r="A22" s="40" t="s">
        <v>6</v>
      </c>
      <c r="B22" s="19"/>
      <c r="C22" s="20"/>
      <c r="D22" s="21"/>
      <c r="E22" s="21"/>
      <c r="F22" s="21"/>
      <c r="G22" s="21"/>
      <c r="H22" s="21"/>
      <c r="I22" s="26"/>
      <c r="J22" s="39"/>
    </row>
    <row r="23" spans="1:11" x14ac:dyDescent="0.25">
      <c r="A23" s="49"/>
      <c r="B23" s="24" t="s">
        <v>7</v>
      </c>
      <c r="C23" s="23" t="s">
        <v>12</v>
      </c>
      <c r="D23" s="25">
        <v>100</v>
      </c>
      <c r="E23" s="25">
        <v>100</v>
      </c>
      <c r="F23" s="25">
        <v>100</v>
      </c>
      <c r="G23" s="25">
        <v>100</v>
      </c>
      <c r="H23" s="25">
        <v>100</v>
      </c>
      <c r="I23" s="26">
        <v>0</v>
      </c>
      <c r="J23" s="39">
        <f>SUM(D23:I23)</f>
        <v>500</v>
      </c>
    </row>
    <row r="24" spans="1:11" ht="15.75" customHeight="1" x14ac:dyDescent="0.25">
      <c r="A24" s="50" t="s">
        <v>8</v>
      </c>
      <c r="B24" s="19"/>
      <c r="C24" s="20"/>
      <c r="D24" s="48">
        <f t="shared" ref="D24:I24" si="4">SUM(D23)</f>
        <v>100</v>
      </c>
      <c r="E24" s="48">
        <f t="shared" si="4"/>
        <v>100</v>
      </c>
      <c r="F24" s="48">
        <f t="shared" si="4"/>
        <v>100</v>
      </c>
      <c r="G24" s="48">
        <f t="shared" si="4"/>
        <v>100</v>
      </c>
      <c r="H24" s="48">
        <f t="shared" si="4"/>
        <v>100</v>
      </c>
      <c r="I24" s="48">
        <f t="shared" si="4"/>
        <v>0</v>
      </c>
      <c r="J24" s="39">
        <f>SUM(D24:I24)</f>
        <v>500</v>
      </c>
    </row>
    <row r="25" spans="1:11" s="4" customFormat="1" ht="11.25" customHeight="1" x14ac:dyDescent="0.2">
      <c r="A25" s="43"/>
      <c r="B25" s="44"/>
      <c r="C25" s="45"/>
      <c r="D25" s="46"/>
      <c r="E25" s="46"/>
      <c r="F25" s="46"/>
      <c r="G25" s="46"/>
      <c r="H25" s="46"/>
      <c r="I25" s="46"/>
      <c r="J25" s="46"/>
      <c r="K25" s="17"/>
    </row>
    <row r="26" spans="1:11" ht="15.75" customHeight="1" x14ac:dyDescent="0.25">
      <c r="A26" s="40" t="s">
        <v>9</v>
      </c>
      <c r="B26" s="19"/>
      <c r="C26" s="20" t="s">
        <v>487</v>
      </c>
      <c r="D26" s="48">
        <f t="shared" ref="D26:J26" si="5">+D24+D20+D14+D11</f>
        <v>228901.94601999997</v>
      </c>
      <c r="E26" s="48">
        <f t="shared" si="5"/>
        <v>235705.16440059996</v>
      </c>
      <c r="F26" s="48">
        <f t="shared" si="5"/>
        <v>242712.47933261795</v>
      </c>
      <c r="G26" s="48">
        <f t="shared" si="5"/>
        <v>52264.837797314423</v>
      </c>
      <c r="H26" s="48">
        <f t="shared" si="5"/>
        <v>53809.502931233845</v>
      </c>
      <c r="I26" s="48">
        <f t="shared" si="5"/>
        <v>0</v>
      </c>
      <c r="J26" s="48">
        <f t="shared" si="5"/>
        <v>813393.93048176612</v>
      </c>
    </row>
    <row r="27" spans="1:11" s="4" customFormat="1" ht="11.25" customHeight="1" x14ac:dyDescent="0.2">
      <c r="A27" s="43"/>
      <c r="B27" s="44"/>
      <c r="C27" s="45"/>
      <c r="D27" s="46"/>
      <c r="E27" s="46"/>
      <c r="F27" s="46"/>
      <c r="G27" s="46"/>
      <c r="H27" s="46"/>
      <c r="I27" s="46"/>
      <c r="J27" s="46"/>
      <c r="K27" s="17"/>
    </row>
    <row r="28" spans="1:11" s="3" customFormat="1" x14ac:dyDescent="0.25">
      <c r="A28" s="51" t="s">
        <v>11</v>
      </c>
      <c r="B28" s="20"/>
      <c r="C28" s="52"/>
      <c r="D28" s="53"/>
      <c r="E28" s="53"/>
      <c r="F28" s="53"/>
      <c r="G28" s="53"/>
      <c r="H28" s="53"/>
      <c r="I28" s="53"/>
      <c r="J28" s="25"/>
      <c r="K28" s="18"/>
    </row>
    <row r="29" spans="1:11" x14ac:dyDescent="0.25">
      <c r="A29" s="51"/>
      <c r="B29" s="23" t="s">
        <v>48</v>
      </c>
      <c r="C29" s="11"/>
      <c r="D29" s="25">
        <f>D26*0.2359</f>
        <v>53997.969066117992</v>
      </c>
      <c r="E29" s="25">
        <f>E26*0.2359</f>
        <v>55602.848282101528</v>
      </c>
      <c r="F29" s="25">
        <f>F26*0.2359</f>
        <v>57255.873874564575</v>
      </c>
      <c r="G29" s="25">
        <f>G26*0.2359</f>
        <v>12329.275236386473</v>
      </c>
      <c r="H29" s="25">
        <f>H26*0.2359</f>
        <v>12693.661741478063</v>
      </c>
      <c r="I29" s="26">
        <v>0</v>
      </c>
      <c r="J29" s="39"/>
    </row>
    <row r="30" spans="1:11" x14ac:dyDescent="0.25">
      <c r="A30" s="33" t="s">
        <v>33</v>
      </c>
      <c r="B30" s="20"/>
      <c r="C30" s="20"/>
      <c r="D30" s="48">
        <f t="shared" ref="D30:I30" si="6">D29</f>
        <v>53997.969066117992</v>
      </c>
      <c r="E30" s="48">
        <f t="shared" si="6"/>
        <v>55602.848282101528</v>
      </c>
      <c r="F30" s="48">
        <f t="shared" si="6"/>
        <v>57255.873874564575</v>
      </c>
      <c r="G30" s="48">
        <f t="shared" si="6"/>
        <v>12329.275236386473</v>
      </c>
      <c r="H30" s="48">
        <f t="shared" si="6"/>
        <v>12693.661741478063</v>
      </c>
      <c r="I30" s="48">
        <f t="shared" si="6"/>
        <v>0</v>
      </c>
      <c r="J30" s="39">
        <f>SUM(D30:I30)</f>
        <v>191879.62820064864</v>
      </c>
    </row>
    <row r="31" spans="1:11" s="4" customFormat="1" ht="11.25" customHeight="1" x14ac:dyDescent="0.2">
      <c r="A31" s="43"/>
      <c r="B31" s="44"/>
      <c r="C31" s="45"/>
      <c r="D31" s="46"/>
      <c r="E31" s="46"/>
      <c r="F31" s="46"/>
      <c r="G31" s="46"/>
      <c r="H31" s="46"/>
      <c r="I31" s="46"/>
      <c r="J31" s="46"/>
      <c r="K31" s="17"/>
    </row>
    <row r="32" spans="1:11" ht="33" customHeight="1" x14ac:dyDescent="0.25">
      <c r="A32" s="145" t="s">
        <v>390</v>
      </c>
      <c r="B32" s="145"/>
      <c r="C32" s="145"/>
      <c r="D32" s="145"/>
      <c r="E32" s="145"/>
      <c r="F32" s="145"/>
      <c r="G32" s="145"/>
      <c r="H32" s="145"/>
      <c r="I32" s="145"/>
      <c r="J32" s="145"/>
    </row>
    <row r="33" spans="1:15" s="4" customFormat="1" ht="11.25" customHeight="1" x14ac:dyDescent="0.2">
      <c r="A33" s="43"/>
      <c r="B33" s="44"/>
      <c r="C33" s="45"/>
      <c r="D33" s="46"/>
      <c r="E33" s="46"/>
      <c r="F33" s="46"/>
      <c r="G33" s="46"/>
      <c r="H33" s="46"/>
      <c r="I33" s="46"/>
      <c r="J33" s="46"/>
      <c r="K33" s="17"/>
    </row>
    <row r="34" spans="1:15" s="36" customFormat="1" x14ac:dyDescent="0.25">
      <c r="A34" s="31"/>
      <c r="B34" s="12"/>
      <c r="C34" s="12"/>
      <c r="D34" s="26"/>
      <c r="E34" s="26"/>
      <c r="F34" s="26"/>
      <c r="G34" s="26"/>
      <c r="H34" s="26"/>
      <c r="I34" s="26"/>
      <c r="J34" s="26">
        <f>SUM(D34:I34)</f>
        <v>0</v>
      </c>
      <c r="K34" s="35"/>
    </row>
    <row r="35" spans="1:15" s="36" customFormat="1" ht="67.5" customHeight="1" x14ac:dyDescent="0.25">
      <c r="A35" s="31" t="s">
        <v>388</v>
      </c>
      <c r="B35" s="12" t="s">
        <v>391</v>
      </c>
      <c r="C35" s="12" t="s">
        <v>392</v>
      </c>
      <c r="D35" s="26">
        <v>1288139</v>
      </c>
      <c r="E35" s="26">
        <v>10536999.25</v>
      </c>
      <c r="F35" s="26">
        <v>18754953.927499998</v>
      </c>
      <c r="G35" s="26">
        <v>9202247.9453250002</v>
      </c>
      <c r="H35" s="26">
        <v>897750.78368474985</v>
      </c>
      <c r="I35" s="26">
        <v>0</v>
      </c>
      <c r="J35" s="26">
        <f>SUM(D35:I35)</f>
        <v>40680090.90650975</v>
      </c>
      <c r="K35" s="35"/>
    </row>
    <row r="36" spans="1:15" s="36" customFormat="1" ht="60" x14ac:dyDescent="0.25">
      <c r="A36" s="31" t="s">
        <v>389</v>
      </c>
      <c r="B36" s="12" t="s">
        <v>479</v>
      </c>
      <c r="C36" s="12" t="s">
        <v>476</v>
      </c>
      <c r="D36" s="26">
        <v>3351662</v>
      </c>
      <c r="E36" s="26">
        <v>21123103.699999999</v>
      </c>
      <c r="F36" s="26">
        <v>66649693.666666657</v>
      </c>
      <c r="G36" s="26">
        <v>63623593.666666657</v>
      </c>
      <c r="H36" s="26">
        <v>52991432.666666657</v>
      </c>
      <c r="I36" s="26">
        <v>0</v>
      </c>
      <c r="J36" s="26">
        <v>207739485.69999999</v>
      </c>
      <c r="K36" s="35"/>
    </row>
    <row r="37" spans="1:15" s="36" customFormat="1" x14ac:dyDescent="0.25">
      <c r="A37" s="31" t="s">
        <v>31</v>
      </c>
      <c r="B37" s="12"/>
      <c r="C37" s="12"/>
      <c r="D37" s="54">
        <f t="shared" ref="D37:I37" si="7">D36+D35</f>
        <v>4639801</v>
      </c>
      <c r="E37" s="54">
        <f t="shared" si="7"/>
        <v>31660102.949999999</v>
      </c>
      <c r="F37" s="54">
        <f t="shared" si="7"/>
        <v>85404647.594166651</v>
      </c>
      <c r="G37" s="54">
        <f t="shared" si="7"/>
        <v>72825841.611991659</v>
      </c>
      <c r="H37" s="54">
        <f t="shared" si="7"/>
        <v>53889183.45035141</v>
      </c>
      <c r="I37" s="54">
        <f t="shared" si="7"/>
        <v>0</v>
      </c>
      <c r="J37" s="54">
        <f>SUM(D37:I37)</f>
        <v>248419576.60650975</v>
      </c>
      <c r="K37" s="35"/>
    </row>
    <row r="38" spans="1:15" s="36" customFormat="1" x14ac:dyDescent="0.25">
      <c r="A38" s="31"/>
      <c r="B38" s="12"/>
      <c r="C38" s="12"/>
      <c r="D38" s="54"/>
      <c r="E38" s="54"/>
      <c r="F38" s="54"/>
      <c r="G38" s="54"/>
      <c r="H38" s="54"/>
      <c r="I38" s="54"/>
      <c r="J38" s="54"/>
      <c r="K38" s="35"/>
    </row>
    <row r="39" spans="1:15" s="36" customFormat="1" ht="75" x14ac:dyDescent="0.25">
      <c r="A39" s="31" t="s">
        <v>202</v>
      </c>
      <c r="B39" s="12" t="s">
        <v>312</v>
      </c>
      <c r="C39" s="12" t="s">
        <v>477</v>
      </c>
      <c r="D39" s="26">
        <v>1958940</v>
      </c>
      <c r="E39" s="26">
        <v>69453089.25</v>
      </c>
      <c r="F39" s="26">
        <v>66396024.75</v>
      </c>
      <c r="G39" s="26">
        <v>23469375</v>
      </c>
      <c r="H39" s="26">
        <v>17610000</v>
      </c>
      <c r="I39" s="26">
        <v>0</v>
      </c>
      <c r="J39" s="26">
        <v>178887429</v>
      </c>
      <c r="K39" s="35"/>
      <c r="O39" s="142"/>
    </row>
    <row r="40" spans="1:15" s="36" customFormat="1" ht="31.5" customHeight="1" x14ac:dyDescent="0.25">
      <c r="A40" s="31" t="s">
        <v>30</v>
      </c>
      <c r="B40" s="12"/>
      <c r="C40" s="12"/>
      <c r="D40" s="54">
        <f>D39</f>
        <v>1958940</v>
      </c>
      <c r="E40" s="54">
        <f t="shared" ref="E40:J40" si="8">E39</f>
        <v>69453089.25</v>
      </c>
      <c r="F40" s="54">
        <f t="shared" si="8"/>
        <v>66396024.75</v>
      </c>
      <c r="G40" s="54">
        <f t="shared" si="8"/>
        <v>23469375</v>
      </c>
      <c r="H40" s="54">
        <f t="shared" si="8"/>
        <v>17610000</v>
      </c>
      <c r="I40" s="54">
        <f t="shared" si="8"/>
        <v>0</v>
      </c>
      <c r="J40" s="54">
        <f t="shared" si="8"/>
        <v>178887429</v>
      </c>
      <c r="K40" s="35"/>
    </row>
    <row r="41" spans="1:15" s="36" customFormat="1" x14ac:dyDescent="0.25">
      <c r="A41" s="31"/>
      <c r="B41" s="12"/>
      <c r="C41" s="12"/>
      <c r="D41" s="26"/>
      <c r="E41" s="26"/>
      <c r="F41" s="26"/>
      <c r="G41" s="26"/>
      <c r="H41" s="26"/>
      <c r="I41" s="26"/>
      <c r="J41" s="26"/>
      <c r="K41" s="35"/>
    </row>
    <row r="42" spans="1:15" s="4" customFormat="1" ht="11.25" customHeight="1" x14ac:dyDescent="0.2">
      <c r="A42" s="43"/>
      <c r="B42" s="44"/>
      <c r="C42" s="45"/>
      <c r="D42" s="46"/>
      <c r="E42" s="46"/>
      <c r="F42" s="46"/>
      <c r="G42" s="46"/>
      <c r="H42" s="46"/>
      <c r="I42" s="46"/>
      <c r="J42" s="46"/>
      <c r="K42" s="17"/>
    </row>
    <row r="43" spans="1:15" s="4" customFormat="1" ht="14.25" x14ac:dyDescent="0.2">
      <c r="A43" s="147" t="s">
        <v>475</v>
      </c>
      <c r="B43" s="148"/>
      <c r="C43" s="149"/>
      <c r="D43" s="54">
        <f t="shared" ref="D43:I43" si="9">D37+D40</f>
        <v>6598741</v>
      </c>
      <c r="E43" s="54">
        <f t="shared" si="9"/>
        <v>101113192.2</v>
      </c>
      <c r="F43" s="54">
        <f t="shared" si="9"/>
        <v>151800672.34416664</v>
      </c>
      <c r="G43" s="54">
        <f t="shared" si="9"/>
        <v>96295216.611991659</v>
      </c>
      <c r="H43" s="54">
        <f t="shared" si="9"/>
        <v>71499183.450351417</v>
      </c>
      <c r="I43" s="54">
        <f t="shared" si="9"/>
        <v>0</v>
      </c>
      <c r="J43" s="54">
        <v>427307006</v>
      </c>
      <c r="K43" s="17"/>
    </row>
    <row r="44" spans="1:15" s="4" customFormat="1" ht="15.75" customHeight="1" x14ac:dyDescent="0.2">
      <c r="A44" s="43"/>
      <c r="B44" s="44"/>
      <c r="C44" s="45"/>
      <c r="D44" s="46"/>
      <c r="E44" s="46"/>
      <c r="F44" s="46"/>
      <c r="G44" s="46"/>
      <c r="H44" s="46"/>
      <c r="I44" s="46"/>
      <c r="J44" s="46"/>
      <c r="K44" s="17"/>
    </row>
    <row r="45" spans="1:15" s="4" customFormat="1" ht="27.75" customHeight="1" x14ac:dyDescent="0.2">
      <c r="A45" s="13" t="s">
        <v>10</v>
      </c>
      <c r="B45" s="14"/>
      <c r="C45" s="14"/>
      <c r="D45" s="55">
        <f>D43+D30+D26</f>
        <v>6881640.9150861176</v>
      </c>
      <c r="E45" s="55">
        <f t="shared" ref="E45:I45" si="10">E43+E30+E26</f>
        <v>101404500.21268271</v>
      </c>
      <c r="F45" s="55">
        <f t="shared" si="10"/>
        <v>152100640.69737384</v>
      </c>
      <c r="G45" s="55">
        <f t="shared" si="10"/>
        <v>96359810.725025356</v>
      </c>
      <c r="H45" s="55">
        <f t="shared" si="10"/>
        <v>71565686.615024135</v>
      </c>
      <c r="I45" s="55">
        <f t="shared" si="10"/>
        <v>0</v>
      </c>
      <c r="J45" s="55">
        <f>SUM(D45:I45)+1</f>
        <v>428312280.16519219</v>
      </c>
      <c r="K45" s="17"/>
    </row>
    <row r="46" spans="1:15" ht="33.75" customHeight="1" x14ac:dyDescent="0.25">
      <c r="A46" s="143" t="s">
        <v>32</v>
      </c>
      <c r="B46" s="143"/>
      <c r="C46" s="143"/>
      <c r="D46" s="143"/>
      <c r="E46" s="143"/>
      <c r="F46" s="143"/>
      <c r="G46" s="143"/>
      <c r="H46" s="143"/>
      <c r="I46" s="143"/>
      <c r="J46" s="143"/>
    </row>
    <row r="47" spans="1:15" x14ac:dyDescent="0.25">
      <c r="B47" s="5"/>
      <c r="D47" s="6"/>
      <c r="E47" s="6"/>
      <c r="F47" s="6"/>
      <c r="G47" s="6"/>
      <c r="H47" s="6"/>
      <c r="I47" s="6"/>
      <c r="J47" s="7"/>
    </row>
    <row r="48" spans="1:15" x14ac:dyDescent="0.25">
      <c r="B48" s="5"/>
      <c r="D48" s="6"/>
      <c r="E48" s="6"/>
      <c r="F48" s="6"/>
      <c r="G48" s="6"/>
      <c r="H48" s="6"/>
      <c r="I48" s="6"/>
      <c r="J48" s="7"/>
    </row>
    <row r="49" spans="1:11" x14ac:dyDescent="0.25">
      <c r="B49" s="5"/>
      <c r="D49" s="6"/>
      <c r="E49" s="6"/>
      <c r="F49" s="6"/>
      <c r="G49" s="6"/>
      <c r="H49" s="6"/>
      <c r="I49" s="6"/>
    </row>
    <row r="50" spans="1:11" x14ac:dyDescent="0.25">
      <c r="B50" s="5"/>
      <c r="D50" s="6"/>
      <c r="E50" s="6"/>
      <c r="F50" s="6"/>
      <c r="G50" s="6"/>
      <c r="H50" s="6"/>
      <c r="I50" s="6"/>
    </row>
    <row r="51" spans="1:11" x14ac:dyDescent="0.25">
      <c r="D51" s="6"/>
      <c r="E51" s="6"/>
      <c r="F51" s="6"/>
      <c r="G51" s="6"/>
      <c r="H51" s="6"/>
      <c r="I51" s="6"/>
    </row>
    <row r="52" spans="1:11" x14ac:dyDescent="0.25">
      <c r="D52" s="6"/>
      <c r="E52" s="6"/>
      <c r="F52" s="6"/>
      <c r="G52" s="6"/>
      <c r="H52" s="6"/>
      <c r="I52" s="6"/>
    </row>
    <row r="53" spans="1:11" s="8" customFormat="1" x14ac:dyDescent="0.25">
      <c r="A53" s="5"/>
      <c r="B53" s="9"/>
      <c r="C53" s="5"/>
      <c r="D53" s="6"/>
      <c r="E53" s="6"/>
      <c r="F53" s="6"/>
      <c r="G53" s="6"/>
      <c r="H53" s="6"/>
      <c r="I53" s="6"/>
      <c r="K53" s="16"/>
    </row>
    <row r="54" spans="1:11" s="8" customFormat="1" x14ac:dyDescent="0.25">
      <c r="A54" s="5"/>
      <c r="B54" s="9"/>
      <c r="C54" s="5"/>
      <c r="D54" s="6"/>
      <c r="E54" s="6"/>
      <c r="F54" s="6"/>
      <c r="G54" s="6"/>
      <c r="H54" s="6"/>
      <c r="I54" s="6"/>
      <c r="K54" s="16"/>
    </row>
    <row r="55" spans="1:11" s="8" customFormat="1" x14ac:dyDescent="0.25">
      <c r="A55" s="5"/>
      <c r="B55" s="9"/>
      <c r="C55" s="5"/>
      <c r="D55" s="6"/>
      <c r="E55" s="6"/>
      <c r="F55" s="6"/>
      <c r="G55" s="6"/>
      <c r="H55" s="6"/>
      <c r="I55" s="6"/>
      <c r="K55" s="16"/>
    </row>
    <row r="56" spans="1:11" s="8" customFormat="1" x14ac:dyDescent="0.25">
      <c r="A56" s="5"/>
      <c r="B56" s="9"/>
      <c r="C56" s="5"/>
      <c r="D56" s="6"/>
      <c r="E56" s="6"/>
      <c r="F56" s="6"/>
      <c r="G56" s="6"/>
      <c r="H56" s="6"/>
      <c r="I56" s="6"/>
      <c r="K56" s="16"/>
    </row>
    <row r="57" spans="1:11" s="8" customFormat="1" x14ac:dyDescent="0.25">
      <c r="A57" s="5"/>
      <c r="B57" s="9"/>
      <c r="C57" s="5"/>
      <c r="D57" s="6"/>
      <c r="E57" s="6"/>
      <c r="F57" s="6"/>
      <c r="G57" s="6"/>
      <c r="H57" s="6"/>
      <c r="I57" s="6"/>
      <c r="K57" s="16"/>
    </row>
    <row r="58" spans="1:11" s="8" customFormat="1" x14ac:dyDescent="0.25">
      <c r="A58" s="5"/>
      <c r="B58" s="9"/>
      <c r="C58" s="5"/>
      <c r="D58" s="6"/>
      <c r="E58" s="6"/>
      <c r="F58" s="6"/>
      <c r="G58" s="6"/>
      <c r="H58" s="6"/>
      <c r="I58" s="6"/>
      <c r="K58" s="16"/>
    </row>
    <row r="59" spans="1:11" s="8" customFormat="1" x14ac:dyDescent="0.25">
      <c r="A59" s="5"/>
      <c r="B59" s="9"/>
      <c r="C59" s="5"/>
      <c r="D59" s="6"/>
      <c r="E59" s="6"/>
      <c r="F59" s="6"/>
      <c r="G59" s="6"/>
      <c r="H59" s="6"/>
      <c r="I59" s="6"/>
      <c r="K59" s="16"/>
    </row>
    <row r="60" spans="1:11" s="8" customFormat="1" x14ac:dyDescent="0.25">
      <c r="A60" s="5"/>
      <c r="B60" s="9"/>
      <c r="C60" s="5"/>
      <c r="D60" s="6"/>
      <c r="E60" s="6"/>
      <c r="F60" s="6"/>
      <c r="G60" s="6"/>
      <c r="H60" s="6"/>
      <c r="I60" s="6"/>
      <c r="K60" s="16"/>
    </row>
    <row r="61" spans="1:11" s="8" customFormat="1" x14ac:dyDescent="0.25">
      <c r="A61" s="5"/>
      <c r="B61" s="9"/>
      <c r="C61" s="5"/>
      <c r="D61" s="6"/>
      <c r="E61" s="6"/>
      <c r="F61" s="6"/>
      <c r="G61" s="6"/>
      <c r="H61" s="6"/>
      <c r="I61" s="6"/>
      <c r="K61" s="16"/>
    </row>
  </sheetData>
  <mergeCells count="6">
    <mergeCell ref="A46:J46"/>
    <mergeCell ref="A1:J1"/>
    <mergeCell ref="A3:A10"/>
    <mergeCell ref="A16:A19"/>
    <mergeCell ref="A32:J32"/>
    <mergeCell ref="A43:C43"/>
  </mergeCells>
  <printOptions gridLines="1"/>
  <pageMargins left="0.18" right="0.18" top="0.26" bottom="0.36" header="0.53" footer="0.36"/>
  <pageSetup scale="50" orientation="portrait" verticalDpi="52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68"/>
  <sheetViews>
    <sheetView zoomScale="70" zoomScaleNormal="70" zoomScaleSheetLayoutView="100" workbookViewId="0">
      <pane xSplit="1" ySplit="2" topLeftCell="B98" activePane="bottomRight" state="frozen"/>
      <selection pane="topRight" activeCell="B1" sqref="B1"/>
      <selection pane="bottomLeft" activeCell="A3" sqref="A3"/>
      <selection pane="bottomRight" activeCell="M108" sqref="M108"/>
    </sheetView>
  </sheetViews>
  <sheetFormatPr defaultRowHeight="15" x14ac:dyDescent="0.25"/>
  <cols>
    <col min="1" max="1" width="33.28515625" style="5" customWidth="1"/>
    <col min="2" max="2" width="53.28515625" style="9" customWidth="1"/>
    <col min="3" max="3" width="42.28515625" style="5" customWidth="1"/>
    <col min="4" max="8" width="16.28515625" style="5" customWidth="1"/>
    <col min="9" max="9" width="15.5703125" style="5" bestFit="1" customWidth="1"/>
    <col min="10" max="10" width="18" style="8" customWidth="1"/>
    <col min="11" max="11" width="9.140625" style="16"/>
    <col min="12" max="16384" width="9.140625" style="2"/>
  </cols>
  <sheetData>
    <row r="1" spans="1:11" s="1" customFormat="1" ht="37.5" customHeight="1" x14ac:dyDescent="0.2">
      <c r="A1" s="144" t="s">
        <v>35</v>
      </c>
      <c r="B1" s="144"/>
      <c r="C1" s="144"/>
      <c r="D1" s="144"/>
      <c r="E1" s="144"/>
      <c r="F1" s="144"/>
      <c r="G1" s="144"/>
      <c r="H1" s="144"/>
      <c r="I1" s="144"/>
      <c r="J1" s="144"/>
      <c r="K1" s="15"/>
    </row>
    <row r="2" spans="1:11" s="1" customFormat="1" ht="57" x14ac:dyDescent="0.2">
      <c r="A2" s="32" t="s">
        <v>25</v>
      </c>
      <c r="B2" s="32" t="s">
        <v>0</v>
      </c>
      <c r="C2" s="33" t="s">
        <v>1</v>
      </c>
      <c r="D2" s="32" t="s">
        <v>13</v>
      </c>
      <c r="E2" s="32" t="s">
        <v>14</v>
      </c>
      <c r="F2" s="32" t="s">
        <v>15</v>
      </c>
      <c r="G2" s="32" t="s">
        <v>16</v>
      </c>
      <c r="H2" s="32" t="s">
        <v>17</v>
      </c>
      <c r="I2" s="37" t="s">
        <v>18</v>
      </c>
      <c r="J2" s="38" t="s">
        <v>473</v>
      </c>
      <c r="K2" s="15"/>
    </row>
    <row r="3" spans="1:11" s="4" customFormat="1" ht="11.25" customHeight="1" x14ac:dyDescent="0.2">
      <c r="A3" s="43"/>
      <c r="B3" s="44"/>
      <c r="C3" s="45"/>
      <c r="D3" s="46"/>
      <c r="E3" s="46"/>
      <c r="F3" s="46"/>
      <c r="G3" s="46"/>
      <c r="H3" s="46"/>
      <c r="I3" s="46"/>
      <c r="J3" s="46"/>
      <c r="K3" s="17"/>
    </row>
    <row r="4" spans="1:11" ht="33" customHeight="1" x14ac:dyDescent="0.25">
      <c r="A4" s="145" t="s">
        <v>101</v>
      </c>
      <c r="B4" s="145"/>
      <c r="C4" s="145"/>
      <c r="D4" s="145"/>
      <c r="E4" s="145"/>
      <c r="F4" s="145"/>
      <c r="G4" s="145"/>
      <c r="H4" s="145"/>
      <c r="I4" s="145"/>
      <c r="J4" s="145"/>
    </row>
    <row r="5" spans="1:11" s="4" customFormat="1" ht="11.25" customHeight="1" x14ac:dyDescent="0.2">
      <c r="A5" s="43"/>
      <c r="B5" s="44"/>
      <c r="C5" s="45"/>
      <c r="D5" s="46"/>
      <c r="E5" s="46"/>
      <c r="F5" s="46"/>
      <c r="G5" s="46"/>
      <c r="H5" s="46"/>
      <c r="I5" s="46"/>
      <c r="J5" s="46"/>
      <c r="K5" s="17"/>
    </row>
    <row r="6" spans="1:11" s="4" customFormat="1" ht="11.25" customHeight="1" x14ac:dyDescent="0.2">
      <c r="A6" s="50"/>
      <c r="B6" s="56"/>
      <c r="C6" s="30"/>
      <c r="D6" s="54"/>
      <c r="E6" s="54"/>
      <c r="F6" s="54"/>
      <c r="G6" s="54"/>
      <c r="H6" s="54"/>
      <c r="I6" s="54"/>
      <c r="J6" s="54"/>
      <c r="K6" s="17"/>
    </row>
    <row r="7" spans="1:11" s="36" customFormat="1" ht="78.75" customHeight="1" x14ac:dyDescent="0.25">
      <c r="A7" s="151" t="s">
        <v>199</v>
      </c>
      <c r="B7" s="12" t="s">
        <v>480</v>
      </c>
      <c r="C7" s="12" t="s">
        <v>481</v>
      </c>
      <c r="D7" s="67">
        <v>1288139</v>
      </c>
      <c r="E7" s="67">
        <v>986999.24999999988</v>
      </c>
      <c r="F7" s="67">
        <v>904953.92749999999</v>
      </c>
      <c r="G7" s="67">
        <v>902247.94532499998</v>
      </c>
      <c r="H7" s="67">
        <v>897750.78368474985</v>
      </c>
      <c r="I7" s="67">
        <v>0</v>
      </c>
      <c r="J7" s="67">
        <f>SUM(D7:I7)</f>
        <v>4980090.9065097505</v>
      </c>
      <c r="K7" s="35"/>
    </row>
    <row r="8" spans="1:11" s="36" customFormat="1" ht="73.5" customHeight="1" x14ac:dyDescent="0.25">
      <c r="A8" s="151"/>
      <c r="B8" s="152" t="s">
        <v>50</v>
      </c>
      <c r="C8" s="12" t="s">
        <v>200</v>
      </c>
      <c r="D8" s="66"/>
      <c r="E8" s="67">
        <v>8300000</v>
      </c>
      <c r="F8" s="67">
        <v>16600000</v>
      </c>
      <c r="G8" s="67">
        <v>8300000</v>
      </c>
      <c r="H8" s="67"/>
      <c r="I8" s="67"/>
      <c r="J8" s="67">
        <f t="shared" ref="J8:J107" si="0">SUM(D8:I8)</f>
        <v>33200000</v>
      </c>
      <c r="K8" s="35"/>
    </row>
    <row r="9" spans="1:11" s="36" customFormat="1" ht="30.75" customHeight="1" x14ac:dyDescent="0.25">
      <c r="A9" s="151"/>
      <c r="B9" s="152"/>
      <c r="C9" s="62" t="s">
        <v>197</v>
      </c>
      <c r="D9" s="66"/>
      <c r="E9" s="67">
        <v>625000</v>
      </c>
      <c r="F9" s="67">
        <v>625000</v>
      </c>
      <c r="G9" s="67"/>
      <c r="H9" s="67"/>
      <c r="I9" s="67"/>
      <c r="J9" s="67">
        <f t="shared" si="0"/>
        <v>1250000</v>
      </c>
      <c r="K9" s="35"/>
    </row>
    <row r="10" spans="1:11" s="36" customFormat="1" ht="30.75" customHeight="1" x14ac:dyDescent="0.25">
      <c r="A10" s="151"/>
      <c r="B10" s="152"/>
      <c r="C10" s="62" t="s">
        <v>198</v>
      </c>
      <c r="D10" s="66"/>
      <c r="E10" s="67">
        <v>625000</v>
      </c>
      <c r="F10" s="67">
        <v>625000</v>
      </c>
      <c r="G10" s="67"/>
      <c r="H10" s="67"/>
      <c r="I10" s="67"/>
      <c r="J10" s="67">
        <f t="shared" si="0"/>
        <v>1250000</v>
      </c>
      <c r="K10" s="35"/>
    </row>
    <row r="11" spans="1:11" s="36" customFormat="1" ht="30.75" customHeight="1" x14ac:dyDescent="0.25">
      <c r="A11" s="151"/>
      <c r="B11" s="152"/>
      <c r="C11" s="34" t="s">
        <v>482</v>
      </c>
      <c r="D11" s="26"/>
      <c r="E11" s="26"/>
      <c r="F11" s="26"/>
      <c r="G11" s="26"/>
      <c r="H11" s="26"/>
      <c r="I11" s="26"/>
      <c r="J11" s="138">
        <f>SUM(J8:J10)</f>
        <v>35700000</v>
      </c>
      <c r="K11" s="35"/>
    </row>
    <row r="12" spans="1:11" s="36" customFormat="1" ht="30.75" customHeight="1" x14ac:dyDescent="0.25">
      <c r="A12" s="146" t="s">
        <v>201</v>
      </c>
      <c r="B12" s="146"/>
      <c r="C12" s="146"/>
      <c r="D12" s="54">
        <f t="shared" ref="D12:I12" si="1">SUM(D7:D11)</f>
        <v>1288139</v>
      </c>
      <c r="E12" s="54">
        <f t="shared" si="1"/>
        <v>10536999.25</v>
      </c>
      <c r="F12" s="54">
        <f t="shared" si="1"/>
        <v>18754953.927499998</v>
      </c>
      <c r="G12" s="54">
        <f t="shared" si="1"/>
        <v>9202247.9453250002</v>
      </c>
      <c r="H12" s="54">
        <f t="shared" si="1"/>
        <v>897750.78368474985</v>
      </c>
      <c r="I12" s="54">
        <f t="shared" si="1"/>
        <v>0</v>
      </c>
      <c r="J12" s="54">
        <f t="shared" si="0"/>
        <v>40680090.90650975</v>
      </c>
      <c r="K12" s="35"/>
    </row>
    <row r="13" spans="1:11" s="36" customFormat="1" x14ac:dyDescent="0.25">
      <c r="A13" s="31"/>
      <c r="B13" s="12"/>
      <c r="C13" s="12"/>
      <c r="D13" s="26"/>
      <c r="E13" s="26"/>
      <c r="F13" s="26"/>
      <c r="G13" s="26"/>
      <c r="H13" s="26"/>
      <c r="I13" s="26"/>
      <c r="J13" s="26"/>
      <c r="K13" s="35"/>
    </row>
    <row r="14" spans="1:11" s="36" customFormat="1" x14ac:dyDescent="0.25">
      <c r="A14" s="151" t="s">
        <v>202</v>
      </c>
      <c r="B14" s="61" t="s">
        <v>51</v>
      </c>
      <c r="C14" s="62" t="s">
        <v>185</v>
      </c>
      <c r="D14" s="63"/>
      <c r="E14" s="66">
        <v>5000000</v>
      </c>
      <c r="F14" s="66">
        <v>5000000</v>
      </c>
      <c r="G14" s="26"/>
      <c r="H14" s="26"/>
      <c r="I14" s="26"/>
      <c r="J14" s="66">
        <f t="shared" si="0"/>
        <v>10000000</v>
      </c>
      <c r="K14" s="35"/>
    </row>
    <row r="15" spans="1:11" s="36" customFormat="1" x14ac:dyDescent="0.25">
      <c r="A15" s="151"/>
      <c r="B15" s="61" t="s">
        <v>52</v>
      </c>
      <c r="C15" s="62" t="s">
        <v>107</v>
      </c>
      <c r="D15" s="64"/>
      <c r="E15" s="66">
        <v>1000000</v>
      </c>
      <c r="F15" s="66">
        <v>1000000</v>
      </c>
      <c r="G15" s="26"/>
      <c r="H15" s="26"/>
      <c r="I15" s="26"/>
      <c r="J15" s="66">
        <f t="shared" si="0"/>
        <v>2000000</v>
      </c>
      <c r="K15" s="35"/>
    </row>
    <row r="16" spans="1:11" s="36" customFormat="1" x14ac:dyDescent="0.25">
      <c r="A16" s="151"/>
      <c r="B16" s="61" t="s">
        <v>53</v>
      </c>
      <c r="C16" s="62" t="s">
        <v>108</v>
      </c>
      <c r="D16" s="64"/>
      <c r="E16" s="66">
        <v>2250000</v>
      </c>
      <c r="F16" s="66">
        <v>2250000</v>
      </c>
      <c r="G16" s="26"/>
      <c r="H16" s="26"/>
      <c r="I16" s="26"/>
      <c r="J16" s="66">
        <f t="shared" si="0"/>
        <v>4500000</v>
      </c>
      <c r="K16" s="35"/>
    </row>
    <row r="17" spans="1:11" s="36" customFormat="1" x14ac:dyDescent="0.25">
      <c r="A17" s="151"/>
      <c r="B17" s="61" t="s">
        <v>54</v>
      </c>
      <c r="C17" s="62" t="s">
        <v>109</v>
      </c>
      <c r="D17" s="64"/>
      <c r="E17" s="66">
        <v>1062500</v>
      </c>
      <c r="F17" s="66">
        <v>1062500</v>
      </c>
      <c r="G17" s="26"/>
      <c r="H17" s="26"/>
      <c r="I17" s="26"/>
      <c r="J17" s="66">
        <f t="shared" si="0"/>
        <v>2125000</v>
      </c>
      <c r="K17" s="35"/>
    </row>
    <row r="18" spans="1:11" s="36" customFormat="1" x14ac:dyDescent="0.25">
      <c r="A18" s="151"/>
      <c r="B18" s="61" t="s">
        <v>55</v>
      </c>
      <c r="C18" s="62" t="s">
        <v>110</v>
      </c>
      <c r="D18" s="64"/>
      <c r="E18" s="66">
        <v>1600000</v>
      </c>
      <c r="F18" s="66">
        <v>1600000</v>
      </c>
      <c r="G18" s="26"/>
      <c r="H18" s="26"/>
      <c r="I18" s="26"/>
      <c r="J18" s="66">
        <f t="shared" si="0"/>
        <v>3200000</v>
      </c>
      <c r="K18" s="35"/>
    </row>
    <row r="19" spans="1:11" s="36" customFormat="1" x14ac:dyDescent="0.25">
      <c r="A19" s="151"/>
      <c r="B19" s="61" t="s">
        <v>56</v>
      </c>
      <c r="C19" s="62" t="s">
        <v>108</v>
      </c>
      <c r="D19" s="64"/>
      <c r="E19" s="66">
        <v>2400000</v>
      </c>
      <c r="F19" s="66">
        <v>2400000</v>
      </c>
      <c r="G19" s="26"/>
      <c r="H19" s="26"/>
      <c r="I19" s="26"/>
      <c r="J19" s="66">
        <f t="shared" si="0"/>
        <v>4800000</v>
      </c>
      <c r="K19" s="35"/>
    </row>
    <row r="20" spans="1:11" s="36" customFormat="1" x14ac:dyDescent="0.25">
      <c r="A20" s="151"/>
      <c r="B20" s="61" t="s">
        <v>57</v>
      </c>
      <c r="C20" s="62" t="s">
        <v>110</v>
      </c>
      <c r="D20" s="64"/>
      <c r="E20" s="66">
        <v>1650000</v>
      </c>
      <c r="F20" s="66">
        <v>1650000</v>
      </c>
      <c r="G20" s="26"/>
      <c r="H20" s="26"/>
      <c r="I20" s="26"/>
      <c r="J20" s="66">
        <f t="shared" si="0"/>
        <v>3300000</v>
      </c>
      <c r="K20" s="35"/>
    </row>
    <row r="21" spans="1:11" s="36" customFormat="1" x14ac:dyDescent="0.25">
      <c r="A21" s="151"/>
      <c r="B21" s="61" t="s">
        <v>58</v>
      </c>
      <c r="C21" s="62" t="s">
        <v>111</v>
      </c>
      <c r="D21" s="64"/>
      <c r="E21" s="66">
        <v>1625000</v>
      </c>
      <c r="F21" s="66">
        <v>1625000</v>
      </c>
      <c r="G21" s="26"/>
      <c r="H21" s="26"/>
      <c r="I21" s="26"/>
      <c r="J21" s="66">
        <f t="shared" si="0"/>
        <v>3250000</v>
      </c>
      <c r="K21" s="35"/>
    </row>
    <row r="22" spans="1:11" s="36" customFormat="1" ht="25.5" x14ac:dyDescent="0.25">
      <c r="A22" s="151"/>
      <c r="B22" s="61" t="s">
        <v>59</v>
      </c>
      <c r="C22" s="62" t="s">
        <v>112</v>
      </c>
      <c r="D22" s="66">
        <v>54022.5</v>
      </c>
      <c r="E22" s="66">
        <v>54022.5</v>
      </c>
      <c r="F22" s="66"/>
      <c r="G22" s="26"/>
      <c r="H22" s="26"/>
      <c r="I22" s="26"/>
      <c r="J22" s="66">
        <f t="shared" si="0"/>
        <v>108045</v>
      </c>
      <c r="K22" s="35"/>
    </row>
    <row r="23" spans="1:11" s="36" customFormat="1" ht="25.5" x14ac:dyDescent="0.25">
      <c r="A23" s="151"/>
      <c r="B23" s="61" t="s">
        <v>60</v>
      </c>
      <c r="C23" s="62" t="s">
        <v>113</v>
      </c>
      <c r="D23" s="66"/>
      <c r="E23" s="66">
        <v>30000</v>
      </c>
      <c r="F23" s="66">
        <v>30000</v>
      </c>
      <c r="G23" s="26"/>
      <c r="H23" s="26"/>
      <c r="I23" s="26"/>
      <c r="J23" s="66">
        <f t="shared" si="0"/>
        <v>60000</v>
      </c>
      <c r="K23" s="35"/>
    </row>
    <row r="24" spans="1:11" s="36" customFormat="1" x14ac:dyDescent="0.25">
      <c r="A24" s="151"/>
      <c r="B24" s="61" t="s">
        <v>103</v>
      </c>
      <c r="C24" s="62" t="s">
        <v>114</v>
      </c>
      <c r="D24" s="66">
        <v>100000</v>
      </c>
      <c r="E24" s="66">
        <v>100000</v>
      </c>
      <c r="F24" s="66"/>
      <c r="G24" s="26"/>
      <c r="H24" s="26"/>
      <c r="I24" s="26"/>
      <c r="J24" s="66">
        <f t="shared" si="0"/>
        <v>200000</v>
      </c>
      <c r="K24" s="35"/>
    </row>
    <row r="25" spans="1:11" s="36" customFormat="1" x14ac:dyDescent="0.25">
      <c r="A25" s="151"/>
      <c r="B25" s="61" t="s">
        <v>104</v>
      </c>
      <c r="C25" s="62" t="s">
        <v>115</v>
      </c>
      <c r="D25" s="66">
        <v>23860</v>
      </c>
      <c r="E25" s="66">
        <v>23860</v>
      </c>
      <c r="F25" s="66"/>
      <c r="G25" s="26"/>
      <c r="H25" s="26"/>
      <c r="I25" s="26"/>
      <c r="J25" s="66">
        <f t="shared" si="0"/>
        <v>47720</v>
      </c>
      <c r="K25" s="35"/>
    </row>
    <row r="26" spans="1:11" s="36" customFormat="1" x14ac:dyDescent="0.25">
      <c r="A26" s="151"/>
      <c r="B26" s="61" t="s">
        <v>61</v>
      </c>
      <c r="C26" s="62" t="s">
        <v>116</v>
      </c>
      <c r="D26" s="66">
        <v>37500</v>
      </c>
      <c r="E26" s="66">
        <v>37500</v>
      </c>
      <c r="F26" s="66"/>
      <c r="G26" s="26"/>
      <c r="H26" s="26"/>
      <c r="I26" s="26"/>
      <c r="J26" s="66">
        <f t="shared" si="0"/>
        <v>75000</v>
      </c>
      <c r="K26" s="35"/>
    </row>
    <row r="27" spans="1:11" s="36" customFormat="1" x14ac:dyDescent="0.25">
      <c r="A27" s="151"/>
      <c r="B27" s="61" t="s">
        <v>62</v>
      </c>
      <c r="C27" s="62" t="s">
        <v>117</v>
      </c>
      <c r="D27" s="65"/>
      <c r="E27" s="66">
        <v>630000</v>
      </c>
      <c r="F27" s="66">
        <v>630000</v>
      </c>
      <c r="G27" s="26"/>
      <c r="H27" s="26"/>
      <c r="I27" s="26"/>
      <c r="J27" s="66">
        <f t="shared" si="0"/>
        <v>1260000</v>
      </c>
      <c r="K27" s="35"/>
    </row>
    <row r="28" spans="1:11" s="36" customFormat="1" x14ac:dyDescent="0.25">
      <c r="A28" s="151"/>
      <c r="B28" s="61" t="s">
        <v>63</v>
      </c>
      <c r="C28" s="62" t="s">
        <v>117</v>
      </c>
      <c r="D28" s="66">
        <v>5625</v>
      </c>
      <c r="E28" s="66">
        <v>5625</v>
      </c>
      <c r="F28" s="66"/>
      <c r="G28" s="26"/>
      <c r="H28" s="26"/>
      <c r="I28" s="26"/>
      <c r="J28" s="66">
        <f t="shared" si="0"/>
        <v>11250</v>
      </c>
      <c r="K28" s="35"/>
    </row>
    <row r="29" spans="1:11" s="36" customFormat="1" x14ac:dyDescent="0.25">
      <c r="A29" s="151"/>
      <c r="B29" s="61" t="s">
        <v>102</v>
      </c>
      <c r="C29" s="62" t="s">
        <v>117</v>
      </c>
      <c r="D29" s="66">
        <v>2812.5</v>
      </c>
      <c r="E29" s="66">
        <v>2812.5</v>
      </c>
      <c r="F29" s="66"/>
      <c r="G29" s="26"/>
      <c r="H29" s="26"/>
      <c r="I29" s="26"/>
      <c r="J29" s="66">
        <f t="shared" si="0"/>
        <v>5625</v>
      </c>
      <c r="K29" s="35"/>
    </row>
    <row r="30" spans="1:11" s="36" customFormat="1" x14ac:dyDescent="0.25">
      <c r="A30" s="151"/>
      <c r="B30" s="61" t="s">
        <v>105</v>
      </c>
      <c r="C30" s="62" t="s">
        <v>117</v>
      </c>
      <c r="D30" s="66">
        <v>2812.5</v>
      </c>
      <c r="E30" s="66">
        <v>2812.5</v>
      </c>
      <c r="F30" s="66"/>
      <c r="G30" s="26"/>
      <c r="H30" s="26"/>
      <c r="I30" s="26"/>
      <c r="J30" s="66">
        <f t="shared" si="0"/>
        <v>5625</v>
      </c>
      <c r="K30" s="35"/>
    </row>
    <row r="31" spans="1:11" s="36" customFormat="1" x14ac:dyDescent="0.25">
      <c r="A31" s="151"/>
      <c r="B31" s="61" t="s">
        <v>478</v>
      </c>
      <c r="C31" s="62" t="s">
        <v>117</v>
      </c>
      <c r="D31" s="66">
        <v>5625</v>
      </c>
      <c r="E31" s="66">
        <v>5625</v>
      </c>
      <c r="F31" s="66"/>
      <c r="G31" s="26"/>
      <c r="H31" s="26"/>
      <c r="I31" s="26"/>
      <c r="J31" s="66">
        <f t="shared" si="0"/>
        <v>11250</v>
      </c>
      <c r="K31" s="35"/>
    </row>
    <row r="32" spans="1:11" s="36" customFormat="1" x14ac:dyDescent="0.25">
      <c r="A32" s="151"/>
      <c r="B32" s="59" t="s">
        <v>182</v>
      </c>
      <c r="C32" s="60" t="s">
        <v>117</v>
      </c>
      <c r="D32" s="66"/>
      <c r="E32" s="65">
        <v>324281.5</v>
      </c>
      <c r="F32" s="66">
        <v>324281</v>
      </c>
      <c r="G32" s="26"/>
      <c r="H32" s="26"/>
      <c r="I32" s="26"/>
      <c r="J32" s="66">
        <f t="shared" si="0"/>
        <v>648562.5</v>
      </c>
      <c r="K32" s="35"/>
    </row>
    <row r="33" spans="1:11" s="36" customFormat="1" ht="26.25" x14ac:dyDescent="0.25">
      <c r="A33" s="151"/>
      <c r="B33" s="59" t="s">
        <v>183</v>
      </c>
      <c r="C33" s="60" t="s">
        <v>184</v>
      </c>
      <c r="D33" s="65">
        <v>3812.5</v>
      </c>
      <c r="E33" s="65">
        <v>3812.5</v>
      </c>
      <c r="F33" s="66"/>
      <c r="G33" s="26"/>
      <c r="H33" s="26"/>
      <c r="I33" s="26"/>
      <c r="J33" s="66">
        <f t="shared" si="0"/>
        <v>7625</v>
      </c>
      <c r="K33" s="35"/>
    </row>
    <row r="34" spans="1:11" s="36" customFormat="1" x14ac:dyDescent="0.25">
      <c r="A34" s="151"/>
      <c r="B34" s="61" t="s">
        <v>106</v>
      </c>
      <c r="C34" s="62" t="s">
        <v>117</v>
      </c>
      <c r="D34" s="66">
        <v>28000</v>
      </c>
      <c r="E34" s="66">
        <v>28000</v>
      </c>
      <c r="F34" s="66"/>
      <c r="G34" s="26"/>
      <c r="H34" s="26"/>
      <c r="I34" s="26"/>
      <c r="J34" s="66">
        <f t="shared" si="0"/>
        <v>56000</v>
      </c>
      <c r="K34" s="35"/>
    </row>
    <row r="35" spans="1:11" s="36" customFormat="1" x14ac:dyDescent="0.25">
      <c r="A35" s="151"/>
      <c r="B35" s="61" t="s">
        <v>64</v>
      </c>
      <c r="C35" s="62" t="s">
        <v>118</v>
      </c>
      <c r="D35" s="66">
        <v>107000</v>
      </c>
      <c r="E35" s="66">
        <v>107000</v>
      </c>
      <c r="F35" s="66"/>
      <c r="G35" s="26"/>
      <c r="H35" s="26"/>
      <c r="I35" s="26"/>
      <c r="J35" s="66">
        <f t="shared" si="0"/>
        <v>214000</v>
      </c>
      <c r="K35" s="35"/>
    </row>
    <row r="36" spans="1:11" s="36" customFormat="1" ht="25.5" x14ac:dyDescent="0.25">
      <c r="A36" s="151"/>
      <c r="B36" s="61" t="s">
        <v>52</v>
      </c>
      <c r="C36" s="62" t="s">
        <v>119</v>
      </c>
      <c r="D36" s="65"/>
      <c r="E36" s="66">
        <v>5600000</v>
      </c>
      <c r="F36" s="66">
        <v>5600000</v>
      </c>
      <c r="G36" s="66">
        <v>5600000</v>
      </c>
      <c r="H36" s="66">
        <v>5600000</v>
      </c>
      <c r="I36" s="26"/>
      <c r="J36" s="66">
        <f t="shared" si="0"/>
        <v>22400000</v>
      </c>
      <c r="K36" s="35"/>
    </row>
    <row r="37" spans="1:11" s="36" customFormat="1" ht="25.5" x14ac:dyDescent="0.25">
      <c r="A37" s="151"/>
      <c r="B37" s="61" t="s">
        <v>52</v>
      </c>
      <c r="C37" s="62" t="s">
        <v>120</v>
      </c>
      <c r="D37" s="65"/>
      <c r="E37" s="66">
        <v>1400000</v>
      </c>
      <c r="F37" s="66">
        <v>1400000</v>
      </c>
      <c r="G37" s="66">
        <v>1400000</v>
      </c>
      <c r="H37" s="26"/>
      <c r="I37" s="26"/>
      <c r="J37" s="66">
        <f t="shared" si="0"/>
        <v>4200000</v>
      </c>
      <c r="K37" s="35"/>
    </row>
    <row r="38" spans="1:11" s="36" customFormat="1" ht="38.25" x14ac:dyDescent="0.25">
      <c r="A38" s="151"/>
      <c r="B38" s="61" t="s">
        <v>65</v>
      </c>
      <c r="C38" s="62" t="s">
        <v>121</v>
      </c>
      <c r="D38" s="65"/>
      <c r="E38" s="66">
        <v>300000</v>
      </c>
      <c r="F38" s="66">
        <v>300000</v>
      </c>
      <c r="G38" s="26"/>
      <c r="H38" s="26"/>
      <c r="I38" s="26"/>
      <c r="J38" s="66">
        <f t="shared" si="0"/>
        <v>600000</v>
      </c>
      <c r="K38" s="35"/>
    </row>
    <row r="39" spans="1:11" s="36" customFormat="1" ht="34.5" customHeight="1" x14ac:dyDescent="0.25">
      <c r="A39" s="151"/>
      <c r="B39" s="61" t="s">
        <v>66</v>
      </c>
      <c r="C39" s="62" t="s">
        <v>122</v>
      </c>
      <c r="D39" s="65"/>
      <c r="E39" s="66">
        <v>2700000</v>
      </c>
      <c r="F39" s="66">
        <v>2700000</v>
      </c>
      <c r="G39" s="26"/>
      <c r="H39" s="26"/>
      <c r="I39" s="26"/>
      <c r="J39" s="66">
        <f t="shared" si="0"/>
        <v>5400000</v>
      </c>
      <c r="K39" s="35"/>
    </row>
    <row r="40" spans="1:11" s="36" customFormat="1" ht="38.25" x14ac:dyDescent="0.25">
      <c r="A40" s="151"/>
      <c r="B40" s="61" t="s">
        <v>67</v>
      </c>
      <c r="C40" s="62" t="s">
        <v>123</v>
      </c>
      <c r="D40" s="65"/>
      <c r="E40" s="66">
        <v>1800000</v>
      </c>
      <c r="F40" s="66">
        <v>1800000</v>
      </c>
      <c r="G40" s="26"/>
      <c r="H40" s="26"/>
      <c r="I40" s="26"/>
      <c r="J40" s="66">
        <f t="shared" si="0"/>
        <v>3600000</v>
      </c>
      <c r="K40" s="35"/>
    </row>
    <row r="41" spans="1:11" s="36" customFormat="1" ht="25.5" x14ac:dyDescent="0.25">
      <c r="A41" s="151"/>
      <c r="B41" s="61" t="s">
        <v>68</v>
      </c>
      <c r="C41" s="62" t="s">
        <v>124</v>
      </c>
      <c r="D41" s="65"/>
      <c r="E41" s="66">
        <v>131000</v>
      </c>
      <c r="F41" s="66">
        <v>131000</v>
      </c>
      <c r="G41" s="26"/>
      <c r="H41" s="26"/>
      <c r="I41" s="26"/>
      <c r="J41" s="66">
        <f t="shared" si="0"/>
        <v>262000</v>
      </c>
      <c r="K41" s="35"/>
    </row>
    <row r="42" spans="1:11" s="36" customFormat="1" x14ac:dyDescent="0.25">
      <c r="A42" s="151"/>
      <c r="B42" s="61" t="s">
        <v>69</v>
      </c>
      <c r="C42" s="62" t="s">
        <v>125</v>
      </c>
      <c r="D42" s="65"/>
      <c r="E42" s="66">
        <v>11875000</v>
      </c>
      <c r="F42" s="66">
        <v>11875000</v>
      </c>
      <c r="G42" s="66">
        <v>11875000</v>
      </c>
      <c r="H42" s="66">
        <v>11875000</v>
      </c>
      <c r="I42" s="26"/>
      <c r="J42" s="66">
        <f t="shared" si="0"/>
        <v>47500000</v>
      </c>
      <c r="K42" s="35"/>
    </row>
    <row r="43" spans="1:11" s="36" customFormat="1" ht="25.5" x14ac:dyDescent="0.25">
      <c r="A43" s="151"/>
      <c r="B43" s="61" t="s">
        <v>67</v>
      </c>
      <c r="C43" s="62" t="s">
        <v>126</v>
      </c>
      <c r="D43" s="66">
        <v>40000</v>
      </c>
      <c r="E43" s="66">
        <v>40000</v>
      </c>
      <c r="F43" s="66"/>
      <c r="G43" s="26"/>
      <c r="H43" s="26"/>
      <c r="I43" s="26"/>
      <c r="J43" s="66">
        <f t="shared" si="0"/>
        <v>80000</v>
      </c>
      <c r="K43" s="35"/>
    </row>
    <row r="44" spans="1:11" s="36" customFormat="1" ht="25.5" x14ac:dyDescent="0.25">
      <c r="A44" s="151"/>
      <c r="B44" s="61" t="s">
        <v>70</v>
      </c>
      <c r="C44" s="62" t="s">
        <v>127</v>
      </c>
      <c r="D44" s="65"/>
      <c r="E44" s="66">
        <v>235000</v>
      </c>
      <c r="F44" s="66">
        <v>235000</v>
      </c>
      <c r="G44" s="26"/>
      <c r="H44" s="26"/>
      <c r="I44" s="26"/>
      <c r="J44" s="66">
        <f t="shared" si="0"/>
        <v>470000</v>
      </c>
      <c r="K44" s="35"/>
    </row>
    <row r="45" spans="1:11" s="36" customFormat="1" x14ac:dyDescent="0.25">
      <c r="A45" s="151"/>
      <c r="B45" s="61" t="s">
        <v>71</v>
      </c>
      <c r="C45" s="62" t="s">
        <v>128</v>
      </c>
      <c r="D45" s="65">
        <v>135000</v>
      </c>
      <c r="E45" s="65">
        <v>135000</v>
      </c>
      <c r="F45" s="65">
        <v>135000</v>
      </c>
      <c r="G45" s="65">
        <v>135000</v>
      </c>
      <c r="H45" s="65">
        <v>135000</v>
      </c>
      <c r="I45" s="26"/>
      <c r="J45" s="66">
        <f t="shared" si="0"/>
        <v>675000</v>
      </c>
      <c r="K45" s="35"/>
    </row>
    <row r="46" spans="1:11" s="36" customFormat="1" x14ac:dyDescent="0.25">
      <c r="A46" s="151"/>
      <c r="B46" s="61" t="s">
        <v>72</v>
      </c>
      <c r="C46" s="62" t="s">
        <v>129</v>
      </c>
      <c r="D46" s="66">
        <v>64475</v>
      </c>
      <c r="E46" s="66">
        <v>64475</v>
      </c>
      <c r="F46" s="66"/>
      <c r="G46" s="26"/>
      <c r="H46" s="26"/>
      <c r="I46" s="26"/>
      <c r="J46" s="66">
        <f t="shared" si="0"/>
        <v>128950</v>
      </c>
      <c r="K46" s="35"/>
    </row>
    <row r="47" spans="1:11" s="36" customFormat="1" x14ac:dyDescent="0.25">
      <c r="A47" s="151"/>
      <c r="B47" s="61" t="s">
        <v>73</v>
      </c>
      <c r="C47" s="62" t="s">
        <v>130</v>
      </c>
      <c r="D47" s="65">
        <v>48525</v>
      </c>
      <c r="E47" s="65">
        <v>48525</v>
      </c>
      <c r="F47" s="65">
        <v>48525</v>
      </c>
      <c r="G47" s="26"/>
      <c r="H47" s="26"/>
      <c r="I47" s="26"/>
      <c r="J47" s="66">
        <f t="shared" si="0"/>
        <v>145575</v>
      </c>
      <c r="K47" s="35"/>
    </row>
    <row r="48" spans="1:11" s="36" customFormat="1" x14ac:dyDescent="0.25">
      <c r="A48" s="151"/>
      <c r="B48" s="61" t="s">
        <v>61</v>
      </c>
      <c r="C48" s="62" t="s">
        <v>131</v>
      </c>
      <c r="D48" s="66">
        <v>1800</v>
      </c>
      <c r="E48" s="66">
        <v>1800</v>
      </c>
      <c r="F48" s="66"/>
      <c r="G48" s="26"/>
      <c r="H48" s="26"/>
      <c r="I48" s="26"/>
      <c r="J48" s="66">
        <f t="shared" si="0"/>
        <v>3600</v>
      </c>
      <c r="K48" s="35"/>
    </row>
    <row r="49" spans="1:11" s="36" customFormat="1" x14ac:dyDescent="0.25">
      <c r="A49" s="151"/>
      <c r="B49" s="61" t="s">
        <v>62</v>
      </c>
      <c r="C49" s="62" t="s">
        <v>132</v>
      </c>
      <c r="D49" s="66">
        <v>135000</v>
      </c>
      <c r="E49" s="66">
        <v>135000</v>
      </c>
      <c r="F49" s="66"/>
      <c r="G49" s="26"/>
      <c r="H49" s="26"/>
      <c r="I49" s="26"/>
      <c r="J49" s="66">
        <f t="shared" si="0"/>
        <v>270000</v>
      </c>
      <c r="K49" s="35"/>
    </row>
    <row r="50" spans="1:11" s="36" customFormat="1" x14ac:dyDescent="0.25">
      <c r="A50" s="151"/>
      <c r="B50" s="61" t="s">
        <v>74</v>
      </c>
      <c r="C50" s="62" t="s">
        <v>133</v>
      </c>
      <c r="D50" s="66">
        <v>27000</v>
      </c>
      <c r="E50" s="66">
        <v>27000</v>
      </c>
      <c r="F50" s="66"/>
      <c r="G50" s="26"/>
      <c r="H50" s="26"/>
      <c r="I50" s="26"/>
      <c r="J50" s="66">
        <f t="shared" si="0"/>
        <v>54000</v>
      </c>
      <c r="K50" s="35"/>
    </row>
    <row r="51" spans="1:11" s="36" customFormat="1" x14ac:dyDescent="0.25">
      <c r="A51" s="151"/>
      <c r="B51" s="61" t="s">
        <v>75</v>
      </c>
      <c r="C51" s="62" t="s">
        <v>134</v>
      </c>
      <c r="D51" s="66">
        <v>5000</v>
      </c>
      <c r="E51" s="66">
        <v>5000</v>
      </c>
      <c r="F51" s="66"/>
      <c r="G51" s="26"/>
      <c r="H51" s="26"/>
      <c r="I51" s="26"/>
      <c r="J51" s="66">
        <f t="shared" si="0"/>
        <v>10000</v>
      </c>
      <c r="K51" s="35"/>
    </row>
    <row r="52" spans="1:11" s="36" customFormat="1" x14ac:dyDescent="0.25">
      <c r="A52" s="151"/>
      <c r="B52" s="61" t="s">
        <v>105</v>
      </c>
      <c r="C52" s="62" t="s">
        <v>135</v>
      </c>
      <c r="D52" s="66">
        <v>4050</v>
      </c>
      <c r="E52" s="66">
        <v>4050</v>
      </c>
      <c r="F52" s="66"/>
      <c r="G52" s="26"/>
      <c r="H52" s="26"/>
      <c r="I52" s="26"/>
      <c r="J52" s="66">
        <f t="shared" si="0"/>
        <v>8100</v>
      </c>
      <c r="K52" s="35"/>
    </row>
    <row r="53" spans="1:11" s="36" customFormat="1" x14ac:dyDescent="0.25">
      <c r="A53" s="151"/>
      <c r="B53" s="61" t="s">
        <v>76</v>
      </c>
      <c r="C53" s="62" t="s">
        <v>136</v>
      </c>
      <c r="D53" s="65"/>
      <c r="E53" s="66">
        <v>1750000</v>
      </c>
      <c r="F53" s="66">
        <v>3500000</v>
      </c>
      <c r="G53" s="66">
        <v>1750000</v>
      </c>
      <c r="H53" s="26"/>
      <c r="I53" s="26"/>
      <c r="J53" s="66">
        <f t="shared" si="0"/>
        <v>7000000</v>
      </c>
      <c r="K53" s="35"/>
    </row>
    <row r="54" spans="1:11" s="36" customFormat="1" x14ac:dyDescent="0.25">
      <c r="A54" s="151"/>
      <c r="B54" s="61" t="s">
        <v>58</v>
      </c>
      <c r="C54" s="62" t="s">
        <v>137</v>
      </c>
      <c r="D54" s="66">
        <v>25000</v>
      </c>
      <c r="E54" s="66">
        <v>50000</v>
      </c>
      <c r="F54" s="66">
        <v>25000</v>
      </c>
      <c r="G54" s="26"/>
      <c r="H54" s="26"/>
      <c r="I54" s="26"/>
      <c r="J54" s="66">
        <f t="shared" si="0"/>
        <v>100000</v>
      </c>
      <c r="K54" s="35"/>
    </row>
    <row r="55" spans="1:11" s="36" customFormat="1" x14ac:dyDescent="0.25">
      <c r="A55" s="151"/>
      <c r="B55" s="61" t="s">
        <v>77</v>
      </c>
      <c r="C55" s="62" t="s">
        <v>176</v>
      </c>
      <c r="D55" s="66">
        <v>22500</v>
      </c>
      <c r="E55" s="66">
        <v>22500</v>
      </c>
      <c r="F55" s="66"/>
      <c r="G55" s="26"/>
      <c r="H55" s="26"/>
      <c r="I55" s="26"/>
      <c r="J55" s="66">
        <f t="shared" si="0"/>
        <v>45000</v>
      </c>
      <c r="K55" s="35"/>
    </row>
    <row r="56" spans="1:11" s="36" customFormat="1" x14ac:dyDescent="0.25">
      <c r="A56" s="151"/>
      <c r="B56" s="62" t="s">
        <v>78</v>
      </c>
      <c r="C56" s="62" t="s">
        <v>138</v>
      </c>
      <c r="D56" s="66">
        <v>1625</v>
      </c>
      <c r="E56" s="66">
        <v>1625</v>
      </c>
      <c r="F56" s="66"/>
      <c r="G56" s="26"/>
      <c r="H56" s="26"/>
      <c r="I56" s="26"/>
      <c r="J56" s="66">
        <f t="shared" si="0"/>
        <v>3250</v>
      </c>
      <c r="K56" s="35"/>
    </row>
    <row r="57" spans="1:11" s="36" customFormat="1" ht="25.5" x14ac:dyDescent="0.25">
      <c r="A57" s="151"/>
      <c r="B57" s="61" t="s">
        <v>79</v>
      </c>
      <c r="C57" s="62" t="s">
        <v>177</v>
      </c>
      <c r="D57" s="65"/>
      <c r="E57" s="66">
        <v>1625000</v>
      </c>
      <c r="F57" s="66">
        <v>3250000</v>
      </c>
      <c r="G57" s="66">
        <v>1625000</v>
      </c>
      <c r="H57" s="26"/>
      <c r="I57" s="26"/>
      <c r="J57" s="66">
        <f t="shared" si="0"/>
        <v>6500000</v>
      </c>
      <c r="K57" s="35"/>
    </row>
    <row r="58" spans="1:11" s="36" customFormat="1" ht="38.25" x14ac:dyDescent="0.25">
      <c r="A58" s="151"/>
      <c r="B58" s="61" t="s">
        <v>80</v>
      </c>
      <c r="C58" s="62" t="s">
        <v>139</v>
      </c>
      <c r="D58" s="65"/>
      <c r="E58" s="66">
        <v>1000000</v>
      </c>
      <c r="F58" s="66">
        <v>2000000</v>
      </c>
      <c r="G58" s="66">
        <v>1000000</v>
      </c>
      <c r="H58" s="26"/>
      <c r="I58" s="26"/>
      <c r="J58" s="66">
        <f t="shared" si="0"/>
        <v>4000000</v>
      </c>
      <c r="K58" s="35"/>
    </row>
    <row r="59" spans="1:11" s="36" customFormat="1" ht="25.5" x14ac:dyDescent="0.25">
      <c r="A59" s="151"/>
      <c r="B59" s="61" t="s">
        <v>81</v>
      </c>
      <c r="C59" s="62" t="s">
        <v>140</v>
      </c>
      <c r="D59" s="65"/>
      <c r="E59" s="66">
        <v>750000</v>
      </c>
      <c r="F59" s="66">
        <v>750000</v>
      </c>
      <c r="G59" s="26"/>
      <c r="H59" s="26"/>
      <c r="I59" s="26"/>
      <c r="J59" s="66">
        <f t="shared" si="0"/>
        <v>1500000</v>
      </c>
      <c r="K59" s="35"/>
    </row>
    <row r="60" spans="1:11" s="36" customFormat="1" ht="63.75" x14ac:dyDescent="0.25">
      <c r="A60" s="151"/>
      <c r="B60" s="61" t="s">
        <v>81</v>
      </c>
      <c r="C60" s="62" t="s">
        <v>141</v>
      </c>
      <c r="D60" s="66">
        <v>90000</v>
      </c>
      <c r="E60" s="66">
        <v>90000</v>
      </c>
      <c r="F60" s="66"/>
      <c r="G60" s="26"/>
      <c r="H60" s="26"/>
      <c r="I60" s="26"/>
      <c r="J60" s="66">
        <f t="shared" si="0"/>
        <v>180000</v>
      </c>
      <c r="K60" s="35"/>
    </row>
    <row r="61" spans="1:11" s="36" customFormat="1" x14ac:dyDescent="0.25">
      <c r="A61" s="151"/>
      <c r="B61" s="61" t="s">
        <v>104</v>
      </c>
      <c r="C61" s="62" t="s">
        <v>142</v>
      </c>
      <c r="D61" s="66">
        <v>5100</v>
      </c>
      <c r="E61" s="66">
        <v>5100</v>
      </c>
      <c r="F61" s="66"/>
      <c r="G61" s="26"/>
      <c r="H61" s="26"/>
      <c r="I61" s="26"/>
      <c r="J61" s="66">
        <f t="shared" si="0"/>
        <v>10200</v>
      </c>
      <c r="K61" s="35"/>
    </row>
    <row r="62" spans="1:11" s="36" customFormat="1" x14ac:dyDescent="0.25">
      <c r="A62" s="151"/>
      <c r="B62" s="61" t="s">
        <v>73</v>
      </c>
      <c r="C62" s="62" t="s">
        <v>143</v>
      </c>
      <c r="D62" s="65"/>
      <c r="E62" s="66">
        <v>750000</v>
      </c>
      <c r="F62" s="66">
        <v>750000</v>
      </c>
      <c r="G62" s="26"/>
      <c r="H62" s="26"/>
      <c r="I62" s="26"/>
      <c r="J62" s="66">
        <f t="shared" si="0"/>
        <v>1500000</v>
      </c>
      <c r="K62" s="35"/>
    </row>
    <row r="63" spans="1:11" s="36" customFormat="1" ht="38.25" x14ac:dyDescent="0.25">
      <c r="A63" s="151"/>
      <c r="B63" s="61" t="s">
        <v>55</v>
      </c>
      <c r="C63" s="62" t="s">
        <v>144</v>
      </c>
      <c r="D63" s="66">
        <v>20295</v>
      </c>
      <c r="E63" s="66">
        <v>20295</v>
      </c>
      <c r="F63" s="66"/>
      <c r="G63" s="26"/>
      <c r="H63" s="26"/>
      <c r="I63" s="26"/>
      <c r="J63" s="66">
        <f t="shared" si="0"/>
        <v>40590</v>
      </c>
      <c r="K63" s="35"/>
    </row>
    <row r="64" spans="1:11" s="36" customFormat="1" x14ac:dyDescent="0.25">
      <c r="A64" s="151"/>
      <c r="B64" s="61" t="s">
        <v>73</v>
      </c>
      <c r="C64" s="62" t="s">
        <v>145</v>
      </c>
      <c r="D64" s="66">
        <v>315000</v>
      </c>
      <c r="E64" s="66">
        <v>315000</v>
      </c>
      <c r="F64" s="66"/>
      <c r="G64" s="26"/>
      <c r="H64" s="26"/>
      <c r="I64" s="26"/>
      <c r="J64" s="66">
        <f t="shared" si="0"/>
        <v>630000</v>
      </c>
      <c r="K64" s="35"/>
    </row>
    <row r="65" spans="1:11" s="36" customFormat="1" x14ac:dyDescent="0.25">
      <c r="A65" s="151"/>
      <c r="B65" s="61" t="s">
        <v>82</v>
      </c>
      <c r="C65" s="62" t="s">
        <v>146</v>
      </c>
      <c r="D65" s="65"/>
      <c r="E65" s="66">
        <v>130000</v>
      </c>
      <c r="F65" s="66">
        <v>130000</v>
      </c>
      <c r="G65" s="26"/>
      <c r="H65" s="26"/>
      <c r="I65" s="26"/>
      <c r="J65" s="66">
        <f t="shared" si="0"/>
        <v>260000</v>
      </c>
      <c r="K65" s="35"/>
    </row>
    <row r="66" spans="1:11" s="36" customFormat="1" x14ac:dyDescent="0.25">
      <c r="A66" s="151"/>
      <c r="B66" s="61" t="s">
        <v>54</v>
      </c>
      <c r="C66" s="62" t="s">
        <v>147</v>
      </c>
      <c r="D66" s="65"/>
      <c r="E66" s="66">
        <v>87500</v>
      </c>
      <c r="F66" s="66">
        <v>87500</v>
      </c>
      <c r="G66" s="26"/>
      <c r="H66" s="26"/>
      <c r="I66" s="26"/>
      <c r="J66" s="66">
        <f t="shared" si="0"/>
        <v>175000</v>
      </c>
      <c r="K66" s="35"/>
    </row>
    <row r="67" spans="1:11" s="36" customFormat="1" ht="25.5" x14ac:dyDescent="0.25">
      <c r="A67" s="151"/>
      <c r="B67" s="61" t="s">
        <v>83</v>
      </c>
      <c r="C67" s="62" t="s">
        <v>148</v>
      </c>
      <c r="D67" s="65"/>
      <c r="E67" s="66">
        <v>375000</v>
      </c>
      <c r="F67" s="66">
        <v>375000</v>
      </c>
      <c r="G67" s="26"/>
      <c r="H67" s="26"/>
      <c r="I67" s="26"/>
      <c r="J67" s="66">
        <f t="shared" si="0"/>
        <v>750000</v>
      </c>
      <c r="K67" s="35"/>
    </row>
    <row r="68" spans="1:11" s="36" customFormat="1" ht="51" x14ac:dyDescent="0.25">
      <c r="A68" s="151"/>
      <c r="B68" s="61" t="s">
        <v>83</v>
      </c>
      <c r="C68" s="62" t="s">
        <v>149</v>
      </c>
      <c r="D68" s="65"/>
      <c r="E68" s="66">
        <v>1875000</v>
      </c>
      <c r="F68" s="66">
        <v>1875000</v>
      </c>
      <c r="G68" s="26"/>
      <c r="H68" s="26"/>
      <c r="I68" s="26"/>
      <c r="J68" s="66">
        <f t="shared" si="0"/>
        <v>3750000</v>
      </c>
      <c r="K68" s="35"/>
    </row>
    <row r="69" spans="1:11" s="36" customFormat="1" ht="25.5" x14ac:dyDescent="0.25">
      <c r="A69" s="151"/>
      <c r="B69" s="61" t="s">
        <v>83</v>
      </c>
      <c r="C69" s="62" t="s">
        <v>150</v>
      </c>
      <c r="D69" s="65"/>
      <c r="E69" s="66">
        <v>937500</v>
      </c>
      <c r="F69" s="66">
        <v>937500</v>
      </c>
      <c r="G69" s="26"/>
      <c r="H69" s="26"/>
      <c r="I69" s="26"/>
      <c r="J69" s="66">
        <f t="shared" si="0"/>
        <v>1875000</v>
      </c>
      <c r="K69" s="35"/>
    </row>
    <row r="70" spans="1:11" s="36" customFormat="1" ht="89.25" x14ac:dyDescent="0.25">
      <c r="A70" s="151"/>
      <c r="B70" s="61" t="s">
        <v>51</v>
      </c>
      <c r="C70" s="62" t="s">
        <v>151</v>
      </c>
      <c r="D70" s="65"/>
      <c r="E70" s="66">
        <v>125000</v>
      </c>
      <c r="F70" s="66">
        <v>125000</v>
      </c>
      <c r="G70" s="26"/>
      <c r="H70" s="26"/>
      <c r="I70" s="26"/>
      <c r="J70" s="66">
        <f t="shared" si="0"/>
        <v>250000</v>
      </c>
      <c r="K70" s="35"/>
    </row>
    <row r="71" spans="1:11" s="36" customFormat="1" x14ac:dyDescent="0.25">
      <c r="A71" s="151"/>
      <c r="B71" s="61" t="s">
        <v>54</v>
      </c>
      <c r="C71" s="62" t="s">
        <v>152</v>
      </c>
      <c r="D71" s="65"/>
      <c r="E71" s="66">
        <v>150000</v>
      </c>
      <c r="F71" s="66">
        <v>150000</v>
      </c>
      <c r="G71" s="26"/>
      <c r="H71" s="26"/>
      <c r="I71" s="26"/>
      <c r="J71" s="66">
        <f t="shared" si="0"/>
        <v>300000</v>
      </c>
      <c r="K71" s="35"/>
    </row>
    <row r="72" spans="1:11" s="36" customFormat="1" ht="38.25" x14ac:dyDescent="0.25">
      <c r="A72" s="151"/>
      <c r="B72" s="61" t="s">
        <v>51</v>
      </c>
      <c r="C72" s="62" t="s">
        <v>153</v>
      </c>
      <c r="D72" s="65">
        <v>647500</v>
      </c>
      <c r="E72" s="66">
        <v>1295000</v>
      </c>
      <c r="F72" s="66">
        <v>647500</v>
      </c>
      <c r="G72" s="26"/>
      <c r="H72" s="26"/>
      <c r="I72" s="26"/>
      <c r="J72" s="66">
        <f t="shared" si="0"/>
        <v>2590000</v>
      </c>
      <c r="K72" s="35"/>
    </row>
    <row r="73" spans="1:11" s="36" customFormat="1" x14ac:dyDescent="0.25">
      <c r="A73" s="151"/>
      <c r="B73" s="61" t="s">
        <v>51</v>
      </c>
      <c r="C73" s="62" t="s">
        <v>154</v>
      </c>
      <c r="D73" s="66"/>
      <c r="E73" s="66">
        <v>1750000</v>
      </c>
      <c r="F73" s="66"/>
      <c r="G73" s="26"/>
      <c r="H73" s="26"/>
      <c r="I73" s="26"/>
      <c r="J73" s="66">
        <f t="shared" si="0"/>
        <v>1750000</v>
      </c>
      <c r="K73" s="35"/>
    </row>
    <row r="74" spans="1:11" s="36" customFormat="1" ht="38.25" x14ac:dyDescent="0.25">
      <c r="A74" s="151"/>
      <c r="B74" s="61" t="s">
        <v>84</v>
      </c>
      <c r="C74" s="62" t="s">
        <v>155</v>
      </c>
      <c r="D74" s="65"/>
      <c r="E74" s="66">
        <v>756000</v>
      </c>
      <c r="F74" s="66"/>
      <c r="G74" s="26"/>
      <c r="H74" s="26"/>
      <c r="I74" s="26"/>
      <c r="J74" s="66">
        <f t="shared" si="0"/>
        <v>756000</v>
      </c>
      <c r="K74" s="35"/>
    </row>
    <row r="75" spans="1:11" s="36" customFormat="1" ht="25.5" x14ac:dyDescent="0.25">
      <c r="A75" s="151"/>
      <c r="B75" s="61" t="s">
        <v>85</v>
      </c>
      <c r="C75" s="62" t="s">
        <v>181</v>
      </c>
      <c r="D75" s="65"/>
      <c r="E75" s="66">
        <v>252000</v>
      </c>
      <c r="F75" s="66"/>
      <c r="G75" s="26"/>
      <c r="H75" s="26"/>
      <c r="I75" s="26"/>
      <c r="J75" s="66">
        <f t="shared" si="0"/>
        <v>252000</v>
      </c>
      <c r="K75" s="35"/>
    </row>
    <row r="76" spans="1:11" s="36" customFormat="1" ht="38.25" x14ac:dyDescent="0.25">
      <c r="A76" s="151"/>
      <c r="B76" s="61" t="s">
        <v>73</v>
      </c>
      <c r="C76" s="62" t="s">
        <v>156</v>
      </c>
      <c r="D76" s="65"/>
      <c r="E76" s="66">
        <v>130000</v>
      </c>
      <c r="F76" s="66"/>
      <c r="G76" s="26"/>
      <c r="H76" s="26"/>
      <c r="I76" s="26"/>
      <c r="J76" s="66">
        <f t="shared" si="0"/>
        <v>130000</v>
      </c>
      <c r="K76" s="35"/>
    </row>
    <row r="77" spans="1:11" s="36" customFormat="1" ht="25.5" x14ac:dyDescent="0.25">
      <c r="A77" s="151"/>
      <c r="B77" s="61" t="s">
        <v>86</v>
      </c>
      <c r="C77" s="62" t="s">
        <v>157</v>
      </c>
      <c r="D77" s="65"/>
      <c r="E77" s="66">
        <v>96000</v>
      </c>
      <c r="F77" s="66"/>
      <c r="G77" s="26"/>
      <c r="H77" s="26"/>
      <c r="I77" s="26"/>
      <c r="J77" s="66">
        <f t="shared" si="0"/>
        <v>96000</v>
      </c>
      <c r="K77" s="35"/>
    </row>
    <row r="78" spans="1:11" s="36" customFormat="1" x14ac:dyDescent="0.25">
      <c r="A78" s="151"/>
      <c r="B78" s="61" t="s">
        <v>87</v>
      </c>
      <c r="C78" s="62" t="s">
        <v>158</v>
      </c>
      <c r="D78" s="65"/>
      <c r="E78" s="66">
        <v>38680</v>
      </c>
      <c r="F78" s="66"/>
      <c r="G78" s="26"/>
      <c r="H78" s="26"/>
      <c r="I78" s="26"/>
      <c r="J78" s="66">
        <f t="shared" si="0"/>
        <v>38680</v>
      </c>
      <c r="K78" s="35"/>
    </row>
    <row r="79" spans="1:11" s="36" customFormat="1" x14ac:dyDescent="0.25">
      <c r="A79" s="151"/>
      <c r="B79" s="61" t="s">
        <v>88</v>
      </c>
      <c r="C79" s="62" t="s">
        <v>159</v>
      </c>
      <c r="D79" s="65"/>
      <c r="E79" s="66">
        <v>160000</v>
      </c>
      <c r="F79" s="66"/>
      <c r="G79" s="26"/>
      <c r="H79" s="26"/>
      <c r="I79" s="26"/>
      <c r="J79" s="66">
        <f t="shared" si="0"/>
        <v>160000</v>
      </c>
      <c r="K79" s="35"/>
    </row>
    <row r="80" spans="1:11" s="36" customFormat="1" x14ac:dyDescent="0.25">
      <c r="A80" s="151"/>
      <c r="B80" s="61" t="s">
        <v>61</v>
      </c>
      <c r="C80" s="62" t="s">
        <v>160</v>
      </c>
      <c r="D80" s="65"/>
      <c r="E80" s="66">
        <v>245332</v>
      </c>
      <c r="F80" s="66"/>
      <c r="G80" s="26"/>
      <c r="H80" s="26"/>
      <c r="I80" s="26"/>
      <c r="J80" s="66">
        <f t="shared" si="0"/>
        <v>245332</v>
      </c>
      <c r="K80" s="35"/>
    </row>
    <row r="81" spans="1:11" s="36" customFormat="1" x14ac:dyDescent="0.25">
      <c r="A81" s="151"/>
      <c r="B81" s="61" t="s">
        <v>89</v>
      </c>
      <c r="C81" s="62" t="s">
        <v>161</v>
      </c>
      <c r="D81" s="65"/>
      <c r="E81" s="66">
        <v>1200000</v>
      </c>
      <c r="F81" s="66"/>
      <c r="G81" s="26"/>
      <c r="H81" s="26"/>
      <c r="I81" s="26"/>
      <c r="J81" s="66">
        <f t="shared" si="0"/>
        <v>1200000</v>
      </c>
      <c r="K81" s="35"/>
    </row>
    <row r="82" spans="1:11" s="36" customFormat="1" x14ac:dyDescent="0.25">
      <c r="A82" s="151"/>
      <c r="B82" s="61" t="s">
        <v>90</v>
      </c>
      <c r="C82" s="62" t="s">
        <v>162</v>
      </c>
      <c r="D82" s="65"/>
      <c r="E82" s="66">
        <v>348657</v>
      </c>
      <c r="F82" s="66"/>
      <c r="G82" s="26"/>
      <c r="H82" s="26"/>
      <c r="I82" s="26"/>
      <c r="J82" s="66">
        <f t="shared" si="0"/>
        <v>348657</v>
      </c>
      <c r="K82" s="35"/>
    </row>
    <row r="83" spans="1:11" s="36" customFormat="1" ht="25.5" x14ac:dyDescent="0.25">
      <c r="A83" s="151"/>
      <c r="B83" s="61" t="s">
        <v>83</v>
      </c>
      <c r="C83" s="62" t="s">
        <v>163</v>
      </c>
      <c r="D83" s="65"/>
      <c r="E83" s="66">
        <v>750000</v>
      </c>
      <c r="F83" s="66"/>
      <c r="G83" s="26"/>
      <c r="H83" s="26"/>
      <c r="I83" s="26"/>
      <c r="J83" s="66">
        <f t="shared" si="0"/>
        <v>750000</v>
      </c>
      <c r="K83" s="35"/>
    </row>
    <row r="84" spans="1:11" s="36" customFormat="1" ht="25.5" x14ac:dyDescent="0.25">
      <c r="A84" s="151"/>
      <c r="B84" s="61" t="s">
        <v>83</v>
      </c>
      <c r="C84" s="62" t="s">
        <v>164</v>
      </c>
      <c r="D84" s="65"/>
      <c r="E84" s="66">
        <v>1968750</v>
      </c>
      <c r="F84" s="66">
        <v>1968750</v>
      </c>
      <c r="G84" s="26"/>
      <c r="H84" s="26"/>
      <c r="I84" s="26"/>
      <c r="J84" s="66">
        <f t="shared" si="0"/>
        <v>3937500</v>
      </c>
      <c r="K84" s="35"/>
    </row>
    <row r="85" spans="1:11" s="36" customFormat="1" x14ac:dyDescent="0.25">
      <c r="A85" s="151"/>
      <c r="B85" s="61" t="s">
        <v>91</v>
      </c>
      <c r="C85" s="62" t="s">
        <v>165</v>
      </c>
      <c r="D85" s="65"/>
      <c r="E85" s="66">
        <v>250000</v>
      </c>
      <c r="F85" s="66">
        <v>250000</v>
      </c>
      <c r="G85" s="26"/>
      <c r="H85" s="26"/>
      <c r="I85" s="26"/>
      <c r="J85" s="66">
        <f t="shared" si="0"/>
        <v>500000</v>
      </c>
      <c r="K85" s="35"/>
    </row>
    <row r="86" spans="1:11" s="36" customFormat="1" x14ac:dyDescent="0.25">
      <c r="A86" s="151"/>
      <c r="B86" s="59" t="s">
        <v>186</v>
      </c>
      <c r="C86" s="59" t="s">
        <v>188</v>
      </c>
      <c r="D86" s="66"/>
      <c r="E86" s="66">
        <v>315000</v>
      </c>
      <c r="F86" s="66">
        <v>315000</v>
      </c>
      <c r="G86" s="26"/>
      <c r="H86" s="26"/>
      <c r="I86" s="26"/>
      <c r="J86" s="66">
        <f t="shared" si="0"/>
        <v>630000</v>
      </c>
      <c r="K86" s="35"/>
    </row>
    <row r="87" spans="1:11" s="36" customFormat="1" x14ac:dyDescent="0.25">
      <c r="A87" s="151"/>
      <c r="B87" s="59" t="s">
        <v>187</v>
      </c>
      <c r="C87" s="59" t="s">
        <v>189</v>
      </c>
      <c r="D87" s="66"/>
      <c r="E87" s="66">
        <v>157500</v>
      </c>
      <c r="F87" s="66">
        <v>157500</v>
      </c>
      <c r="G87" s="26"/>
      <c r="H87" s="26"/>
      <c r="I87" s="26"/>
      <c r="J87" s="66">
        <f t="shared" si="0"/>
        <v>315000</v>
      </c>
      <c r="K87" s="35"/>
    </row>
    <row r="88" spans="1:11" s="36" customFormat="1" ht="18" customHeight="1" x14ac:dyDescent="0.25">
      <c r="A88" s="151"/>
      <c r="B88" s="61" t="s">
        <v>92</v>
      </c>
      <c r="C88" s="62" t="s">
        <v>166</v>
      </c>
      <c r="D88" s="65"/>
      <c r="E88" s="66">
        <v>178125</v>
      </c>
      <c r="F88" s="66">
        <v>178125</v>
      </c>
      <c r="G88" s="26"/>
      <c r="H88" s="26"/>
      <c r="I88" s="26"/>
      <c r="J88" s="66">
        <f t="shared" si="0"/>
        <v>356250</v>
      </c>
      <c r="K88" s="35"/>
    </row>
    <row r="89" spans="1:11" s="36" customFormat="1" ht="33" customHeight="1" x14ac:dyDescent="0.25">
      <c r="A89" s="151"/>
      <c r="B89" s="61" t="s">
        <v>92</v>
      </c>
      <c r="C89" s="62" t="s">
        <v>167</v>
      </c>
      <c r="D89" s="65"/>
      <c r="E89" s="66">
        <v>221250</v>
      </c>
      <c r="F89" s="66">
        <v>221250</v>
      </c>
      <c r="G89" s="26"/>
      <c r="H89" s="26"/>
      <c r="I89" s="26"/>
      <c r="J89" s="66">
        <f t="shared" si="0"/>
        <v>442500</v>
      </c>
      <c r="K89" s="35"/>
    </row>
    <row r="90" spans="1:11" s="36" customFormat="1" x14ac:dyDescent="0.25">
      <c r="A90" s="151"/>
      <c r="B90" s="61" t="s">
        <v>92</v>
      </c>
      <c r="C90" s="62" t="s">
        <v>178</v>
      </c>
      <c r="D90" s="65"/>
      <c r="E90" s="66">
        <v>131250</v>
      </c>
      <c r="F90" s="66">
        <v>131250</v>
      </c>
      <c r="G90" s="26"/>
      <c r="H90" s="26"/>
      <c r="I90" s="26"/>
      <c r="J90" s="66">
        <f t="shared" si="0"/>
        <v>262500</v>
      </c>
      <c r="K90" s="35"/>
    </row>
    <row r="91" spans="1:11" s="36" customFormat="1" x14ac:dyDescent="0.25">
      <c r="A91" s="151"/>
      <c r="B91" s="61" t="s">
        <v>93</v>
      </c>
      <c r="C91" s="62" t="s">
        <v>168</v>
      </c>
      <c r="D91" s="65"/>
      <c r="E91" s="66">
        <v>178125</v>
      </c>
      <c r="F91" s="66">
        <v>178125</v>
      </c>
      <c r="G91" s="26"/>
      <c r="H91" s="26"/>
      <c r="I91" s="26"/>
      <c r="J91" s="66">
        <f t="shared" si="0"/>
        <v>356250</v>
      </c>
      <c r="K91" s="35"/>
    </row>
    <row r="92" spans="1:11" s="36" customFormat="1" ht="30" customHeight="1" x14ac:dyDescent="0.25">
      <c r="A92" s="151"/>
      <c r="B92" s="61" t="s">
        <v>94</v>
      </c>
      <c r="C92" s="62" t="s">
        <v>169</v>
      </c>
      <c r="D92" s="65"/>
      <c r="E92" s="66">
        <v>200625</v>
      </c>
      <c r="F92" s="66">
        <v>200625</v>
      </c>
      <c r="G92" s="26"/>
      <c r="H92" s="26"/>
      <c r="I92" s="26"/>
      <c r="J92" s="66">
        <f t="shared" si="0"/>
        <v>401250</v>
      </c>
      <c r="K92" s="35"/>
    </row>
    <row r="93" spans="1:11" s="36" customFormat="1" ht="33" customHeight="1" x14ac:dyDescent="0.25">
      <c r="A93" s="151"/>
      <c r="B93" s="61" t="s">
        <v>94</v>
      </c>
      <c r="C93" s="62" t="s">
        <v>170</v>
      </c>
      <c r="D93" s="65"/>
      <c r="E93" s="66">
        <v>133125</v>
      </c>
      <c r="F93" s="66">
        <v>133125</v>
      </c>
      <c r="G93" s="26"/>
      <c r="H93" s="26"/>
      <c r="I93" s="26"/>
      <c r="J93" s="66">
        <f t="shared" si="0"/>
        <v>266250</v>
      </c>
      <c r="K93" s="35"/>
    </row>
    <row r="94" spans="1:11" s="36" customFormat="1" ht="33" customHeight="1" x14ac:dyDescent="0.25">
      <c r="A94" s="151"/>
      <c r="B94" s="61" t="s">
        <v>94</v>
      </c>
      <c r="C94" s="62" t="s">
        <v>171</v>
      </c>
      <c r="D94" s="65"/>
      <c r="E94" s="66">
        <v>136875</v>
      </c>
      <c r="F94" s="66">
        <v>136875</v>
      </c>
      <c r="G94" s="26"/>
      <c r="H94" s="26"/>
      <c r="I94" s="26"/>
      <c r="J94" s="66">
        <f t="shared" si="0"/>
        <v>273750</v>
      </c>
      <c r="K94" s="35"/>
    </row>
    <row r="95" spans="1:11" s="36" customFormat="1" ht="30" customHeight="1" x14ac:dyDescent="0.25">
      <c r="A95" s="151"/>
      <c r="B95" s="61" t="s">
        <v>95</v>
      </c>
      <c r="C95" s="62" t="s">
        <v>196</v>
      </c>
      <c r="D95" s="65"/>
      <c r="E95" s="66">
        <v>125550</v>
      </c>
      <c r="F95" s="66">
        <v>125550</v>
      </c>
      <c r="G95" s="26"/>
      <c r="H95" s="26"/>
      <c r="I95" s="26"/>
      <c r="J95" s="66">
        <f t="shared" si="0"/>
        <v>251100</v>
      </c>
      <c r="K95" s="35"/>
    </row>
    <row r="96" spans="1:11" s="36" customFormat="1" ht="28.5" customHeight="1" x14ac:dyDescent="0.25">
      <c r="A96" s="151"/>
      <c r="B96" s="59" t="s">
        <v>191</v>
      </c>
      <c r="C96" s="60" t="s">
        <v>192</v>
      </c>
      <c r="D96" s="65"/>
      <c r="E96" s="66">
        <v>84375</v>
      </c>
      <c r="F96" s="66">
        <v>168750</v>
      </c>
      <c r="G96" s="66">
        <v>84375</v>
      </c>
      <c r="H96" s="26"/>
      <c r="I96" s="26"/>
      <c r="J96" s="66">
        <f t="shared" si="0"/>
        <v>337500</v>
      </c>
      <c r="K96" s="35"/>
    </row>
    <row r="97" spans="1:11" s="36" customFormat="1" x14ac:dyDescent="0.25">
      <c r="A97" s="151"/>
      <c r="B97" s="61" t="s">
        <v>96</v>
      </c>
      <c r="C97" s="62" t="s">
        <v>190</v>
      </c>
      <c r="D97" s="65"/>
      <c r="E97" s="66">
        <v>78750</v>
      </c>
      <c r="F97" s="66">
        <v>78750</v>
      </c>
      <c r="G97" s="26"/>
      <c r="H97" s="26"/>
      <c r="I97" s="26"/>
      <c r="J97" s="66">
        <f t="shared" si="0"/>
        <v>157500</v>
      </c>
      <c r="K97" s="35"/>
    </row>
    <row r="98" spans="1:11" s="36" customFormat="1" ht="38.25" x14ac:dyDescent="0.25">
      <c r="A98" s="151"/>
      <c r="B98" s="61" t="s">
        <v>97</v>
      </c>
      <c r="C98" s="62" t="s">
        <v>193</v>
      </c>
      <c r="D98" s="65"/>
      <c r="E98" s="66">
        <v>11475</v>
      </c>
      <c r="F98" s="66">
        <v>11475</v>
      </c>
      <c r="G98" s="26"/>
      <c r="H98" s="26"/>
      <c r="I98" s="26"/>
      <c r="J98" s="66">
        <f t="shared" si="0"/>
        <v>22950</v>
      </c>
      <c r="K98" s="35"/>
    </row>
    <row r="99" spans="1:11" s="36" customFormat="1" ht="55.5" customHeight="1" x14ac:dyDescent="0.25">
      <c r="A99" s="151"/>
      <c r="B99" s="61" t="s">
        <v>98</v>
      </c>
      <c r="C99" s="62" t="s">
        <v>195</v>
      </c>
      <c r="D99" s="65"/>
      <c r="E99" s="66">
        <v>6750</v>
      </c>
      <c r="F99" s="66">
        <v>6750</v>
      </c>
      <c r="G99" s="26"/>
      <c r="H99" s="26"/>
      <c r="I99" s="26"/>
      <c r="J99" s="66">
        <f t="shared" si="0"/>
        <v>13500</v>
      </c>
      <c r="K99" s="35"/>
    </row>
    <row r="100" spans="1:11" s="36" customFormat="1" x14ac:dyDescent="0.25">
      <c r="A100" s="151"/>
      <c r="B100" s="61" t="s">
        <v>55</v>
      </c>
      <c r="C100" s="62" t="s">
        <v>194</v>
      </c>
      <c r="D100" s="65"/>
      <c r="E100" s="66">
        <v>30600</v>
      </c>
      <c r="F100" s="66">
        <v>30600</v>
      </c>
      <c r="G100" s="26"/>
      <c r="H100" s="26"/>
      <c r="I100" s="26"/>
      <c r="J100" s="66">
        <f t="shared" si="0"/>
        <v>61200</v>
      </c>
      <c r="K100" s="35"/>
    </row>
    <row r="101" spans="1:11" s="36" customFormat="1" x14ac:dyDescent="0.25">
      <c r="A101" s="151"/>
      <c r="B101" s="61" t="s">
        <v>87</v>
      </c>
      <c r="C101" s="62" t="s">
        <v>172</v>
      </c>
      <c r="D101" s="65"/>
      <c r="E101" s="66">
        <v>4455</v>
      </c>
      <c r="F101" s="66"/>
      <c r="G101" s="26"/>
      <c r="H101" s="26"/>
      <c r="I101" s="26"/>
      <c r="J101" s="66">
        <f t="shared" si="0"/>
        <v>4455</v>
      </c>
      <c r="K101" s="35"/>
    </row>
    <row r="102" spans="1:11" s="36" customFormat="1" x14ac:dyDescent="0.25">
      <c r="A102" s="151"/>
      <c r="B102" s="61" t="s">
        <v>88</v>
      </c>
      <c r="C102" s="62" t="s">
        <v>173</v>
      </c>
      <c r="D102" s="65"/>
      <c r="E102" s="66">
        <v>78750</v>
      </c>
      <c r="F102" s="66">
        <v>78750</v>
      </c>
      <c r="G102" s="26"/>
      <c r="H102" s="26"/>
      <c r="I102" s="26"/>
      <c r="J102" s="66">
        <f t="shared" si="0"/>
        <v>157500</v>
      </c>
      <c r="K102" s="35"/>
    </row>
    <row r="103" spans="1:11" s="36" customFormat="1" x14ac:dyDescent="0.25">
      <c r="A103" s="151"/>
      <c r="B103" s="61" t="s">
        <v>61</v>
      </c>
      <c r="C103" s="62" t="s">
        <v>174</v>
      </c>
      <c r="D103" s="65"/>
      <c r="E103" s="66">
        <v>9900</v>
      </c>
      <c r="F103" s="66"/>
      <c r="G103" s="26"/>
      <c r="H103" s="26"/>
      <c r="I103" s="26"/>
      <c r="J103" s="66">
        <f t="shared" si="0"/>
        <v>9900</v>
      </c>
      <c r="K103" s="35"/>
    </row>
    <row r="104" spans="1:11" s="36" customFormat="1" x14ac:dyDescent="0.25">
      <c r="A104" s="151"/>
      <c r="B104" s="61" t="s">
        <v>99</v>
      </c>
      <c r="C104" s="62" t="s">
        <v>485</v>
      </c>
      <c r="D104" s="65"/>
      <c r="E104" s="66">
        <v>173587.5</v>
      </c>
      <c r="F104" s="66">
        <v>173587.5</v>
      </c>
      <c r="G104" s="26"/>
      <c r="H104" s="26"/>
      <c r="I104" s="26"/>
      <c r="J104" s="66">
        <f t="shared" si="0"/>
        <v>347175</v>
      </c>
      <c r="K104" s="35"/>
    </row>
    <row r="105" spans="1:11" s="36" customFormat="1" ht="76.5" x14ac:dyDescent="0.25">
      <c r="A105" s="151"/>
      <c r="B105" s="61" t="s">
        <v>100</v>
      </c>
      <c r="C105" s="62" t="s">
        <v>175</v>
      </c>
      <c r="D105" s="65"/>
      <c r="E105" s="66">
        <v>452381.25</v>
      </c>
      <c r="F105" s="66">
        <v>452381.25</v>
      </c>
      <c r="G105" s="26"/>
      <c r="H105" s="26"/>
      <c r="I105" s="26"/>
      <c r="J105" s="66">
        <f t="shared" si="0"/>
        <v>904762.5</v>
      </c>
      <c r="K105" s="35"/>
    </row>
    <row r="106" spans="1:11" s="36" customFormat="1" ht="25.5" x14ac:dyDescent="0.25">
      <c r="A106" s="151"/>
      <c r="B106" s="61" t="s">
        <v>179</v>
      </c>
      <c r="C106" s="62" t="s">
        <v>180</v>
      </c>
      <c r="D106" s="65"/>
      <c r="E106" s="66">
        <v>5000000</v>
      </c>
      <c r="F106" s="66">
        <v>5000000</v>
      </c>
      <c r="G106" s="26"/>
      <c r="H106" s="26"/>
      <c r="I106" s="26"/>
      <c r="J106" s="66">
        <f t="shared" si="0"/>
        <v>10000000</v>
      </c>
      <c r="K106" s="35"/>
    </row>
    <row r="107" spans="1:11" s="36" customFormat="1" ht="33.75" customHeight="1" x14ac:dyDescent="0.25">
      <c r="A107" s="146" t="s">
        <v>203</v>
      </c>
      <c r="B107" s="146"/>
      <c r="C107" s="146"/>
      <c r="D107" s="54">
        <f t="shared" ref="D107:I107" si="2">SUM(D14:D106)</f>
        <v>1958940</v>
      </c>
      <c r="E107" s="54">
        <f t="shared" si="2"/>
        <v>69453089.25</v>
      </c>
      <c r="F107" s="54">
        <f t="shared" si="2"/>
        <v>66396024.75</v>
      </c>
      <c r="G107" s="54">
        <f t="shared" si="2"/>
        <v>23469375</v>
      </c>
      <c r="H107" s="54">
        <f t="shared" si="2"/>
        <v>17610000</v>
      </c>
      <c r="I107" s="54">
        <f t="shared" si="2"/>
        <v>0</v>
      </c>
      <c r="J107" s="54">
        <f t="shared" si="0"/>
        <v>178887429</v>
      </c>
      <c r="K107" s="35"/>
    </row>
    <row r="108" spans="1:11" s="36" customFormat="1" x14ac:dyDescent="0.25">
      <c r="A108" s="31"/>
      <c r="B108" s="12"/>
      <c r="C108" s="12"/>
      <c r="D108" s="26"/>
      <c r="E108" s="26"/>
      <c r="F108" s="26"/>
      <c r="G108" s="26"/>
      <c r="H108" s="26"/>
      <c r="I108" s="26"/>
      <c r="J108" s="26"/>
      <c r="K108" s="35"/>
    </row>
    <row r="109" spans="1:11" s="4" customFormat="1" ht="11.25" customHeight="1" x14ac:dyDescent="0.2">
      <c r="A109" s="43"/>
      <c r="B109" s="44"/>
      <c r="C109" s="45"/>
      <c r="D109" s="46"/>
      <c r="E109" s="46"/>
      <c r="F109" s="46"/>
      <c r="G109" s="46"/>
      <c r="H109" s="46"/>
      <c r="I109" s="46"/>
      <c r="J109" s="46"/>
      <c r="K109" s="17"/>
    </row>
    <row r="110" spans="1:11" s="4" customFormat="1" ht="28.5" x14ac:dyDescent="0.2">
      <c r="A110" s="31" t="s">
        <v>204</v>
      </c>
      <c r="B110" s="34"/>
      <c r="C110" s="34"/>
      <c r="D110" s="54">
        <f t="shared" ref="D110:I110" si="3">D107+D12</f>
        <v>3247079</v>
      </c>
      <c r="E110" s="54">
        <f t="shared" si="3"/>
        <v>79990088.5</v>
      </c>
      <c r="F110" s="54">
        <f t="shared" si="3"/>
        <v>85150978.677499995</v>
      </c>
      <c r="G110" s="54">
        <f t="shared" si="3"/>
        <v>32671622.945325002</v>
      </c>
      <c r="H110" s="54">
        <f t="shared" si="3"/>
        <v>18507750.783684749</v>
      </c>
      <c r="I110" s="54">
        <f t="shared" si="3"/>
        <v>0</v>
      </c>
      <c r="J110" s="54">
        <v>219567519</v>
      </c>
      <c r="K110" s="17"/>
    </row>
    <row r="111" spans="1:11" s="4" customFormat="1" ht="15.75" customHeight="1" x14ac:dyDescent="0.2">
      <c r="A111" s="43"/>
      <c r="B111" s="44"/>
      <c r="C111" s="45"/>
      <c r="D111" s="46"/>
      <c r="E111" s="46"/>
      <c r="F111" s="46"/>
      <c r="G111" s="46"/>
      <c r="H111" s="46"/>
      <c r="I111" s="46"/>
      <c r="J111" s="46"/>
      <c r="K111" s="17"/>
    </row>
    <row r="112" spans="1:11" x14ac:dyDescent="0.25">
      <c r="B112" s="5"/>
      <c r="D112" s="6"/>
      <c r="E112" s="6"/>
      <c r="F112" s="6"/>
      <c r="G112" s="6"/>
      <c r="H112" s="6"/>
      <c r="I112" s="6"/>
      <c r="J112" s="7"/>
    </row>
    <row r="113" spans="1:11" x14ac:dyDescent="0.25">
      <c r="B113" s="5"/>
      <c r="D113" s="6"/>
      <c r="E113" s="6"/>
      <c r="F113" s="6"/>
      <c r="G113" s="6"/>
      <c r="H113" s="6"/>
      <c r="I113" s="6"/>
      <c r="J113" s="7"/>
    </row>
    <row r="114" spans="1:11" x14ac:dyDescent="0.25">
      <c r="B114" s="5"/>
      <c r="D114" s="6"/>
      <c r="E114" s="6"/>
      <c r="F114" s="6"/>
      <c r="G114" s="6"/>
      <c r="H114" s="6"/>
      <c r="I114" s="6"/>
    </row>
    <row r="115" spans="1:11" ht="20.25" x14ac:dyDescent="0.3">
      <c r="A115" s="150" t="s">
        <v>393</v>
      </c>
      <c r="B115" s="150"/>
      <c r="D115" s="6"/>
      <c r="E115" s="6"/>
      <c r="F115" s="6"/>
      <c r="G115" s="6"/>
      <c r="H115" s="6"/>
      <c r="I115" s="6"/>
    </row>
    <row r="116" spans="1:11" ht="18.75" x14ac:dyDescent="0.3">
      <c r="B116" s="95" t="s">
        <v>394</v>
      </c>
      <c r="C116" s="96"/>
      <c r="D116" s="96"/>
      <c r="E116" s="96"/>
      <c r="F116" s="96"/>
      <c r="G116" s="96"/>
      <c r="H116" s="96"/>
      <c r="I116" s="96"/>
      <c r="J116" s="97"/>
    </row>
    <row r="117" spans="1:11" x14ac:dyDescent="0.25">
      <c r="B117" s="98" t="s">
        <v>395</v>
      </c>
      <c r="C117" s="98" t="s">
        <v>396</v>
      </c>
      <c r="D117" s="98" t="s">
        <v>397</v>
      </c>
      <c r="E117" s="99" t="s">
        <v>398</v>
      </c>
      <c r="F117" s="99" t="s">
        <v>399</v>
      </c>
      <c r="G117" s="99" t="s">
        <v>400</v>
      </c>
      <c r="H117" s="100" t="s">
        <v>401</v>
      </c>
      <c r="I117" s="101"/>
      <c r="J117" s="102" t="s">
        <v>402</v>
      </c>
    </row>
    <row r="118" spans="1:11" s="8" customFormat="1" x14ac:dyDescent="0.25">
      <c r="A118" s="5"/>
      <c r="B118" s="103" t="s">
        <v>403</v>
      </c>
      <c r="C118" s="104" t="s">
        <v>404</v>
      </c>
      <c r="D118" s="105" t="s">
        <v>405</v>
      </c>
      <c r="E118" s="105" t="s">
        <v>405</v>
      </c>
      <c r="F118" s="105" t="s">
        <v>405</v>
      </c>
      <c r="G118" s="105"/>
      <c r="H118" s="105" t="s">
        <v>405</v>
      </c>
      <c r="I118" s="106"/>
      <c r="J118" s="107" t="s">
        <v>405</v>
      </c>
      <c r="K118" s="16"/>
    </row>
    <row r="119" spans="1:11" s="8" customFormat="1" x14ac:dyDescent="0.25">
      <c r="A119" s="5"/>
      <c r="B119" s="108"/>
      <c r="C119" s="114" t="s">
        <v>406</v>
      </c>
      <c r="D119" s="115">
        <v>125000</v>
      </c>
      <c r="E119" s="115">
        <f>(D119*0.03)+D119</f>
        <v>128750</v>
      </c>
      <c r="F119" s="115">
        <f t="shared" ref="F119:H119" si="4">(E119*0.03)+E119</f>
        <v>132612.5</v>
      </c>
      <c r="G119" s="115">
        <f t="shared" si="4"/>
        <v>136590.875</v>
      </c>
      <c r="H119" s="115">
        <f t="shared" si="4"/>
        <v>140688.60125000001</v>
      </c>
      <c r="I119" s="116"/>
      <c r="J119" s="115">
        <f>SUM(D119:H119)</f>
        <v>663641.97625000007</v>
      </c>
      <c r="K119" s="16"/>
    </row>
    <row r="120" spans="1:11" s="8" customFormat="1" x14ac:dyDescent="0.25">
      <c r="A120" s="5"/>
      <c r="B120" s="108"/>
      <c r="C120" s="114" t="s">
        <v>407</v>
      </c>
      <c r="D120" s="115">
        <v>100000</v>
      </c>
      <c r="E120" s="115">
        <f t="shared" ref="E120:H123" si="5">(D120*0.03)+D120</f>
        <v>103000</v>
      </c>
      <c r="F120" s="115">
        <f t="shared" si="5"/>
        <v>106090</v>
      </c>
      <c r="G120" s="115">
        <f t="shared" si="5"/>
        <v>109272.7</v>
      </c>
      <c r="H120" s="115">
        <f t="shared" si="5"/>
        <v>112550.88099999999</v>
      </c>
      <c r="I120" s="117"/>
      <c r="J120" s="115">
        <f>SUM(D120:H120)</f>
        <v>530913.58100000001</v>
      </c>
      <c r="K120" s="16"/>
    </row>
    <row r="121" spans="1:11" s="8" customFormat="1" x14ac:dyDescent="0.25">
      <c r="A121" s="5"/>
      <c r="B121" s="108"/>
      <c r="C121" s="114" t="s">
        <v>408</v>
      </c>
      <c r="D121" s="115">
        <v>100000</v>
      </c>
      <c r="E121" s="115">
        <f t="shared" si="5"/>
        <v>103000</v>
      </c>
      <c r="F121" s="115">
        <f t="shared" si="5"/>
        <v>106090</v>
      </c>
      <c r="G121" s="115">
        <f t="shared" si="5"/>
        <v>109272.7</v>
      </c>
      <c r="H121" s="115">
        <f t="shared" si="5"/>
        <v>112550.88099999999</v>
      </c>
      <c r="I121" s="117"/>
      <c r="J121" s="115">
        <f>SUM(D121:H121)</f>
        <v>530913.58100000001</v>
      </c>
      <c r="K121" s="16"/>
    </row>
    <row r="122" spans="1:11" s="8" customFormat="1" x14ac:dyDescent="0.25">
      <c r="A122" s="5"/>
      <c r="B122" s="108"/>
      <c r="C122" s="114" t="s">
        <v>409</v>
      </c>
      <c r="D122" s="115">
        <v>100000</v>
      </c>
      <c r="E122" s="115">
        <f t="shared" si="5"/>
        <v>103000</v>
      </c>
      <c r="F122" s="115">
        <f t="shared" si="5"/>
        <v>106090</v>
      </c>
      <c r="G122" s="115">
        <f t="shared" si="5"/>
        <v>109272.7</v>
      </c>
      <c r="H122" s="115">
        <f t="shared" si="5"/>
        <v>112550.88099999999</v>
      </c>
      <c r="I122" s="117"/>
      <c r="J122" s="115">
        <f>SUM(D122:H122)</f>
        <v>530913.58100000001</v>
      </c>
      <c r="K122" s="16"/>
    </row>
    <row r="123" spans="1:11" s="8" customFormat="1" x14ac:dyDescent="0.25">
      <c r="A123" s="5"/>
      <c r="B123" s="108"/>
      <c r="C123" s="114" t="s">
        <v>410</v>
      </c>
      <c r="D123" s="115">
        <v>93750</v>
      </c>
      <c r="E123" s="115">
        <f t="shared" si="5"/>
        <v>96562.5</v>
      </c>
      <c r="F123" s="115">
        <f t="shared" si="5"/>
        <v>99459.375</v>
      </c>
      <c r="G123" s="115">
        <f t="shared" si="5"/>
        <v>102443.15625</v>
      </c>
      <c r="H123" s="115">
        <f t="shared" si="5"/>
        <v>105516.45093750001</v>
      </c>
      <c r="I123" s="117"/>
      <c r="J123" s="115">
        <f>SUM(D123:H123)</f>
        <v>497731.48218749999</v>
      </c>
      <c r="K123" s="16"/>
    </row>
    <row r="124" spans="1:11" s="8" customFormat="1" x14ac:dyDescent="0.25">
      <c r="A124" s="5"/>
      <c r="B124" s="108"/>
      <c r="C124" s="118" t="s">
        <v>411</v>
      </c>
      <c r="D124" s="119">
        <f>SUM(D119:D123)</f>
        <v>518750</v>
      </c>
      <c r="E124" s="119">
        <f t="shared" ref="E124:H124" si="6">SUM(E119:E121)</f>
        <v>334750</v>
      </c>
      <c r="F124" s="119">
        <f t="shared" si="6"/>
        <v>344792.5</v>
      </c>
      <c r="G124" s="119">
        <f t="shared" si="6"/>
        <v>355136.27500000002</v>
      </c>
      <c r="H124" s="119">
        <f t="shared" si="6"/>
        <v>365790.36324999999</v>
      </c>
      <c r="I124" s="117"/>
      <c r="J124" s="119">
        <f>SUM(J119:J123)</f>
        <v>2754114.2014375003</v>
      </c>
      <c r="K124" s="16"/>
    </row>
    <row r="125" spans="1:11" s="8" customFormat="1" x14ac:dyDescent="0.25">
      <c r="A125" s="5"/>
      <c r="B125" s="108"/>
      <c r="C125" s="120" t="s">
        <v>412</v>
      </c>
      <c r="D125" s="121"/>
      <c r="E125" s="121"/>
      <c r="F125" s="121"/>
      <c r="G125" s="121"/>
      <c r="H125" s="121"/>
      <c r="I125" s="117"/>
      <c r="J125" s="122" t="s">
        <v>405</v>
      </c>
      <c r="K125" s="16"/>
    </row>
    <row r="126" spans="1:11" s="8" customFormat="1" x14ac:dyDescent="0.25">
      <c r="A126" s="5"/>
      <c r="B126" s="108"/>
      <c r="C126" s="114" t="s">
        <v>413</v>
      </c>
      <c r="D126" s="123">
        <v>62088</v>
      </c>
      <c r="E126" s="123">
        <f>(D126*0.03)+D126</f>
        <v>63950.64</v>
      </c>
      <c r="F126" s="123">
        <f t="shared" ref="F126:H126" si="7">(E126*0.03)+E126</f>
        <v>65869.159199999995</v>
      </c>
      <c r="G126" s="123">
        <f t="shared" si="7"/>
        <v>67845.233975999989</v>
      </c>
      <c r="H126" s="123">
        <f t="shared" si="7"/>
        <v>69880.590995279985</v>
      </c>
      <c r="I126" s="117"/>
      <c r="J126" s="115">
        <f>SUM(D126:H126)</f>
        <v>329633.62417127995</v>
      </c>
      <c r="K126" s="16"/>
    </row>
    <row r="127" spans="1:11" x14ac:dyDescent="0.25">
      <c r="B127" s="108"/>
      <c r="C127" s="114" t="s">
        <v>414</v>
      </c>
      <c r="D127" s="123">
        <v>62088</v>
      </c>
      <c r="E127" s="123">
        <f t="shared" ref="E127:H130" si="8">(D127*0.03)+D127</f>
        <v>63950.64</v>
      </c>
      <c r="F127" s="123">
        <f t="shared" si="8"/>
        <v>65869.159199999995</v>
      </c>
      <c r="G127" s="123">
        <f t="shared" si="8"/>
        <v>67845.233975999989</v>
      </c>
      <c r="H127" s="123">
        <f t="shared" si="8"/>
        <v>69880.590995279985</v>
      </c>
      <c r="I127" s="117"/>
      <c r="J127" s="115">
        <f t="shared" ref="J127:J130" si="9">SUM(D127:H127)</f>
        <v>329633.62417127995</v>
      </c>
    </row>
    <row r="128" spans="1:11" x14ac:dyDescent="0.25">
      <c r="B128" s="108"/>
      <c r="C128" s="114" t="s">
        <v>415</v>
      </c>
      <c r="D128" s="123">
        <v>62088</v>
      </c>
      <c r="E128" s="123">
        <f t="shared" si="8"/>
        <v>63950.64</v>
      </c>
      <c r="F128" s="123">
        <f t="shared" si="8"/>
        <v>65869.159199999995</v>
      </c>
      <c r="G128" s="123">
        <f t="shared" si="8"/>
        <v>67845.233975999989</v>
      </c>
      <c r="H128" s="123">
        <f t="shared" si="8"/>
        <v>69880.590995279985</v>
      </c>
      <c r="I128" s="117"/>
      <c r="J128" s="115">
        <f t="shared" si="9"/>
        <v>329633.62417127995</v>
      </c>
    </row>
    <row r="129" spans="2:10" x14ac:dyDescent="0.25">
      <c r="B129" s="108"/>
      <c r="C129" s="114" t="s">
        <v>416</v>
      </c>
      <c r="D129" s="123">
        <v>62088</v>
      </c>
      <c r="E129" s="123">
        <f t="shared" si="8"/>
        <v>63950.64</v>
      </c>
      <c r="F129" s="123">
        <f t="shared" si="8"/>
        <v>65869.159199999995</v>
      </c>
      <c r="G129" s="123">
        <f t="shared" si="8"/>
        <v>67845.233975999989</v>
      </c>
      <c r="H129" s="123">
        <f t="shared" si="8"/>
        <v>69880.590995279985</v>
      </c>
      <c r="I129" s="121"/>
      <c r="J129" s="115">
        <f t="shared" si="9"/>
        <v>329633.62417127995</v>
      </c>
    </row>
    <row r="130" spans="2:10" x14ac:dyDescent="0.25">
      <c r="B130" s="108"/>
      <c r="C130" s="114" t="s">
        <v>417</v>
      </c>
      <c r="D130" s="123">
        <v>46566</v>
      </c>
      <c r="E130" s="123">
        <f t="shared" si="8"/>
        <v>47962.98</v>
      </c>
      <c r="F130" s="123">
        <f t="shared" si="8"/>
        <v>49401.869400000003</v>
      </c>
      <c r="G130" s="123">
        <f t="shared" si="8"/>
        <v>50883.925482000006</v>
      </c>
      <c r="H130" s="123">
        <f t="shared" si="8"/>
        <v>52410.443246460003</v>
      </c>
      <c r="I130" s="117"/>
      <c r="J130" s="115">
        <f t="shared" si="9"/>
        <v>247225.21812845999</v>
      </c>
    </row>
    <row r="131" spans="2:10" x14ac:dyDescent="0.25">
      <c r="B131" s="108"/>
      <c r="C131" s="118" t="s">
        <v>418</v>
      </c>
      <c r="D131" s="119">
        <f>SUM(D126:D130)</f>
        <v>294918</v>
      </c>
      <c r="E131" s="119">
        <f t="shared" ref="E131:H131" si="10">SUM(E126:E128)</f>
        <v>191851.91999999998</v>
      </c>
      <c r="F131" s="119">
        <f t="shared" si="10"/>
        <v>197607.47759999998</v>
      </c>
      <c r="G131" s="119">
        <f t="shared" si="10"/>
        <v>203535.70192799997</v>
      </c>
      <c r="H131" s="119">
        <f t="shared" si="10"/>
        <v>209641.77298583995</v>
      </c>
      <c r="I131" s="117"/>
      <c r="J131" s="119">
        <f>SUM(J126:J130)</f>
        <v>1565759.7148135798</v>
      </c>
    </row>
    <row r="132" spans="2:10" x14ac:dyDescent="0.25">
      <c r="B132" s="108"/>
      <c r="C132" s="120" t="s">
        <v>419</v>
      </c>
      <c r="D132" s="121" t="s">
        <v>405</v>
      </c>
      <c r="E132" s="121"/>
      <c r="F132" s="121"/>
      <c r="G132" s="121"/>
      <c r="H132" s="121"/>
      <c r="I132" s="117"/>
      <c r="J132" s="122" t="s">
        <v>405</v>
      </c>
    </row>
    <row r="133" spans="2:10" ht="26.25" x14ac:dyDescent="0.25">
      <c r="B133" s="108"/>
      <c r="C133" s="124" t="s">
        <v>420</v>
      </c>
      <c r="D133" s="115">
        <v>24120</v>
      </c>
      <c r="E133" s="115">
        <v>24120</v>
      </c>
      <c r="F133" s="115">
        <v>24120</v>
      </c>
      <c r="G133" s="115">
        <v>24120</v>
      </c>
      <c r="H133" s="115">
        <v>24120</v>
      </c>
      <c r="I133" s="117"/>
      <c r="J133" s="115">
        <f>SUM(D133:H133)</f>
        <v>120600</v>
      </c>
    </row>
    <row r="134" spans="2:10" x14ac:dyDescent="0.25">
      <c r="B134" s="108"/>
      <c r="C134" s="125" t="s">
        <v>421</v>
      </c>
      <c r="D134" s="115">
        <v>6750</v>
      </c>
      <c r="E134" s="115">
        <v>6750</v>
      </c>
      <c r="F134" s="115">
        <v>4500</v>
      </c>
      <c r="G134" s="115">
        <v>4500</v>
      </c>
      <c r="H134" s="115">
        <v>3000</v>
      </c>
      <c r="I134" s="116"/>
      <c r="J134" s="115">
        <f>SUM(D134:H134)</f>
        <v>25500</v>
      </c>
    </row>
    <row r="135" spans="2:10" x14ac:dyDescent="0.25">
      <c r="B135" s="108"/>
      <c r="C135" s="125" t="s">
        <v>422</v>
      </c>
      <c r="D135" s="115">
        <v>4320</v>
      </c>
      <c r="E135" s="115">
        <v>4320</v>
      </c>
      <c r="F135" s="115">
        <v>2880</v>
      </c>
      <c r="G135" s="115">
        <v>2880</v>
      </c>
      <c r="H135" s="115">
        <v>1920</v>
      </c>
      <c r="I135" s="116"/>
      <c r="J135" s="115">
        <f t="shared" ref="J135:J140" si="11">SUM(D135:H135)</f>
        <v>16320</v>
      </c>
    </row>
    <row r="136" spans="2:10" x14ac:dyDescent="0.25">
      <c r="B136" s="108"/>
      <c r="C136" s="114"/>
      <c r="D136" s="115"/>
      <c r="E136" s="115"/>
      <c r="F136" s="115"/>
      <c r="G136" s="115"/>
      <c r="H136" s="115"/>
      <c r="I136" s="116"/>
      <c r="J136" s="115">
        <f t="shared" si="11"/>
        <v>0</v>
      </c>
    </row>
    <row r="137" spans="2:10" x14ac:dyDescent="0.25">
      <c r="B137" s="108"/>
      <c r="C137" s="125"/>
      <c r="D137" s="115"/>
      <c r="E137" s="115"/>
      <c r="F137" s="115"/>
      <c r="G137" s="115"/>
      <c r="H137" s="115"/>
      <c r="I137" s="116"/>
      <c r="J137" s="115">
        <f t="shared" si="11"/>
        <v>0</v>
      </c>
    </row>
    <row r="138" spans="2:10" x14ac:dyDescent="0.25">
      <c r="B138" s="108"/>
      <c r="C138" s="125"/>
      <c r="D138" s="115"/>
      <c r="E138" s="115"/>
      <c r="F138" s="115"/>
      <c r="G138" s="115"/>
      <c r="H138" s="115"/>
      <c r="I138" s="116"/>
      <c r="J138" s="115">
        <f t="shared" si="11"/>
        <v>0</v>
      </c>
    </row>
    <row r="139" spans="2:10" x14ac:dyDescent="0.25">
      <c r="B139" s="108"/>
      <c r="C139" s="125"/>
      <c r="D139" s="115"/>
      <c r="E139" s="115"/>
      <c r="F139" s="115"/>
      <c r="G139" s="115"/>
      <c r="H139" s="115"/>
      <c r="I139" s="116"/>
      <c r="J139" s="115">
        <f t="shared" si="11"/>
        <v>0</v>
      </c>
    </row>
    <row r="140" spans="2:10" x14ac:dyDescent="0.25">
      <c r="B140" s="108"/>
      <c r="C140" s="114"/>
      <c r="D140" s="115"/>
      <c r="E140" s="115"/>
      <c r="F140" s="115"/>
      <c r="G140" s="115"/>
      <c r="H140" s="115"/>
      <c r="I140" s="116"/>
      <c r="J140" s="115">
        <f t="shared" si="11"/>
        <v>0</v>
      </c>
    </row>
    <row r="141" spans="2:10" x14ac:dyDescent="0.25">
      <c r="B141" s="108"/>
      <c r="C141" s="118" t="s">
        <v>423</v>
      </c>
      <c r="D141" s="119">
        <f>SUM(D133:D140)</f>
        <v>35190</v>
      </c>
      <c r="E141" s="119">
        <f>SUM(E133:E140)</f>
        <v>35190</v>
      </c>
      <c r="F141" s="119">
        <f t="shared" ref="F141:H141" si="12">SUM(F133:F140)</f>
        <v>31500</v>
      </c>
      <c r="G141" s="119">
        <f t="shared" si="12"/>
        <v>31500</v>
      </c>
      <c r="H141" s="119">
        <f t="shared" si="12"/>
        <v>29040</v>
      </c>
      <c r="I141" s="117"/>
      <c r="J141" s="119">
        <f>SUM(J133:J140)</f>
        <v>162420</v>
      </c>
    </row>
    <row r="142" spans="2:10" x14ac:dyDescent="0.25">
      <c r="B142" s="108"/>
      <c r="C142" s="120" t="s">
        <v>424</v>
      </c>
      <c r="D142" s="115"/>
      <c r="E142" s="121"/>
      <c r="F142" s="121"/>
      <c r="G142" s="121"/>
      <c r="H142" s="121"/>
      <c r="I142" s="117"/>
      <c r="J142" s="115" t="s">
        <v>425</v>
      </c>
    </row>
    <row r="143" spans="2:10" x14ac:dyDescent="0.25">
      <c r="B143" s="108"/>
      <c r="C143" s="114" t="s">
        <v>426</v>
      </c>
      <c r="D143" s="115">
        <v>1000</v>
      </c>
      <c r="E143" s="115">
        <v>1000</v>
      </c>
      <c r="F143" s="115">
        <v>1000</v>
      </c>
      <c r="G143" s="115">
        <v>1000</v>
      </c>
      <c r="H143" s="115">
        <v>1000</v>
      </c>
      <c r="I143" s="117"/>
      <c r="J143" s="115">
        <f>SUM(D143:H143)</f>
        <v>5000</v>
      </c>
    </row>
    <row r="144" spans="2:10" x14ac:dyDescent="0.25">
      <c r="B144" s="108" t="s">
        <v>427</v>
      </c>
      <c r="C144" s="121" t="s">
        <v>427</v>
      </c>
      <c r="D144" s="121" t="s">
        <v>405</v>
      </c>
      <c r="E144" s="121"/>
      <c r="F144" s="121"/>
      <c r="G144" s="121"/>
      <c r="H144" s="121"/>
      <c r="I144" s="117"/>
      <c r="J144" s="115">
        <f t="shared" ref="J144:J161" si="13">SUM(D144:H144)</f>
        <v>0</v>
      </c>
    </row>
    <row r="145" spans="2:10" x14ac:dyDescent="0.25">
      <c r="B145" s="108"/>
      <c r="C145" s="118" t="s">
        <v>428</v>
      </c>
      <c r="D145" s="126">
        <f>SUM(D143:D144)</f>
        <v>1000</v>
      </c>
      <c r="E145" s="126">
        <f t="shared" ref="E145:H145" si="14">SUM(E143:E144)</f>
        <v>1000</v>
      </c>
      <c r="F145" s="126">
        <f t="shared" si="14"/>
        <v>1000</v>
      </c>
      <c r="G145" s="126">
        <f t="shared" si="14"/>
        <v>1000</v>
      </c>
      <c r="H145" s="126">
        <f t="shared" si="14"/>
        <v>1000</v>
      </c>
      <c r="I145" s="117"/>
      <c r="J145" s="119">
        <f>SUM(J143:J144)</f>
        <v>5000</v>
      </c>
    </row>
    <row r="146" spans="2:10" x14ac:dyDescent="0.25">
      <c r="B146" s="108"/>
      <c r="C146" s="120" t="s">
        <v>429</v>
      </c>
      <c r="D146" s="121" t="s">
        <v>405</v>
      </c>
      <c r="E146" s="121"/>
      <c r="F146" s="121"/>
      <c r="G146" s="121"/>
      <c r="H146" s="121"/>
      <c r="I146" s="117"/>
      <c r="J146" s="115"/>
    </row>
    <row r="147" spans="2:10" x14ac:dyDescent="0.25">
      <c r="B147" s="108"/>
      <c r="C147" s="114" t="s">
        <v>430</v>
      </c>
      <c r="D147" s="115">
        <v>7500</v>
      </c>
      <c r="E147" s="115"/>
      <c r="F147" s="115"/>
      <c r="G147" s="115"/>
      <c r="H147" s="115"/>
      <c r="I147" s="116"/>
      <c r="J147" s="115">
        <f t="shared" si="13"/>
        <v>7500</v>
      </c>
    </row>
    <row r="148" spans="2:10" x14ac:dyDescent="0.25">
      <c r="B148" s="108"/>
      <c r="C148" s="114" t="s">
        <v>431</v>
      </c>
      <c r="D148" s="115">
        <v>6570</v>
      </c>
      <c r="E148" s="115">
        <v>4320</v>
      </c>
      <c r="F148" s="115">
        <v>4320</v>
      </c>
      <c r="G148" s="115">
        <v>4320</v>
      </c>
      <c r="H148" s="115">
        <v>4320</v>
      </c>
      <c r="I148" s="117"/>
      <c r="J148" s="115">
        <f t="shared" si="13"/>
        <v>23850</v>
      </c>
    </row>
    <row r="149" spans="2:10" x14ac:dyDescent="0.25">
      <c r="B149" s="108"/>
      <c r="C149" s="118" t="s">
        <v>432</v>
      </c>
      <c r="D149" s="119">
        <f>SUM(D147:D148)</f>
        <v>14070</v>
      </c>
      <c r="E149" s="119">
        <f t="shared" ref="E149:H149" si="15">SUM(E147:E148)</f>
        <v>4320</v>
      </c>
      <c r="F149" s="119">
        <f t="shared" si="15"/>
        <v>4320</v>
      </c>
      <c r="G149" s="119">
        <f t="shared" si="15"/>
        <v>4320</v>
      </c>
      <c r="H149" s="119">
        <f t="shared" si="15"/>
        <v>4320</v>
      </c>
      <c r="I149" s="117"/>
      <c r="J149" s="119">
        <f>SUM(J147:J148)</f>
        <v>31350</v>
      </c>
    </row>
    <row r="150" spans="2:10" x14ac:dyDescent="0.25">
      <c r="B150" s="108"/>
      <c r="C150" s="120" t="s">
        <v>433</v>
      </c>
      <c r="D150" s="121" t="s">
        <v>405</v>
      </c>
      <c r="E150" s="121"/>
      <c r="F150" s="121"/>
      <c r="G150" s="121"/>
      <c r="H150" s="121"/>
      <c r="I150" s="117"/>
      <c r="J150" s="115"/>
    </row>
    <row r="151" spans="2:10" x14ac:dyDescent="0.25">
      <c r="B151" s="108"/>
      <c r="C151" s="114" t="s">
        <v>434</v>
      </c>
      <c r="D151" s="115">
        <v>150000</v>
      </c>
      <c r="E151" s="115">
        <v>150000</v>
      </c>
      <c r="F151" s="115">
        <v>75000</v>
      </c>
      <c r="G151" s="115">
        <v>50000</v>
      </c>
      <c r="H151" s="115">
        <v>25000</v>
      </c>
      <c r="I151" s="116"/>
      <c r="J151" s="115">
        <f t="shared" si="13"/>
        <v>450000</v>
      </c>
    </row>
    <row r="152" spans="2:10" x14ac:dyDescent="0.25">
      <c r="B152" s="108"/>
      <c r="C152" s="114" t="s">
        <v>435</v>
      </c>
      <c r="D152" s="115">
        <v>85000</v>
      </c>
      <c r="E152" s="115">
        <v>75000</v>
      </c>
      <c r="F152" s="115">
        <v>50000</v>
      </c>
      <c r="G152" s="115">
        <v>50000</v>
      </c>
      <c r="H152" s="115">
        <v>50000</v>
      </c>
      <c r="I152" s="116"/>
      <c r="J152" s="115">
        <f t="shared" si="13"/>
        <v>310000</v>
      </c>
    </row>
    <row r="153" spans="2:10" x14ac:dyDescent="0.25">
      <c r="B153" s="108"/>
      <c r="C153" s="114"/>
      <c r="D153" s="115"/>
      <c r="E153" s="115"/>
      <c r="F153" s="115"/>
      <c r="G153" s="115"/>
      <c r="H153" s="115"/>
      <c r="I153" s="116"/>
      <c r="J153" s="115">
        <f t="shared" si="13"/>
        <v>0</v>
      </c>
    </row>
    <row r="154" spans="2:10" x14ac:dyDescent="0.25">
      <c r="B154" s="108"/>
      <c r="C154" s="114"/>
      <c r="D154" s="115"/>
      <c r="E154" s="115"/>
      <c r="F154" s="115"/>
      <c r="G154" s="115"/>
      <c r="H154" s="115"/>
      <c r="I154" s="117"/>
      <c r="J154" s="115">
        <f t="shared" si="13"/>
        <v>0</v>
      </c>
    </row>
    <row r="155" spans="2:10" x14ac:dyDescent="0.25">
      <c r="B155" s="108"/>
      <c r="C155" s="118" t="s">
        <v>436</v>
      </c>
      <c r="D155" s="119">
        <f>SUM(D151:D154)</f>
        <v>235000</v>
      </c>
      <c r="E155" s="119">
        <f t="shared" ref="E155:H155" si="16">SUM(E151:E154)</f>
        <v>225000</v>
      </c>
      <c r="F155" s="119">
        <f t="shared" si="16"/>
        <v>125000</v>
      </c>
      <c r="G155" s="119">
        <f t="shared" si="16"/>
        <v>100000</v>
      </c>
      <c r="H155" s="119">
        <f t="shared" si="16"/>
        <v>75000</v>
      </c>
      <c r="I155" s="117"/>
      <c r="J155" s="119">
        <f>SUM(J151:J154)</f>
        <v>760000</v>
      </c>
    </row>
    <row r="156" spans="2:10" x14ac:dyDescent="0.25">
      <c r="B156" s="108"/>
      <c r="C156" s="120" t="s">
        <v>437</v>
      </c>
      <c r="D156" s="121" t="s">
        <v>405</v>
      </c>
      <c r="E156" s="121"/>
      <c r="F156" s="121"/>
      <c r="G156" s="121"/>
      <c r="H156" s="121"/>
      <c r="I156" s="117"/>
      <c r="J156" s="115"/>
    </row>
    <row r="157" spans="2:10" x14ac:dyDescent="0.25">
      <c r="B157" s="108"/>
      <c r="C157" s="12" t="s">
        <v>444</v>
      </c>
      <c r="D157" s="66"/>
      <c r="E157" s="67">
        <v>8300000</v>
      </c>
      <c r="F157" s="67">
        <v>16600000</v>
      </c>
      <c r="G157" s="67">
        <v>8300000</v>
      </c>
      <c r="H157" s="115"/>
      <c r="I157" s="117"/>
      <c r="J157" s="115">
        <f t="shared" si="13"/>
        <v>33200000</v>
      </c>
    </row>
    <row r="158" spans="2:10" ht="25.5" x14ac:dyDescent="0.25">
      <c r="B158" s="108"/>
      <c r="C158" s="62" t="s">
        <v>445</v>
      </c>
      <c r="D158" s="66"/>
      <c r="E158" s="67">
        <v>1250000</v>
      </c>
      <c r="F158" s="67">
        <v>1250000</v>
      </c>
      <c r="G158" s="67"/>
      <c r="H158" s="115"/>
      <c r="I158" s="117"/>
      <c r="J158" s="115">
        <f t="shared" si="13"/>
        <v>2500000</v>
      </c>
    </row>
    <row r="159" spans="2:10" x14ac:dyDescent="0.25">
      <c r="B159" s="108"/>
      <c r="C159" s="62"/>
      <c r="D159" s="66"/>
      <c r="E159" s="67"/>
      <c r="F159" s="67"/>
      <c r="G159" s="67"/>
      <c r="H159" s="115"/>
      <c r="I159" s="117"/>
      <c r="J159" s="115">
        <f t="shared" si="13"/>
        <v>0</v>
      </c>
    </row>
    <row r="160" spans="2:10" x14ac:dyDescent="0.25">
      <c r="B160" s="109"/>
      <c r="C160" s="118" t="s">
        <v>438</v>
      </c>
      <c r="D160" s="119">
        <f>SUM(D157:D159)</f>
        <v>0</v>
      </c>
      <c r="E160" s="119">
        <f>SUM(E157:E159)</f>
        <v>9550000</v>
      </c>
      <c r="F160" s="119">
        <f>SUM(F157:F159)</f>
        <v>17850000</v>
      </c>
      <c r="G160" s="119">
        <f>SUM(G157:G159)</f>
        <v>8300000</v>
      </c>
      <c r="H160" s="119">
        <f>SUM(H157:H159)</f>
        <v>0</v>
      </c>
      <c r="I160" s="117"/>
      <c r="J160" s="119">
        <f>SUM(J157:J159)</f>
        <v>35700000</v>
      </c>
    </row>
    <row r="161" spans="2:10" x14ac:dyDescent="0.25">
      <c r="B161" s="109"/>
      <c r="C161" s="118" t="s">
        <v>439</v>
      </c>
      <c r="D161" s="119">
        <f>SUM(D160,D155,D149,D145,D141,D131,D124)</f>
        <v>1098928</v>
      </c>
      <c r="E161" s="119">
        <f>SUM(E160,E155,E149,E145,E141,E131,E124)</f>
        <v>10342111.92</v>
      </c>
      <c r="F161" s="119">
        <f>SUM(F160,F155,F149,F145,F141,F131,F124)</f>
        <v>18554219.977600001</v>
      </c>
      <c r="G161" s="119">
        <f>SUM(G160,G155,G149,G145,G141,G131,G124)</f>
        <v>8995491.9769280013</v>
      </c>
      <c r="H161" s="119">
        <f>SUM(H160,H155,H149,H145,H141,H131,H124)</f>
        <v>684792.13623583992</v>
      </c>
      <c r="I161" s="117"/>
      <c r="J161" s="119">
        <f t="shared" si="13"/>
        <v>39675544.010763846</v>
      </c>
    </row>
    <row r="162" spans="2:10" x14ac:dyDescent="0.25">
      <c r="B162" s="110"/>
      <c r="C162" s="112"/>
      <c r="D162" s="112"/>
      <c r="E162" s="112"/>
      <c r="F162" s="112"/>
      <c r="G162" s="112"/>
      <c r="H162" s="112"/>
      <c r="I162" s="112"/>
      <c r="J162" s="112" t="s">
        <v>425</v>
      </c>
    </row>
    <row r="163" spans="2:10" x14ac:dyDescent="0.25">
      <c r="B163" s="103" t="s">
        <v>440</v>
      </c>
      <c r="C163" s="127" t="s">
        <v>440</v>
      </c>
      <c r="D163" s="113"/>
      <c r="E163" s="113"/>
      <c r="F163" s="113"/>
      <c r="G163" s="113"/>
      <c r="H163" s="113"/>
      <c r="I163" s="112"/>
      <c r="J163" s="113" t="s">
        <v>425</v>
      </c>
    </row>
    <row r="164" spans="2:10" x14ac:dyDescent="0.25">
      <c r="B164" s="108"/>
      <c r="C164" s="114" t="s">
        <v>441</v>
      </c>
      <c r="D164" s="128">
        <v>189211</v>
      </c>
      <c r="E164" s="128">
        <f>(D164*0.03)+D164</f>
        <v>194887.33</v>
      </c>
      <c r="F164" s="128">
        <f t="shared" ref="F164:H164" si="17">(E164*0.03)+E164</f>
        <v>200733.94989999998</v>
      </c>
      <c r="G164" s="128">
        <f t="shared" si="17"/>
        <v>206755.96839699999</v>
      </c>
      <c r="H164" s="128">
        <f t="shared" si="17"/>
        <v>212958.64744890999</v>
      </c>
      <c r="I164" s="117"/>
      <c r="J164" s="115">
        <f>SUM(D164:H164)</f>
        <v>1004546.89574591</v>
      </c>
    </row>
    <row r="165" spans="2:10" x14ac:dyDescent="0.25">
      <c r="B165" s="108"/>
      <c r="C165" s="114"/>
      <c r="D165" s="121"/>
      <c r="E165" s="121"/>
      <c r="F165" s="121"/>
      <c r="G165" s="121"/>
      <c r="H165" s="121"/>
      <c r="I165" s="117"/>
      <c r="J165" s="115">
        <f t="shared" ref="J165" si="18">SUM(D165:H165)</f>
        <v>0</v>
      </c>
    </row>
    <row r="166" spans="2:10" x14ac:dyDescent="0.25">
      <c r="B166" s="109"/>
      <c r="C166" s="118" t="s">
        <v>442</v>
      </c>
      <c r="D166" s="119">
        <f>SUM(D164:D165)</f>
        <v>189211</v>
      </c>
      <c r="E166" s="119">
        <f t="shared" ref="E166:H166" si="19">SUM(E164:E165)</f>
        <v>194887.33</v>
      </c>
      <c r="F166" s="119">
        <f t="shared" si="19"/>
        <v>200733.94989999998</v>
      </c>
      <c r="G166" s="119">
        <f t="shared" si="19"/>
        <v>206755.96839699999</v>
      </c>
      <c r="H166" s="119">
        <f t="shared" si="19"/>
        <v>212958.64744890999</v>
      </c>
      <c r="I166" s="117"/>
      <c r="J166" s="119">
        <f>SUM(J164:J165)</f>
        <v>1004546.89574591</v>
      </c>
    </row>
    <row r="167" spans="2:10" ht="15.75" thickBot="1" x14ac:dyDescent="0.3">
      <c r="B167" s="110"/>
      <c r="C167" s="112"/>
      <c r="D167" s="112"/>
      <c r="E167" s="112"/>
      <c r="F167" s="112"/>
      <c r="G167" s="112"/>
      <c r="H167" s="112"/>
      <c r="I167" s="112"/>
      <c r="J167" s="112" t="s">
        <v>425</v>
      </c>
    </row>
    <row r="168" spans="2:10" ht="15.75" thickBot="1" x14ac:dyDescent="0.3">
      <c r="B168" s="111" t="s">
        <v>443</v>
      </c>
      <c r="C168" s="129"/>
      <c r="D168" s="130">
        <f>SUM(D166,D161)</f>
        <v>1288139</v>
      </c>
      <c r="E168" s="130">
        <f t="shared" ref="E168:J168" si="20">SUM(E166,E161)</f>
        <v>10536999.25</v>
      </c>
      <c r="F168" s="130">
        <f t="shared" si="20"/>
        <v>18754953.927500002</v>
      </c>
      <c r="G168" s="130">
        <f t="shared" si="20"/>
        <v>9202247.9453250021</v>
      </c>
      <c r="H168" s="130">
        <f t="shared" si="20"/>
        <v>897750.78368474985</v>
      </c>
      <c r="I168" s="117"/>
      <c r="J168" s="130">
        <f t="shared" si="20"/>
        <v>40680090.906509757</v>
      </c>
    </row>
  </sheetData>
  <mergeCells count="8">
    <mergeCell ref="A115:B115"/>
    <mergeCell ref="A1:J1"/>
    <mergeCell ref="A4:J4"/>
    <mergeCell ref="A7:A11"/>
    <mergeCell ref="B8:B11"/>
    <mergeCell ref="A14:A106"/>
    <mergeCell ref="A107:C107"/>
    <mergeCell ref="A12:C12"/>
  </mergeCells>
  <printOptions gridLines="1"/>
  <pageMargins left="0.18" right="0.18" top="0.26" bottom="0.36" header="0.53" footer="0.36"/>
  <pageSetup scale="43" orientation="portrait" verticalDpi="52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42"/>
  <sheetViews>
    <sheetView zoomScale="70" zoomScaleNormal="70" zoomScaleSheetLayoutView="100" workbookViewId="0">
      <pane xSplit="1" ySplit="2" topLeftCell="B109" activePane="bottomRight" state="frozen"/>
      <selection pane="topRight" activeCell="B1" sqref="B1"/>
      <selection pane="bottomLeft" activeCell="A3" sqref="A3"/>
      <selection pane="bottomRight" activeCell="K123" sqref="K123"/>
    </sheetView>
  </sheetViews>
  <sheetFormatPr defaultRowHeight="15" x14ac:dyDescent="0.25"/>
  <cols>
    <col min="1" max="1" width="33.28515625" style="5" customWidth="1"/>
    <col min="2" max="2" width="53.28515625" style="9" customWidth="1"/>
    <col min="3" max="3" width="32.140625" style="9" customWidth="1"/>
    <col min="4" max="4" width="41.7109375" style="5" customWidth="1"/>
    <col min="5" max="5" width="17.85546875" style="76" customWidth="1"/>
    <col min="6" max="6" width="18.5703125" style="5" customWidth="1"/>
    <col min="7" max="8" width="19.5703125" style="5" customWidth="1"/>
    <col min="9" max="9" width="18.28515625" style="5" customWidth="1"/>
    <col min="10" max="10" width="15.5703125" style="5" bestFit="1" customWidth="1"/>
    <col min="11" max="11" width="19.85546875" style="8" customWidth="1"/>
    <col min="12" max="12" width="9.140625" style="16"/>
    <col min="13" max="13" width="9.140625" style="2"/>
    <col min="14" max="14" width="19.28515625" style="2" bestFit="1" customWidth="1"/>
    <col min="15" max="16384" width="9.140625" style="2"/>
  </cols>
  <sheetData>
    <row r="1" spans="1:12" s="1" customFormat="1" ht="14.25" x14ac:dyDescent="0.2">
      <c r="A1" s="144" t="s">
        <v>35</v>
      </c>
      <c r="B1" s="144"/>
      <c r="C1" s="144"/>
      <c r="D1" s="144"/>
      <c r="E1" s="144"/>
      <c r="F1" s="144"/>
      <c r="G1" s="144"/>
      <c r="H1" s="144"/>
      <c r="I1" s="144"/>
      <c r="J1" s="144"/>
      <c r="K1" s="144"/>
      <c r="L1" s="15"/>
    </row>
    <row r="2" spans="1:12" s="1" customFormat="1" ht="57" x14ac:dyDescent="0.2">
      <c r="A2" s="32" t="s">
        <v>25</v>
      </c>
      <c r="B2" s="32" t="s">
        <v>0</v>
      </c>
      <c r="C2" s="32" t="s">
        <v>208</v>
      </c>
      <c r="D2" s="33" t="s">
        <v>1</v>
      </c>
      <c r="E2" s="32" t="s">
        <v>13</v>
      </c>
      <c r="F2" s="32" t="s">
        <v>14</v>
      </c>
      <c r="G2" s="32" t="s">
        <v>15</v>
      </c>
      <c r="H2" s="32" t="s">
        <v>16</v>
      </c>
      <c r="I2" s="32" t="s">
        <v>17</v>
      </c>
      <c r="J2" s="37" t="s">
        <v>18</v>
      </c>
      <c r="K2" s="38" t="s">
        <v>473</v>
      </c>
      <c r="L2" s="15"/>
    </row>
    <row r="3" spans="1:12" s="4" customFormat="1" ht="14.25" x14ac:dyDescent="0.2">
      <c r="A3" s="43"/>
      <c r="B3" s="44"/>
      <c r="C3" s="44"/>
      <c r="D3" s="45"/>
      <c r="E3" s="46"/>
      <c r="F3" s="46"/>
      <c r="G3" s="46"/>
      <c r="H3" s="46"/>
      <c r="I3" s="46"/>
      <c r="J3" s="46"/>
      <c r="K3" s="46"/>
      <c r="L3" s="17"/>
    </row>
    <row r="4" spans="1:12" x14ac:dyDescent="0.25">
      <c r="A4" s="145" t="s">
        <v>463</v>
      </c>
      <c r="B4" s="145"/>
      <c r="C4" s="145"/>
      <c r="D4" s="145"/>
      <c r="E4" s="145"/>
      <c r="F4" s="145"/>
      <c r="G4" s="145"/>
      <c r="H4" s="145"/>
      <c r="I4" s="145"/>
      <c r="J4" s="145"/>
      <c r="K4" s="145"/>
    </row>
    <row r="5" spans="1:12" s="4" customFormat="1" ht="14.25" x14ac:dyDescent="0.2">
      <c r="A5" s="43"/>
      <c r="B5" s="44"/>
      <c r="C5" s="44"/>
      <c r="D5" s="45"/>
      <c r="E5" s="46"/>
      <c r="F5" s="46"/>
      <c r="G5" s="46"/>
      <c r="H5" s="46"/>
      <c r="I5" s="46"/>
      <c r="J5" s="46"/>
      <c r="K5" s="46"/>
      <c r="L5" s="17"/>
    </row>
    <row r="6" spans="1:12" s="4" customFormat="1" ht="14.25" x14ac:dyDescent="0.2">
      <c r="A6" s="50"/>
      <c r="B6" s="56"/>
      <c r="C6" s="56"/>
      <c r="D6" s="30"/>
      <c r="E6" s="54"/>
      <c r="F6" s="54"/>
      <c r="G6" s="54"/>
      <c r="H6" s="54"/>
      <c r="I6" s="54"/>
      <c r="J6" s="54"/>
      <c r="K6" s="54"/>
      <c r="L6" s="17"/>
    </row>
    <row r="7" spans="1:12" s="36" customFormat="1" ht="75" x14ac:dyDescent="0.25">
      <c r="A7" s="153" t="s">
        <v>206</v>
      </c>
      <c r="B7" s="12" t="s">
        <v>205</v>
      </c>
      <c r="C7" s="58" t="s">
        <v>209</v>
      </c>
      <c r="D7" s="12" t="s">
        <v>483</v>
      </c>
      <c r="E7" s="80">
        <v>1751662</v>
      </c>
      <c r="F7" s="80">
        <v>1749362</v>
      </c>
      <c r="G7" s="80">
        <v>1749362</v>
      </c>
      <c r="H7" s="80">
        <v>1749362</v>
      </c>
      <c r="I7" s="80">
        <v>1749362</v>
      </c>
      <c r="J7" s="80">
        <v>0</v>
      </c>
      <c r="K7" s="80">
        <f>SUM(E7:J7)</f>
        <v>8749110</v>
      </c>
      <c r="L7" s="35"/>
    </row>
    <row r="8" spans="1:12" s="36" customFormat="1" x14ac:dyDescent="0.25">
      <c r="A8" s="154"/>
      <c r="B8" s="152" t="s">
        <v>207</v>
      </c>
      <c r="C8" s="68" t="s">
        <v>214</v>
      </c>
      <c r="D8" s="68" t="s">
        <v>256</v>
      </c>
      <c r="E8" s="67">
        <v>0</v>
      </c>
      <c r="F8" s="67">
        <v>0</v>
      </c>
      <c r="G8" s="67">
        <v>1800</v>
      </c>
      <c r="H8" s="67">
        <v>0</v>
      </c>
      <c r="I8" s="67">
        <v>0</v>
      </c>
      <c r="J8" s="67">
        <v>0</v>
      </c>
      <c r="K8" s="67">
        <f t="shared" ref="K8:K70" si="0">SUM(E8:J8)</f>
        <v>1800</v>
      </c>
      <c r="L8" s="35"/>
    </row>
    <row r="9" spans="1:12" s="36" customFormat="1" x14ac:dyDescent="0.25">
      <c r="A9" s="154"/>
      <c r="B9" s="152"/>
      <c r="C9" s="68" t="s">
        <v>214</v>
      </c>
      <c r="D9" s="68" t="s">
        <v>257</v>
      </c>
      <c r="E9" s="67">
        <v>0</v>
      </c>
      <c r="F9" s="67">
        <v>0</v>
      </c>
      <c r="G9" s="67">
        <v>84000</v>
      </c>
      <c r="H9" s="67">
        <v>0</v>
      </c>
      <c r="I9" s="67">
        <v>0</v>
      </c>
      <c r="J9" s="67">
        <v>0</v>
      </c>
      <c r="K9" s="67">
        <f t="shared" si="0"/>
        <v>84000</v>
      </c>
      <c r="L9" s="35"/>
    </row>
    <row r="10" spans="1:12" s="36" customFormat="1" ht="25.5" x14ac:dyDescent="0.25">
      <c r="A10" s="154"/>
      <c r="B10" s="152"/>
      <c r="C10" s="69" t="s">
        <v>214</v>
      </c>
      <c r="D10" s="71" t="s">
        <v>258</v>
      </c>
      <c r="E10" s="67">
        <v>0</v>
      </c>
      <c r="F10" s="67">
        <v>0</v>
      </c>
      <c r="G10" s="67">
        <v>106000</v>
      </c>
      <c r="H10" s="67">
        <v>0</v>
      </c>
      <c r="I10" s="67">
        <v>0</v>
      </c>
      <c r="J10" s="67">
        <v>0</v>
      </c>
      <c r="K10" s="67">
        <f t="shared" si="0"/>
        <v>106000</v>
      </c>
      <c r="L10" s="35"/>
    </row>
    <row r="11" spans="1:12" s="36" customFormat="1" ht="25.5" x14ac:dyDescent="0.25">
      <c r="A11" s="154"/>
      <c r="B11" s="152"/>
      <c r="C11" s="69" t="s">
        <v>214</v>
      </c>
      <c r="D11" s="72" t="s">
        <v>259</v>
      </c>
      <c r="E11" s="67">
        <v>0</v>
      </c>
      <c r="F11" s="67">
        <v>0</v>
      </c>
      <c r="G11" s="67">
        <v>4200</v>
      </c>
      <c r="H11" s="67">
        <v>0</v>
      </c>
      <c r="I11" s="67">
        <v>0</v>
      </c>
      <c r="J11" s="67">
        <v>0</v>
      </c>
      <c r="K11" s="67">
        <f t="shared" si="0"/>
        <v>4200</v>
      </c>
      <c r="L11" s="35"/>
    </row>
    <row r="12" spans="1:12" s="36" customFormat="1" x14ac:dyDescent="0.25">
      <c r="A12" s="154"/>
      <c r="B12" s="152"/>
      <c r="C12" s="69" t="s">
        <v>215</v>
      </c>
      <c r="D12" s="69" t="s">
        <v>260</v>
      </c>
      <c r="E12" s="67">
        <v>0</v>
      </c>
      <c r="F12" s="67">
        <v>0</v>
      </c>
      <c r="G12" s="67">
        <v>5000</v>
      </c>
      <c r="H12" s="67">
        <v>0</v>
      </c>
      <c r="I12" s="67">
        <v>0</v>
      </c>
      <c r="J12" s="67">
        <v>0</v>
      </c>
      <c r="K12" s="67">
        <f t="shared" si="0"/>
        <v>5000</v>
      </c>
      <c r="L12" s="35"/>
    </row>
    <row r="13" spans="1:12" s="36" customFormat="1" ht="76.5" x14ac:dyDescent="0.25">
      <c r="A13" s="154"/>
      <c r="B13" s="152"/>
      <c r="C13" s="69" t="s">
        <v>215</v>
      </c>
      <c r="D13" s="74" t="s">
        <v>261</v>
      </c>
      <c r="E13" s="67">
        <v>0</v>
      </c>
      <c r="F13" s="67">
        <v>150000</v>
      </c>
      <c r="G13" s="67">
        <v>350000</v>
      </c>
      <c r="H13" s="67">
        <v>350000</v>
      </c>
      <c r="I13" s="67">
        <v>150000</v>
      </c>
      <c r="J13" s="67">
        <v>0</v>
      </c>
      <c r="K13" s="67">
        <f t="shared" si="0"/>
        <v>1000000</v>
      </c>
      <c r="L13" s="35"/>
    </row>
    <row r="14" spans="1:12" s="36" customFormat="1" x14ac:dyDescent="0.25">
      <c r="A14" s="154"/>
      <c r="B14" s="152"/>
      <c r="C14" s="70" t="s">
        <v>216</v>
      </c>
      <c r="D14" s="70" t="s">
        <v>262</v>
      </c>
      <c r="E14" s="67">
        <v>0</v>
      </c>
      <c r="F14" s="67">
        <v>15000</v>
      </c>
      <c r="G14" s="67">
        <v>15000</v>
      </c>
      <c r="H14" s="67">
        <v>0</v>
      </c>
      <c r="I14" s="67">
        <v>0</v>
      </c>
      <c r="J14" s="67">
        <v>0</v>
      </c>
      <c r="K14" s="67">
        <f t="shared" si="0"/>
        <v>30000</v>
      </c>
      <c r="L14" s="35"/>
    </row>
    <row r="15" spans="1:12" s="36" customFormat="1" x14ac:dyDescent="0.25">
      <c r="A15" s="154"/>
      <c r="B15" s="152"/>
      <c r="C15" s="70" t="s">
        <v>217</v>
      </c>
      <c r="D15" s="70" t="s">
        <v>263</v>
      </c>
      <c r="E15" s="67">
        <v>0</v>
      </c>
      <c r="F15" s="67">
        <v>26000</v>
      </c>
      <c r="G15" s="67">
        <v>26000</v>
      </c>
      <c r="H15" s="67">
        <v>0</v>
      </c>
      <c r="I15" s="67">
        <v>0</v>
      </c>
      <c r="J15" s="67">
        <v>0</v>
      </c>
      <c r="K15" s="67">
        <f t="shared" si="0"/>
        <v>52000</v>
      </c>
      <c r="L15" s="35"/>
    </row>
    <row r="16" spans="1:12" s="36" customFormat="1" ht="30" x14ac:dyDescent="0.25">
      <c r="A16" s="154"/>
      <c r="B16" s="152"/>
      <c r="C16" s="68" t="s">
        <v>218</v>
      </c>
      <c r="D16" s="68" t="s">
        <v>264</v>
      </c>
      <c r="E16" s="67">
        <v>0</v>
      </c>
      <c r="F16" s="67">
        <v>30000</v>
      </c>
      <c r="G16" s="67">
        <v>30000</v>
      </c>
      <c r="H16" s="67">
        <v>0</v>
      </c>
      <c r="I16" s="67">
        <v>0</v>
      </c>
      <c r="J16" s="67">
        <v>0</v>
      </c>
      <c r="K16" s="67">
        <f t="shared" si="0"/>
        <v>60000</v>
      </c>
      <c r="L16" s="35"/>
    </row>
    <row r="17" spans="1:12" s="36" customFormat="1" x14ac:dyDescent="0.25">
      <c r="A17" s="154"/>
      <c r="B17" s="152"/>
      <c r="C17" s="68" t="s">
        <v>219</v>
      </c>
      <c r="D17" s="68" t="s">
        <v>265</v>
      </c>
      <c r="E17" s="67">
        <v>0</v>
      </c>
      <c r="F17" s="67">
        <v>6000</v>
      </c>
      <c r="G17" s="67">
        <v>0</v>
      </c>
      <c r="H17" s="67">
        <v>0</v>
      </c>
      <c r="I17" s="67">
        <v>0</v>
      </c>
      <c r="J17" s="67">
        <v>0</v>
      </c>
      <c r="K17" s="67">
        <f t="shared" si="0"/>
        <v>6000</v>
      </c>
      <c r="L17" s="35"/>
    </row>
    <row r="18" spans="1:12" s="36" customFormat="1" ht="38.25" x14ac:dyDescent="0.25">
      <c r="A18" s="154"/>
      <c r="B18" s="152"/>
      <c r="C18" s="71" t="s">
        <v>220</v>
      </c>
      <c r="D18" s="71" t="s">
        <v>266</v>
      </c>
      <c r="E18" s="67">
        <v>0</v>
      </c>
      <c r="F18" s="67">
        <v>200000</v>
      </c>
      <c r="G18" s="67">
        <v>500000</v>
      </c>
      <c r="H18" s="67">
        <v>500000</v>
      </c>
      <c r="I18" s="67">
        <v>200000</v>
      </c>
      <c r="J18" s="67">
        <v>0</v>
      </c>
      <c r="K18" s="67">
        <f t="shared" si="0"/>
        <v>1400000</v>
      </c>
      <c r="L18" s="35"/>
    </row>
    <row r="19" spans="1:12" s="36" customFormat="1" ht="38.25" x14ac:dyDescent="0.25">
      <c r="A19" s="154"/>
      <c r="B19" s="152"/>
      <c r="C19" s="71" t="s">
        <v>220</v>
      </c>
      <c r="D19" s="71" t="s">
        <v>267</v>
      </c>
      <c r="E19" s="67">
        <v>0</v>
      </c>
      <c r="F19" s="67">
        <v>150000</v>
      </c>
      <c r="G19" s="67">
        <v>350000</v>
      </c>
      <c r="H19" s="67">
        <v>350000</v>
      </c>
      <c r="I19" s="67">
        <v>150000</v>
      </c>
      <c r="J19" s="67">
        <v>0</v>
      </c>
      <c r="K19" s="67">
        <f t="shared" si="0"/>
        <v>1000000</v>
      </c>
      <c r="L19" s="35"/>
    </row>
    <row r="20" spans="1:12" s="36" customFormat="1" ht="38.25" x14ac:dyDescent="0.25">
      <c r="A20" s="154"/>
      <c r="B20" s="152"/>
      <c r="C20" s="71" t="s">
        <v>220</v>
      </c>
      <c r="D20" s="71" t="s">
        <v>268</v>
      </c>
      <c r="E20" s="67">
        <v>0</v>
      </c>
      <c r="F20" s="67">
        <v>0</v>
      </c>
      <c r="G20" s="67">
        <v>35000</v>
      </c>
      <c r="H20" s="67">
        <v>35000</v>
      </c>
      <c r="I20" s="67">
        <v>0</v>
      </c>
      <c r="J20" s="67">
        <v>0</v>
      </c>
      <c r="K20" s="67">
        <f t="shared" si="0"/>
        <v>70000</v>
      </c>
      <c r="L20" s="35"/>
    </row>
    <row r="21" spans="1:12" s="36" customFormat="1" x14ac:dyDescent="0.25">
      <c r="A21" s="154"/>
      <c r="B21" s="152"/>
      <c r="C21" s="71" t="s">
        <v>220</v>
      </c>
      <c r="D21" s="71" t="s">
        <v>308</v>
      </c>
      <c r="E21" s="67">
        <v>0</v>
      </c>
      <c r="F21" s="67">
        <v>0</v>
      </c>
      <c r="G21" s="67">
        <v>32000</v>
      </c>
      <c r="H21" s="67">
        <v>32000</v>
      </c>
      <c r="I21" s="67">
        <v>0</v>
      </c>
      <c r="J21" s="67">
        <v>0</v>
      </c>
      <c r="K21" s="67">
        <f t="shared" si="0"/>
        <v>64000</v>
      </c>
      <c r="L21" s="35"/>
    </row>
    <row r="22" spans="1:12" s="36" customFormat="1" ht="45" x14ac:dyDescent="0.25">
      <c r="A22" s="154"/>
      <c r="B22" s="152"/>
      <c r="C22" s="68" t="s">
        <v>220</v>
      </c>
      <c r="D22" s="68" t="s">
        <v>307</v>
      </c>
      <c r="E22" s="67">
        <v>0</v>
      </c>
      <c r="F22" s="67">
        <v>0</v>
      </c>
      <c r="G22" s="67">
        <v>69500</v>
      </c>
      <c r="H22" s="67">
        <v>69500</v>
      </c>
      <c r="I22" s="67">
        <v>0</v>
      </c>
      <c r="J22" s="67">
        <v>0</v>
      </c>
      <c r="K22" s="67">
        <f t="shared" si="0"/>
        <v>139000</v>
      </c>
      <c r="L22" s="35"/>
    </row>
    <row r="23" spans="1:12" s="36" customFormat="1" ht="51" x14ac:dyDescent="0.25">
      <c r="A23" s="154"/>
      <c r="B23" s="152"/>
      <c r="C23" s="71" t="s">
        <v>220</v>
      </c>
      <c r="D23" s="71" t="s">
        <v>269</v>
      </c>
      <c r="E23" s="67">
        <v>0</v>
      </c>
      <c r="F23" s="67">
        <v>11000</v>
      </c>
      <c r="G23" s="67">
        <v>15000</v>
      </c>
      <c r="H23" s="67">
        <v>15000</v>
      </c>
      <c r="I23" s="67">
        <v>0</v>
      </c>
      <c r="J23" s="67">
        <v>0</v>
      </c>
      <c r="K23" s="67">
        <f t="shared" si="0"/>
        <v>41000</v>
      </c>
      <c r="L23" s="35"/>
    </row>
    <row r="24" spans="1:12" s="36" customFormat="1" ht="38.25" x14ac:dyDescent="0.25">
      <c r="A24" s="154"/>
      <c r="B24" s="152"/>
      <c r="C24" s="71" t="s">
        <v>220</v>
      </c>
      <c r="D24" s="71" t="s">
        <v>270</v>
      </c>
      <c r="E24" s="67">
        <v>0</v>
      </c>
      <c r="F24" s="67">
        <v>0</v>
      </c>
      <c r="G24" s="67">
        <v>12000</v>
      </c>
      <c r="H24" s="67">
        <v>12000</v>
      </c>
      <c r="I24" s="67">
        <v>0</v>
      </c>
      <c r="J24" s="67">
        <v>0</v>
      </c>
      <c r="K24" s="67">
        <f t="shared" si="0"/>
        <v>24000</v>
      </c>
      <c r="L24" s="35"/>
    </row>
    <row r="25" spans="1:12" s="36" customFormat="1" ht="45" x14ac:dyDescent="0.25">
      <c r="A25" s="154"/>
      <c r="B25" s="152"/>
      <c r="C25" s="70" t="s">
        <v>220</v>
      </c>
      <c r="D25" s="70" t="s">
        <v>271</v>
      </c>
      <c r="E25" s="67">
        <v>0</v>
      </c>
      <c r="F25" s="67">
        <v>0</v>
      </c>
      <c r="G25" s="67">
        <v>15000</v>
      </c>
      <c r="H25" s="67">
        <v>15000</v>
      </c>
      <c r="I25" s="67">
        <v>0</v>
      </c>
      <c r="J25" s="67">
        <v>0</v>
      </c>
      <c r="K25" s="67">
        <f t="shared" si="0"/>
        <v>30000</v>
      </c>
      <c r="L25" s="35"/>
    </row>
    <row r="26" spans="1:12" s="36" customFormat="1" ht="30" x14ac:dyDescent="0.25">
      <c r="A26" s="154"/>
      <c r="B26" s="152"/>
      <c r="C26" s="68" t="s">
        <v>221</v>
      </c>
      <c r="D26" s="68" t="s">
        <v>486</v>
      </c>
      <c r="E26" s="67">
        <v>0</v>
      </c>
      <c r="F26" s="67">
        <v>0</v>
      </c>
      <c r="G26" s="67">
        <v>10747</v>
      </c>
      <c r="H26" s="67"/>
      <c r="I26" s="67">
        <v>0</v>
      </c>
      <c r="J26" s="67">
        <v>0</v>
      </c>
      <c r="K26" s="67">
        <f t="shared" si="0"/>
        <v>10747</v>
      </c>
      <c r="L26" s="35"/>
    </row>
    <row r="27" spans="1:12" s="36" customFormat="1" x14ac:dyDescent="0.25">
      <c r="A27" s="154"/>
      <c r="B27" s="152"/>
      <c r="C27" s="68" t="s">
        <v>222</v>
      </c>
      <c r="D27" s="68" t="s">
        <v>272</v>
      </c>
      <c r="E27" s="67">
        <v>0</v>
      </c>
      <c r="F27" s="67">
        <v>0</v>
      </c>
      <c r="G27" s="67">
        <v>12000</v>
      </c>
      <c r="H27" s="67">
        <v>12000</v>
      </c>
      <c r="I27" s="67">
        <v>0</v>
      </c>
      <c r="J27" s="67">
        <v>0</v>
      </c>
      <c r="K27" s="67">
        <f t="shared" si="0"/>
        <v>24000</v>
      </c>
      <c r="L27" s="35"/>
    </row>
    <row r="28" spans="1:12" s="36" customFormat="1" ht="25.5" x14ac:dyDescent="0.25">
      <c r="A28" s="154"/>
      <c r="B28" s="152"/>
      <c r="C28" s="69" t="s">
        <v>223</v>
      </c>
      <c r="D28" s="71" t="s">
        <v>273</v>
      </c>
      <c r="E28" s="67">
        <v>0</v>
      </c>
      <c r="F28" s="67">
        <v>0</v>
      </c>
      <c r="G28" s="67">
        <v>32500</v>
      </c>
      <c r="H28" s="67">
        <v>32500</v>
      </c>
      <c r="I28" s="67">
        <v>0</v>
      </c>
      <c r="J28" s="67">
        <v>0</v>
      </c>
      <c r="K28" s="67">
        <f t="shared" si="0"/>
        <v>65000</v>
      </c>
      <c r="L28" s="35"/>
    </row>
    <row r="29" spans="1:12" s="36" customFormat="1" x14ac:dyDescent="0.25">
      <c r="A29" s="154"/>
      <c r="B29" s="152"/>
      <c r="C29" s="68" t="s">
        <v>224</v>
      </c>
      <c r="D29" s="68" t="s">
        <v>274</v>
      </c>
      <c r="E29" s="67">
        <v>0</v>
      </c>
      <c r="F29" s="67">
        <v>0</v>
      </c>
      <c r="G29" s="67">
        <v>20000</v>
      </c>
      <c r="H29" s="67">
        <v>20000</v>
      </c>
      <c r="I29" s="67">
        <v>0</v>
      </c>
      <c r="J29" s="67">
        <v>0</v>
      </c>
      <c r="K29" s="67">
        <f t="shared" si="0"/>
        <v>40000</v>
      </c>
      <c r="L29" s="35"/>
    </row>
    <row r="30" spans="1:12" s="36" customFormat="1" x14ac:dyDescent="0.25">
      <c r="A30" s="154"/>
      <c r="B30" s="152"/>
      <c r="C30" s="68" t="s">
        <v>224</v>
      </c>
      <c r="D30" s="68" t="s">
        <v>275</v>
      </c>
      <c r="E30" s="67">
        <v>0</v>
      </c>
      <c r="F30" s="67">
        <v>0</v>
      </c>
      <c r="G30" s="67">
        <v>50000</v>
      </c>
      <c r="H30" s="67"/>
      <c r="I30" s="67">
        <v>0</v>
      </c>
      <c r="J30" s="67">
        <v>0</v>
      </c>
      <c r="K30" s="67">
        <f t="shared" si="0"/>
        <v>50000</v>
      </c>
      <c r="L30" s="35"/>
    </row>
    <row r="31" spans="1:12" s="36" customFormat="1" ht="30" x14ac:dyDescent="0.25">
      <c r="A31" s="154"/>
      <c r="B31" s="152"/>
      <c r="C31" s="68" t="s">
        <v>225</v>
      </c>
      <c r="D31" s="68" t="s">
        <v>276</v>
      </c>
      <c r="E31" s="67">
        <v>0</v>
      </c>
      <c r="F31" s="67">
        <v>15000</v>
      </c>
      <c r="G31" s="67">
        <v>30000</v>
      </c>
      <c r="H31" s="67">
        <v>15000</v>
      </c>
      <c r="I31" s="67">
        <v>0</v>
      </c>
      <c r="J31" s="67">
        <v>0</v>
      </c>
      <c r="K31" s="67">
        <f t="shared" si="0"/>
        <v>60000</v>
      </c>
      <c r="L31" s="35"/>
    </row>
    <row r="32" spans="1:12" s="36" customFormat="1" ht="38.25" x14ac:dyDescent="0.25">
      <c r="A32" s="154"/>
      <c r="B32" s="152"/>
      <c r="C32" s="71" t="s">
        <v>226</v>
      </c>
      <c r="D32" s="71" t="s">
        <v>277</v>
      </c>
      <c r="E32" s="67">
        <v>0</v>
      </c>
      <c r="F32" s="67">
        <v>0</v>
      </c>
      <c r="G32" s="67">
        <v>100000</v>
      </c>
      <c r="H32" s="67">
        <v>55000</v>
      </c>
      <c r="I32" s="67">
        <v>50000</v>
      </c>
      <c r="J32" s="67">
        <v>0</v>
      </c>
      <c r="K32" s="67">
        <f t="shared" si="0"/>
        <v>205000</v>
      </c>
      <c r="L32" s="35"/>
    </row>
    <row r="33" spans="1:12" s="36" customFormat="1" ht="30" x14ac:dyDescent="0.25">
      <c r="A33" s="154"/>
      <c r="B33" s="152"/>
      <c r="C33" s="68" t="s">
        <v>226</v>
      </c>
      <c r="D33" s="68" t="s">
        <v>278</v>
      </c>
      <c r="E33" s="67">
        <v>0</v>
      </c>
      <c r="F33" s="67">
        <v>0</v>
      </c>
      <c r="G33" s="67">
        <v>675000</v>
      </c>
      <c r="H33" s="67">
        <v>675000</v>
      </c>
      <c r="I33" s="67">
        <v>0</v>
      </c>
      <c r="J33" s="67">
        <v>0</v>
      </c>
      <c r="K33" s="67">
        <f t="shared" si="0"/>
        <v>1350000</v>
      </c>
      <c r="L33" s="35"/>
    </row>
    <row r="34" spans="1:12" s="36" customFormat="1" ht="30" x14ac:dyDescent="0.25">
      <c r="A34" s="154"/>
      <c r="B34" s="152"/>
      <c r="C34" s="68" t="s">
        <v>226</v>
      </c>
      <c r="D34" s="68" t="s">
        <v>279</v>
      </c>
      <c r="E34" s="67">
        <v>0</v>
      </c>
      <c r="F34" s="67">
        <v>45600</v>
      </c>
      <c r="G34" s="67">
        <v>150000</v>
      </c>
      <c r="H34" s="67">
        <v>150000</v>
      </c>
      <c r="I34" s="67">
        <v>0</v>
      </c>
      <c r="J34" s="67">
        <v>0</v>
      </c>
      <c r="K34" s="67">
        <f t="shared" si="0"/>
        <v>345600</v>
      </c>
      <c r="L34" s="35"/>
    </row>
    <row r="35" spans="1:12" s="36" customFormat="1" x14ac:dyDescent="0.25">
      <c r="A35" s="154"/>
      <c r="B35" s="152"/>
      <c r="C35" s="68" t="s">
        <v>226</v>
      </c>
      <c r="D35" s="68" t="s">
        <v>280</v>
      </c>
      <c r="E35" s="67">
        <v>0</v>
      </c>
      <c r="F35" s="67">
        <v>0</v>
      </c>
      <c r="G35" s="67">
        <v>30000</v>
      </c>
      <c r="H35" s="67">
        <v>0</v>
      </c>
      <c r="I35" s="67">
        <v>0</v>
      </c>
      <c r="J35" s="67">
        <v>0</v>
      </c>
      <c r="K35" s="67">
        <f t="shared" si="0"/>
        <v>30000</v>
      </c>
      <c r="L35" s="35"/>
    </row>
    <row r="36" spans="1:12" s="36" customFormat="1" x14ac:dyDescent="0.25">
      <c r="A36" s="154"/>
      <c r="B36" s="152"/>
      <c r="C36" s="68" t="s">
        <v>226</v>
      </c>
      <c r="D36" s="68" t="s">
        <v>265</v>
      </c>
      <c r="E36" s="67">
        <v>0</v>
      </c>
      <c r="F36" s="67">
        <v>0</v>
      </c>
      <c r="G36" s="67">
        <v>8400</v>
      </c>
      <c r="H36" s="67">
        <v>0</v>
      </c>
      <c r="I36" s="67">
        <v>0</v>
      </c>
      <c r="J36" s="67">
        <v>0</v>
      </c>
      <c r="K36" s="67">
        <f t="shared" si="0"/>
        <v>8400</v>
      </c>
      <c r="L36" s="35"/>
    </row>
    <row r="37" spans="1:12" s="36" customFormat="1" ht="25.5" x14ac:dyDescent="0.25">
      <c r="A37" s="154"/>
      <c r="B37" s="152"/>
      <c r="C37" s="69" t="s">
        <v>227</v>
      </c>
      <c r="D37" s="72" t="s">
        <v>281</v>
      </c>
      <c r="E37" s="67">
        <v>0</v>
      </c>
      <c r="F37" s="67">
        <v>0</v>
      </c>
      <c r="G37" s="67">
        <v>70000</v>
      </c>
      <c r="H37" s="67">
        <v>69000</v>
      </c>
      <c r="I37" s="67">
        <v>0</v>
      </c>
      <c r="J37" s="67">
        <v>0</v>
      </c>
      <c r="K37" s="67">
        <f t="shared" si="0"/>
        <v>139000</v>
      </c>
      <c r="L37" s="35"/>
    </row>
    <row r="38" spans="1:12" s="36" customFormat="1" x14ac:dyDescent="0.25">
      <c r="A38" s="154"/>
      <c r="B38" s="152"/>
      <c r="C38" s="68" t="s">
        <v>228</v>
      </c>
      <c r="D38" s="68" t="s">
        <v>282</v>
      </c>
      <c r="E38" s="67">
        <v>0</v>
      </c>
      <c r="F38" s="67">
        <v>0</v>
      </c>
      <c r="G38" s="67">
        <v>75000</v>
      </c>
      <c r="H38" s="67">
        <v>0</v>
      </c>
      <c r="I38" s="67">
        <v>0</v>
      </c>
      <c r="J38" s="67">
        <v>0</v>
      </c>
      <c r="K38" s="67">
        <f t="shared" si="0"/>
        <v>75000</v>
      </c>
      <c r="L38" s="35"/>
    </row>
    <row r="39" spans="1:12" s="36" customFormat="1" ht="30" x14ac:dyDescent="0.25">
      <c r="A39" s="154"/>
      <c r="B39" s="152"/>
      <c r="C39" s="70" t="s">
        <v>229</v>
      </c>
      <c r="D39" s="70" t="s">
        <v>283</v>
      </c>
      <c r="E39" s="67">
        <v>0</v>
      </c>
      <c r="F39" s="67">
        <v>0</v>
      </c>
      <c r="G39" s="67">
        <v>30000</v>
      </c>
      <c r="H39" s="67">
        <v>0</v>
      </c>
      <c r="I39" s="67">
        <v>0</v>
      </c>
      <c r="J39" s="67">
        <v>0</v>
      </c>
      <c r="K39" s="67">
        <f t="shared" si="0"/>
        <v>30000</v>
      </c>
      <c r="L39" s="35"/>
    </row>
    <row r="40" spans="1:12" s="36" customFormat="1" ht="25.5" x14ac:dyDescent="0.25">
      <c r="A40" s="154"/>
      <c r="B40" s="152"/>
      <c r="C40" s="69" t="s">
        <v>230</v>
      </c>
      <c r="D40" s="72" t="s">
        <v>284</v>
      </c>
      <c r="E40" s="67">
        <v>0</v>
      </c>
      <c r="F40" s="67">
        <v>50000</v>
      </c>
      <c r="G40" s="67">
        <v>153500</v>
      </c>
      <c r="H40" s="67">
        <v>50000</v>
      </c>
      <c r="I40" s="67">
        <v>50000</v>
      </c>
      <c r="J40" s="67">
        <v>0</v>
      </c>
      <c r="K40" s="67">
        <f t="shared" si="0"/>
        <v>303500</v>
      </c>
      <c r="L40" s="35"/>
    </row>
    <row r="41" spans="1:12" s="36" customFormat="1" ht="76.5" x14ac:dyDescent="0.25">
      <c r="A41" s="154"/>
      <c r="B41" s="152"/>
      <c r="C41" s="69" t="s">
        <v>231</v>
      </c>
      <c r="D41" s="72" t="s">
        <v>285</v>
      </c>
      <c r="E41" s="67">
        <v>0</v>
      </c>
      <c r="F41" s="67">
        <v>0</v>
      </c>
      <c r="G41" s="67">
        <v>1500000</v>
      </c>
      <c r="H41" s="67">
        <v>1500000</v>
      </c>
      <c r="I41" s="67">
        <v>403839</v>
      </c>
      <c r="J41" s="67">
        <v>0</v>
      </c>
      <c r="K41" s="67">
        <f t="shared" si="0"/>
        <v>3403839</v>
      </c>
      <c r="L41" s="35"/>
    </row>
    <row r="42" spans="1:12" s="36" customFormat="1" ht="38.25" x14ac:dyDescent="0.25">
      <c r="A42" s="154"/>
      <c r="B42" s="152"/>
      <c r="C42" s="69" t="s">
        <v>232</v>
      </c>
      <c r="D42" s="72" t="s">
        <v>286</v>
      </c>
      <c r="E42" s="67">
        <v>0</v>
      </c>
      <c r="F42" s="67">
        <v>0</v>
      </c>
      <c r="G42" s="67">
        <v>44500</v>
      </c>
      <c r="H42" s="67">
        <v>50000</v>
      </c>
      <c r="I42" s="67">
        <v>0</v>
      </c>
      <c r="J42" s="67">
        <v>0</v>
      </c>
      <c r="K42" s="67">
        <f t="shared" si="0"/>
        <v>94500</v>
      </c>
      <c r="L42" s="35"/>
    </row>
    <row r="43" spans="1:12" s="36" customFormat="1" ht="38.25" x14ac:dyDescent="0.25">
      <c r="A43" s="154"/>
      <c r="B43" s="152"/>
      <c r="C43" s="72" t="s">
        <v>233</v>
      </c>
      <c r="D43" s="72" t="s">
        <v>287</v>
      </c>
      <c r="E43" s="67">
        <v>0</v>
      </c>
      <c r="F43" s="67">
        <v>0</v>
      </c>
      <c r="G43" s="67">
        <v>49453</v>
      </c>
      <c r="H43" s="67">
        <v>50000</v>
      </c>
      <c r="I43" s="67">
        <v>0</v>
      </c>
      <c r="J43" s="67">
        <v>0</v>
      </c>
      <c r="K43" s="67">
        <f t="shared" si="0"/>
        <v>99453</v>
      </c>
      <c r="L43" s="35"/>
    </row>
    <row r="44" spans="1:12" s="36" customFormat="1" ht="51" x14ac:dyDescent="0.25">
      <c r="A44" s="154"/>
      <c r="B44" s="152"/>
      <c r="C44" s="72" t="s">
        <v>234</v>
      </c>
      <c r="D44" s="72" t="s">
        <v>288</v>
      </c>
      <c r="E44" s="67">
        <v>0</v>
      </c>
      <c r="F44" s="67">
        <v>62031</v>
      </c>
      <c r="G44" s="67">
        <v>200000</v>
      </c>
      <c r="H44" s="67">
        <v>100000</v>
      </c>
      <c r="I44" s="67">
        <v>100000</v>
      </c>
      <c r="J44" s="67">
        <v>0</v>
      </c>
      <c r="K44" s="67">
        <f t="shared" si="0"/>
        <v>462031</v>
      </c>
      <c r="L44" s="35"/>
    </row>
    <row r="45" spans="1:12" s="36" customFormat="1" ht="25.5" x14ac:dyDescent="0.25">
      <c r="A45" s="154"/>
      <c r="B45" s="152"/>
      <c r="C45" s="72" t="s">
        <v>234</v>
      </c>
      <c r="D45" s="72" t="s">
        <v>289</v>
      </c>
      <c r="E45" s="67">
        <v>0</v>
      </c>
      <c r="F45" s="67">
        <v>0</v>
      </c>
      <c r="G45" s="67">
        <v>1000000</v>
      </c>
      <c r="H45" s="67">
        <v>512000</v>
      </c>
      <c r="I45" s="67">
        <v>0</v>
      </c>
      <c r="J45" s="67">
        <v>0</v>
      </c>
      <c r="K45" s="67">
        <f t="shared" si="0"/>
        <v>1512000</v>
      </c>
      <c r="L45" s="35"/>
    </row>
    <row r="46" spans="1:12" s="36" customFormat="1" ht="51" x14ac:dyDescent="0.25">
      <c r="A46" s="154"/>
      <c r="B46" s="152"/>
      <c r="C46" s="72" t="s">
        <v>235</v>
      </c>
      <c r="D46" s="72" t="s">
        <v>290</v>
      </c>
      <c r="E46" s="67">
        <v>0</v>
      </c>
      <c r="F46" s="67">
        <v>35094</v>
      </c>
      <c r="G46" s="67">
        <v>150000</v>
      </c>
      <c r="H46" s="67">
        <v>100000</v>
      </c>
      <c r="I46" s="67">
        <v>50000</v>
      </c>
      <c r="J46" s="67">
        <v>0</v>
      </c>
      <c r="K46" s="67">
        <f t="shared" si="0"/>
        <v>335094</v>
      </c>
      <c r="L46" s="35"/>
    </row>
    <row r="47" spans="1:12" s="36" customFormat="1" ht="25.5" x14ac:dyDescent="0.25">
      <c r="A47" s="154"/>
      <c r="B47" s="152"/>
      <c r="C47" s="72" t="s">
        <v>235</v>
      </c>
      <c r="D47" s="72" t="s">
        <v>289</v>
      </c>
      <c r="E47" s="67">
        <v>0</v>
      </c>
      <c r="F47" s="67">
        <v>0</v>
      </c>
      <c r="G47" s="67">
        <v>1000000</v>
      </c>
      <c r="H47" s="67">
        <v>512000</v>
      </c>
      <c r="I47" s="67">
        <v>0</v>
      </c>
      <c r="J47" s="67">
        <v>0</v>
      </c>
      <c r="K47" s="67">
        <f t="shared" si="0"/>
        <v>1512000</v>
      </c>
      <c r="L47" s="35"/>
    </row>
    <row r="48" spans="1:12" s="36" customFormat="1" ht="38.25" x14ac:dyDescent="0.25">
      <c r="A48" s="154"/>
      <c r="B48" s="152"/>
      <c r="C48" s="72" t="s">
        <v>236</v>
      </c>
      <c r="D48" s="72" t="s">
        <v>291</v>
      </c>
      <c r="E48" s="67">
        <v>0</v>
      </c>
      <c r="F48" s="67">
        <v>13080</v>
      </c>
      <c r="G48" s="67">
        <v>30000</v>
      </c>
      <c r="H48" s="67">
        <v>30000</v>
      </c>
      <c r="I48" s="67">
        <v>20000</v>
      </c>
      <c r="J48" s="67">
        <v>0</v>
      </c>
      <c r="K48" s="67">
        <f t="shared" si="0"/>
        <v>93080</v>
      </c>
      <c r="L48" s="35"/>
    </row>
    <row r="49" spans="1:12" s="36" customFormat="1" ht="63.75" x14ac:dyDescent="0.25">
      <c r="A49" s="154"/>
      <c r="B49" s="152"/>
      <c r="C49" s="72" t="s">
        <v>237</v>
      </c>
      <c r="D49" s="72" t="s">
        <v>292</v>
      </c>
      <c r="E49" s="67">
        <v>0</v>
      </c>
      <c r="F49" s="67">
        <v>99994</v>
      </c>
      <c r="G49" s="67">
        <v>300000</v>
      </c>
      <c r="H49" s="67">
        <v>300000</v>
      </c>
      <c r="I49" s="67">
        <v>100000</v>
      </c>
      <c r="J49" s="67">
        <v>0</v>
      </c>
      <c r="K49" s="67">
        <f t="shared" si="0"/>
        <v>799994</v>
      </c>
      <c r="L49" s="35"/>
    </row>
    <row r="50" spans="1:12" s="36" customFormat="1" ht="38.25" x14ac:dyDescent="0.25">
      <c r="A50" s="154"/>
      <c r="B50" s="152"/>
      <c r="C50" s="72" t="s">
        <v>238</v>
      </c>
      <c r="D50" s="72" t="s">
        <v>293</v>
      </c>
      <c r="E50" s="67">
        <v>0</v>
      </c>
      <c r="F50" s="67">
        <v>13400</v>
      </c>
      <c r="G50" s="67">
        <v>20000</v>
      </c>
      <c r="H50" s="67">
        <v>20000</v>
      </c>
      <c r="I50" s="67">
        <v>20000</v>
      </c>
      <c r="J50" s="67">
        <v>0</v>
      </c>
      <c r="K50" s="67">
        <f t="shared" si="0"/>
        <v>73400</v>
      </c>
      <c r="L50" s="35"/>
    </row>
    <row r="51" spans="1:12" s="36" customFormat="1" ht="25.5" x14ac:dyDescent="0.25">
      <c r="A51" s="154"/>
      <c r="B51" s="152"/>
      <c r="C51" s="72" t="s">
        <v>239</v>
      </c>
      <c r="D51" s="72" t="s">
        <v>294</v>
      </c>
      <c r="E51" s="67">
        <v>0</v>
      </c>
      <c r="F51" s="67">
        <v>16800</v>
      </c>
      <c r="G51" s="67">
        <v>20000</v>
      </c>
      <c r="H51" s="67">
        <v>20000</v>
      </c>
      <c r="I51" s="67">
        <v>10000</v>
      </c>
      <c r="J51" s="67">
        <v>0</v>
      </c>
      <c r="K51" s="67">
        <f t="shared" si="0"/>
        <v>66800</v>
      </c>
      <c r="L51" s="35"/>
    </row>
    <row r="52" spans="1:12" s="36" customFormat="1" ht="25.5" x14ac:dyDescent="0.25">
      <c r="A52" s="154"/>
      <c r="B52" s="152"/>
      <c r="C52" s="69" t="s">
        <v>240</v>
      </c>
      <c r="D52" s="72" t="s">
        <v>295</v>
      </c>
      <c r="E52" s="67">
        <v>0</v>
      </c>
      <c r="F52" s="67">
        <v>25000</v>
      </c>
      <c r="G52" s="67">
        <v>100000</v>
      </c>
      <c r="H52" s="67">
        <v>50000</v>
      </c>
      <c r="I52" s="67">
        <v>25000</v>
      </c>
      <c r="J52" s="67">
        <v>0</v>
      </c>
      <c r="K52" s="67">
        <f t="shared" si="0"/>
        <v>200000</v>
      </c>
      <c r="L52" s="35"/>
    </row>
    <row r="53" spans="1:12" s="36" customFormat="1" ht="25.5" x14ac:dyDescent="0.25">
      <c r="A53" s="154"/>
      <c r="B53" s="152"/>
      <c r="C53" s="69" t="s">
        <v>241</v>
      </c>
      <c r="D53" s="72" t="s">
        <v>295</v>
      </c>
      <c r="E53" s="67">
        <v>0</v>
      </c>
      <c r="F53" s="67">
        <v>25000</v>
      </c>
      <c r="G53" s="67">
        <v>100000</v>
      </c>
      <c r="H53" s="67">
        <v>50000</v>
      </c>
      <c r="I53" s="67">
        <v>25000</v>
      </c>
      <c r="J53" s="67">
        <v>0</v>
      </c>
      <c r="K53" s="67">
        <f t="shared" si="0"/>
        <v>200000</v>
      </c>
      <c r="L53" s="35"/>
    </row>
    <row r="54" spans="1:12" s="36" customFormat="1" ht="25.5" x14ac:dyDescent="0.25">
      <c r="A54" s="154"/>
      <c r="B54" s="152"/>
      <c r="C54" s="69" t="s">
        <v>242</v>
      </c>
      <c r="D54" s="72" t="s">
        <v>295</v>
      </c>
      <c r="E54" s="67">
        <v>0</v>
      </c>
      <c r="F54" s="67">
        <v>25000</v>
      </c>
      <c r="G54" s="67">
        <v>100000</v>
      </c>
      <c r="H54" s="67">
        <v>50000</v>
      </c>
      <c r="I54" s="67">
        <v>25000</v>
      </c>
      <c r="J54" s="67">
        <v>0</v>
      </c>
      <c r="K54" s="67">
        <f t="shared" si="0"/>
        <v>200000</v>
      </c>
      <c r="L54" s="35"/>
    </row>
    <row r="55" spans="1:12" s="36" customFormat="1" ht="25.5" x14ac:dyDescent="0.25">
      <c r="A55" s="154"/>
      <c r="B55" s="152"/>
      <c r="C55" s="69" t="s">
        <v>243</v>
      </c>
      <c r="D55" s="72" t="s">
        <v>295</v>
      </c>
      <c r="E55" s="67">
        <v>0</v>
      </c>
      <c r="F55" s="67">
        <v>40000</v>
      </c>
      <c r="G55" s="67">
        <v>130000</v>
      </c>
      <c r="H55" s="67">
        <v>80000</v>
      </c>
      <c r="I55" s="67">
        <v>50000</v>
      </c>
      <c r="J55" s="67">
        <v>0</v>
      </c>
      <c r="K55" s="67">
        <f t="shared" si="0"/>
        <v>300000</v>
      </c>
      <c r="L55" s="35"/>
    </row>
    <row r="56" spans="1:12" s="36" customFormat="1" ht="25.5" x14ac:dyDescent="0.25">
      <c r="A56" s="154"/>
      <c r="B56" s="152"/>
      <c r="C56" s="69" t="s">
        <v>244</v>
      </c>
      <c r="D56" s="72" t="s">
        <v>295</v>
      </c>
      <c r="E56" s="67">
        <v>0</v>
      </c>
      <c r="F56" s="67">
        <v>25000</v>
      </c>
      <c r="G56" s="67">
        <v>100000</v>
      </c>
      <c r="H56" s="67">
        <v>50000</v>
      </c>
      <c r="I56" s="67">
        <v>25000</v>
      </c>
      <c r="J56" s="67">
        <v>0</v>
      </c>
      <c r="K56" s="67">
        <f t="shared" si="0"/>
        <v>200000</v>
      </c>
      <c r="L56" s="35"/>
    </row>
    <row r="57" spans="1:12" s="36" customFormat="1" ht="25.5" x14ac:dyDescent="0.25">
      <c r="A57" s="154"/>
      <c r="B57" s="152"/>
      <c r="C57" s="69" t="s">
        <v>245</v>
      </c>
      <c r="D57" s="72" t="s">
        <v>296</v>
      </c>
      <c r="E57" s="67">
        <v>0</v>
      </c>
      <c r="F57" s="67">
        <v>25000</v>
      </c>
      <c r="G57" s="67">
        <v>100000</v>
      </c>
      <c r="H57" s="67">
        <v>50000</v>
      </c>
      <c r="I57" s="67">
        <v>25000</v>
      </c>
      <c r="J57" s="67"/>
      <c r="K57" s="67">
        <f t="shared" si="0"/>
        <v>200000</v>
      </c>
      <c r="L57" s="35"/>
    </row>
    <row r="58" spans="1:12" s="36" customFormat="1" ht="25.5" x14ac:dyDescent="0.25">
      <c r="A58" s="154"/>
      <c r="B58" s="152"/>
      <c r="C58" s="69" t="s">
        <v>246</v>
      </c>
      <c r="D58" s="72" t="s">
        <v>297</v>
      </c>
      <c r="E58" s="67">
        <v>0</v>
      </c>
      <c r="F58" s="67">
        <v>100000</v>
      </c>
      <c r="G58" s="67">
        <v>400000</v>
      </c>
      <c r="H58" s="67">
        <v>400000</v>
      </c>
      <c r="I58" s="67">
        <v>100000</v>
      </c>
      <c r="J58" s="67">
        <v>0</v>
      </c>
      <c r="K58" s="67">
        <f t="shared" si="0"/>
        <v>1000000</v>
      </c>
      <c r="L58" s="35"/>
    </row>
    <row r="59" spans="1:12" s="36" customFormat="1" ht="76.5" x14ac:dyDescent="0.25">
      <c r="A59" s="154"/>
      <c r="B59" s="152"/>
      <c r="C59" s="72" t="s">
        <v>309</v>
      </c>
      <c r="D59" s="72" t="s">
        <v>310</v>
      </c>
      <c r="E59" s="67">
        <v>0</v>
      </c>
      <c r="F59" s="67">
        <v>150000</v>
      </c>
      <c r="G59" s="67">
        <v>600000</v>
      </c>
      <c r="H59" s="67">
        <v>600000</v>
      </c>
      <c r="I59" s="67">
        <v>150000</v>
      </c>
      <c r="J59" s="67">
        <v>0</v>
      </c>
      <c r="K59" s="67">
        <f t="shared" si="0"/>
        <v>1500000</v>
      </c>
      <c r="L59" s="35"/>
    </row>
    <row r="60" spans="1:12" s="36" customFormat="1" ht="76.5" x14ac:dyDescent="0.25">
      <c r="A60" s="154"/>
      <c r="B60" s="152"/>
      <c r="C60" s="72" t="s">
        <v>311</v>
      </c>
      <c r="D60" s="72" t="s">
        <v>298</v>
      </c>
      <c r="E60" s="67">
        <v>0</v>
      </c>
      <c r="F60" s="67">
        <v>50000</v>
      </c>
      <c r="G60" s="67">
        <v>150000</v>
      </c>
      <c r="H60" s="67">
        <v>150000</v>
      </c>
      <c r="I60" s="67">
        <v>0</v>
      </c>
      <c r="J60" s="67">
        <v>0</v>
      </c>
      <c r="K60" s="67">
        <f t="shared" si="0"/>
        <v>350000</v>
      </c>
      <c r="L60" s="35"/>
    </row>
    <row r="61" spans="1:12" s="36" customFormat="1" ht="38.25" x14ac:dyDescent="0.25">
      <c r="A61" s="154"/>
      <c r="B61" s="152"/>
      <c r="C61" s="72" t="s">
        <v>247</v>
      </c>
      <c r="D61" s="72" t="s">
        <v>299</v>
      </c>
      <c r="E61" s="67">
        <v>0</v>
      </c>
      <c r="F61" s="67">
        <v>55000</v>
      </c>
      <c r="G61" s="67">
        <v>120000</v>
      </c>
      <c r="H61" s="67">
        <v>0</v>
      </c>
      <c r="I61" s="67">
        <v>0</v>
      </c>
      <c r="J61" s="67">
        <v>0</v>
      </c>
      <c r="K61" s="67">
        <f t="shared" si="0"/>
        <v>175000</v>
      </c>
      <c r="L61" s="35"/>
    </row>
    <row r="62" spans="1:12" s="36" customFormat="1" ht="25.5" x14ac:dyDescent="0.25">
      <c r="A62" s="154"/>
      <c r="B62" s="152"/>
      <c r="C62" s="72" t="s">
        <v>248</v>
      </c>
      <c r="D62" s="72" t="s">
        <v>300</v>
      </c>
      <c r="E62" s="67">
        <v>0</v>
      </c>
      <c r="F62" s="67">
        <v>0</v>
      </c>
      <c r="G62" s="67">
        <v>900000</v>
      </c>
      <c r="H62" s="67">
        <v>900000</v>
      </c>
      <c r="I62" s="67">
        <v>0</v>
      </c>
      <c r="J62" s="67">
        <v>0</v>
      </c>
      <c r="K62" s="67">
        <f t="shared" si="0"/>
        <v>1800000</v>
      </c>
      <c r="L62" s="35"/>
    </row>
    <row r="63" spans="1:12" s="36" customFormat="1" ht="25.5" x14ac:dyDescent="0.25">
      <c r="A63" s="154"/>
      <c r="B63" s="152"/>
      <c r="C63" s="72" t="s">
        <v>249</v>
      </c>
      <c r="D63" s="72" t="s">
        <v>300</v>
      </c>
      <c r="E63" s="67">
        <v>0</v>
      </c>
      <c r="F63" s="67">
        <v>0</v>
      </c>
      <c r="G63" s="67">
        <v>800000</v>
      </c>
      <c r="H63" s="67">
        <v>800000</v>
      </c>
      <c r="I63" s="67">
        <v>0</v>
      </c>
      <c r="J63" s="67">
        <v>0</v>
      </c>
      <c r="K63" s="67">
        <f t="shared" si="0"/>
        <v>1600000</v>
      </c>
      <c r="L63" s="35"/>
    </row>
    <row r="64" spans="1:12" s="36" customFormat="1" ht="38.25" x14ac:dyDescent="0.25">
      <c r="A64" s="154"/>
      <c r="B64" s="152"/>
      <c r="C64" s="72" t="s">
        <v>250</v>
      </c>
      <c r="D64" s="72" t="s">
        <v>301</v>
      </c>
      <c r="E64" s="67">
        <v>0</v>
      </c>
      <c r="F64" s="67"/>
      <c r="G64" s="67">
        <v>255000</v>
      </c>
      <c r="H64" s="67">
        <v>200000</v>
      </c>
      <c r="I64" s="67">
        <v>0</v>
      </c>
      <c r="J64" s="67">
        <v>0</v>
      </c>
      <c r="K64" s="67">
        <f t="shared" si="0"/>
        <v>455000</v>
      </c>
      <c r="L64" s="35"/>
    </row>
    <row r="65" spans="1:12" s="36" customFormat="1" ht="38.25" x14ac:dyDescent="0.25">
      <c r="A65" s="154"/>
      <c r="B65" s="152"/>
      <c r="C65" s="72" t="s">
        <v>251</v>
      </c>
      <c r="D65" s="72" t="s">
        <v>301</v>
      </c>
      <c r="E65" s="67">
        <v>0</v>
      </c>
      <c r="F65" s="67"/>
      <c r="G65" s="67">
        <v>255000</v>
      </c>
      <c r="H65" s="67">
        <v>200000</v>
      </c>
      <c r="I65" s="67">
        <v>0</v>
      </c>
      <c r="J65" s="67">
        <v>0</v>
      </c>
      <c r="K65" s="67">
        <f t="shared" si="0"/>
        <v>455000</v>
      </c>
      <c r="L65" s="35"/>
    </row>
    <row r="66" spans="1:12" s="36" customFormat="1" ht="38.25" x14ac:dyDescent="0.25">
      <c r="A66" s="154"/>
      <c r="B66" s="152"/>
      <c r="C66" s="85" t="s">
        <v>386</v>
      </c>
      <c r="D66" s="72" t="s">
        <v>302</v>
      </c>
      <c r="E66" s="67">
        <v>0</v>
      </c>
      <c r="F66" s="67">
        <v>18000</v>
      </c>
      <c r="G66" s="67">
        <v>18000</v>
      </c>
      <c r="H66" s="67">
        <v>0</v>
      </c>
      <c r="I66" s="67">
        <v>0</v>
      </c>
      <c r="J66" s="67">
        <v>0</v>
      </c>
      <c r="K66" s="67">
        <f t="shared" si="0"/>
        <v>36000</v>
      </c>
      <c r="L66" s="35"/>
    </row>
    <row r="67" spans="1:12" s="36" customFormat="1" ht="25.5" x14ac:dyDescent="0.25">
      <c r="A67" s="154"/>
      <c r="B67" s="152"/>
      <c r="C67" s="85" t="s">
        <v>385</v>
      </c>
      <c r="D67" s="72" t="s">
        <v>303</v>
      </c>
      <c r="E67" s="67">
        <v>0</v>
      </c>
      <c r="F67" s="67">
        <v>0</v>
      </c>
      <c r="G67" s="67">
        <v>150000</v>
      </c>
      <c r="H67" s="67">
        <v>200000</v>
      </c>
      <c r="I67" s="67">
        <v>0</v>
      </c>
      <c r="J67" s="67">
        <v>0</v>
      </c>
      <c r="K67" s="67">
        <f t="shared" si="0"/>
        <v>350000</v>
      </c>
      <c r="L67" s="35"/>
    </row>
    <row r="68" spans="1:12" s="36" customFormat="1" ht="25.5" x14ac:dyDescent="0.25">
      <c r="A68" s="154"/>
      <c r="B68" s="152"/>
      <c r="C68" s="85" t="s">
        <v>384</v>
      </c>
      <c r="D68" s="72" t="s">
        <v>304</v>
      </c>
      <c r="E68" s="67">
        <v>0</v>
      </c>
      <c r="F68" s="67">
        <v>0</v>
      </c>
      <c r="G68" s="67">
        <v>25000</v>
      </c>
      <c r="H68" s="67">
        <v>25000</v>
      </c>
      <c r="I68" s="67">
        <v>0</v>
      </c>
      <c r="J68" s="67">
        <v>0</v>
      </c>
      <c r="K68" s="67">
        <f t="shared" si="0"/>
        <v>50000</v>
      </c>
      <c r="L68" s="35"/>
    </row>
    <row r="69" spans="1:12" s="36" customFormat="1" ht="63.75" x14ac:dyDescent="0.25">
      <c r="A69" s="154"/>
      <c r="B69" s="152"/>
      <c r="C69" s="85" t="s">
        <v>305</v>
      </c>
      <c r="D69" s="85" t="s">
        <v>252</v>
      </c>
      <c r="E69" s="67">
        <v>0</v>
      </c>
      <c r="F69" s="67">
        <v>0</v>
      </c>
      <c r="G69" s="67">
        <v>105000</v>
      </c>
      <c r="H69" s="67">
        <v>105000</v>
      </c>
      <c r="I69" s="67">
        <v>0</v>
      </c>
      <c r="J69" s="67">
        <v>0</v>
      </c>
      <c r="K69" s="67">
        <f t="shared" si="0"/>
        <v>210000</v>
      </c>
      <c r="L69" s="35"/>
    </row>
    <row r="70" spans="1:12" s="36" customFormat="1" ht="25.5" x14ac:dyDescent="0.25">
      <c r="A70" s="154"/>
      <c r="B70" s="152"/>
      <c r="C70" s="72" t="s">
        <v>253</v>
      </c>
      <c r="D70" s="72" t="s">
        <v>306</v>
      </c>
      <c r="E70" s="67">
        <v>0</v>
      </c>
      <c r="F70" s="67">
        <v>159612</v>
      </c>
      <c r="G70" s="67">
        <v>400000</v>
      </c>
      <c r="H70" s="67">
        <v>400000</v>
      </c>
      <c r="I70" s="67">
        <v>200000</v>
      </c>
      <c r="J70" s="67">
        <v>0</v>
      </c>
      <c r="K70" s="67">
        <f t="shared" si="0"/>
        <v>1159612</v>
      </c>
      <c r="L70" s="35"/>
    </row>
    <row r="71" spans="1:12" s="36" customFormat="1" ht="38.25" x14ac:dyDescent="0.25">
      <c r="A71" s="154"/>
      <c r="B71" s="152"/>
      <c r="C71" s="73" t="s">
        <v>254</v>
      </c>
      <c r="D71" s="71" t="s">
        <v>255</v>
      </c>
      <c r="E71" s="67">
        <v>0</v>
      </c>
      <c r="F71" s="67">
        <v>238000</v>
      </c>
      <c r="G71" s="67">
        <v>0</v>
      </c>
      <c r="H71" s="67">
        <v>0</v>
      </c>
      <c r="I71" s="67">
        <v>0</v>
      </c>
      <c r="J71" s="67">
        <v>0</v>
      </c>
      <c r="K71" s="67">
        <f>SUM(E71:J71)</f>
        <v>238000</v>
      </c>
      <c r="L71" s="35"/>
    </row>
    <row r="72" spans="1:12" s="36" customFormat="1" ht="15" customHeight="1" x14ac:dyDescent="0.25">
      <c r="A72" s="154"/>
      <c r="B72" s="147" t="s">
        <v>469</v>
      </c>
      <c r="C72" s="148"/>
      <c r="D72" s="149"/>
      <c r="E72" s="79">
        <f>SUM(E8:E71)</f>
        <v>0</v>
      </c>
      <c r="F72" s="79">
        <f t="shared" ref="F72:K72" si="1">SUM(F8:F71)</f>
        <v>1874611</v>
      </c>
      <c r="G72" s="79">
        <f t="shared" si="1"/>
        <v>12219600</v>
      </c>
      <c r="H72" s="79">
        <f t="shared" si="1"/>
        <v>9961000</v>
      </c>
      <c r="I72" s="79">
        <f t="shared" si="1"/>
        <v>1928839</v>
      </c>
      <c r="J72" s="79">
        <f t="shared" si="1"/>
        <v>0</v>
      </c>
      <c r="K72" s="79">
        <f t="shared" si="1"/>
        <v>25984050</v>
      </c>
      <c r="L72" s="35"/>
    </row>
    <row r="73" spans="1:12" s="36" customFormat="1" x14ac:dyDescent="0.25">
      <c r="A73" s="154"/>
      <c r="B73" s="77"/>
      <c r="C73" s="77"/>
      <c r="D73" s="77"/>
      <c r="E73" s="78"/>
      <c r="F73" s="78"/>
      <c r="G73" s="78"/>
      <c r="H73" s="78"/>
      <c r="I73" s="78"/>
      <c r="J73" s="78"/>
      <c r="K73" s="78"/>
      <c r="L73" s="35"/>
    </row>
    <row r="74" spans="1:12" s="36" customFormat="1" ht="30" x14ac:dyDescent="0.25">
      <c r="A74" s="154"/>
      <c r="B74" s="28" t="s">
        <v>210</v>
      </c>
      <c r="C74" s="28" t="s">
        <v>312</v>
      </c>
      <c r="D74" s="12" t="s">
        <v>313</v>
      </c>
      <c r="E74" s="67">
        <v>1600000</v>
      </c>
      <c r="F74" s="67">
        <v>2000000</v>
      </c>
      <c r="G74" s="67">
        <v>2000000</v>
      </c>
      <c r="H74" s="67">
        <v>2000000</v>
      </c>
      <c r="I74" s="67">
        <v>400000</v>
      </c>
      <c r="J74" s="67">
        <v>0</v>
      </c>
      <c r="K74" s="67">
        <f>SUM(E74:J74)</f>
        <v>8000000</v>
      </c>
      <c r="L74" s="35"/>
    </row>
    <row r="75" spans="1:12" s="36" customFormat="1" ht="15" customHeight="1" x14ac:dyDescent="0.25">
      <c r="A75" s="154"/>
      <c r="B75" s="147" t="s">
        <v>468</v>
      </c>
      <c r="C75" s="148"/>
      <c r="D75" s="149"/>
      <c r="E75" s="79">
        <f>E74</f>
        <v>1600000</v>
      </c>
      <c r="F75" s="79">
        <f t="shared" ref="F75:K75" si="2">F74</f>
        <v>2000000</v>
      </c>
      <c r="G75" s="79">
        <f t="shared" si="2"/>
        <v>2000000</v>
      </c>
      <c r="H75" s="79">
        <f t="shared" si="2"/>
        <v>2000000</v>
      </c>
      <c r="I75" s="79">
        <f t="shared" si="2"/>
        <v>400000</v>
      </c>
      <c r="J75" s="79">
        <f t="shared" si="2"/>
        <v>0</v>
      </c>
      <c r="K75" s="79">
        <f t="shared" si="2"/>
        <v>8000000</v>
      </c>
      <c r="L75" s="35"/>
    </row>
    <row r="76" spans="1:12" s="36" customFormat="1" x14ac:dyDescent="0.25">
      <c r="A76" s="154"/>
      <c r="B76" s="152" t="s">
        <v>211</v>
      </c>
      <c r="C76" s="28" t="s">
        <v>314</v>
      </c>
      <c r="D76" s="12" t="s">
        <v>315</v>
      </c>
      <c r="E76" s="67">
        <v>0</v>
      </c>
      <c r="F76" s="67">
        <v>150000</v>
      </c>
      <c r="G76" s="67">
        <v>150000</v>
      </c>
      <c r="H76" s="67"/>
      <c r="I76" s="67"/>
      <c r="J76" s="67"/>
      <c r="K76" s="67">
        <f t="shared" ref="K76:K81" si="3">SUM(E76:J76)</f>
        <v>300000</v>
      </c>
      <c r="L76" s="35"/>
    </row>
    <row r="77" spans="1:12" s="36" customFormat="1" x14ac:dyDescent="0.25">
      <c r="A77" s="154"/>
      <c r="B77" s="152"/>
      <c r="C77" s="28" t="s">
        <v>314</v>
      </c>
      <c r="D77" s="12" t="s">
        <v>316</v>
      </c>
      <c r="E77" s="67">
        <v>0</v>
      </c>
      <c r="F77" s="67">
        <v>12500</v>
      </c>
      <c r="G77" s="67">
        <v>12500</v>
      </c>
      <c r="H77" s="67"/>
      <c r="I77" s="67"/>
      <c r="J77" s="67"/>
      <c r="K77" s="67">
        <f t="shared" si="3"/>
        <v>25000</v>
      </c>
      <c r="L77" s="35"/>
    </row>
    <row r="78" spans="1:12" s="36" customFormat="1" x14ac:dyDescent="0.25">
      <c r="A78" s="154"/>
      <c r="B78" s="152"/>
      <c r="C78" s="28" t="s">
        <v>317</v>
      </c>
      <c r="D78" s="12" t="s">
        <v>318</v>
      </c>
      <c r="E78" s="67">
        <v>0</v>
      </c>
      <c r="F78" s="67">
        <v>1170000</v>
      </c>
      <c r="G78" s="67">
        <v>1170000</v>
      </c>
      <c r="H78" s="67"/>
      <c r="I78" s="67"/>
      <c r="J78" s="67"/>
      <c r="K78" s="67">
        <f t="shared" si="3"/>
        <v>2340000</v>
      </c>
      <c r="L78" s="35"/>
    </row>
    <row r="79" spans="1:12" s="36" customFormat="1" x14ac:dyDescent="0.25">
      <c r="A79" s="154"/>
      <c r="B79" s="152"/>
      <c r="C79" s="28" t="s">
        <v>317</v>
      </c>
      <c r="D79" s="12" t="s">
        <v>484</v>
      </c>
      <c r="E79" s="67">
        <v>0</v>
      </c>
      <c r="F79" s="67">
        <v>97500</v>
      </c>
      <c r="G79" s="67">
        <v>97500</v>
      </c>
      <c r="H79" s="67"/>
      <c r="I79" s="67"/>
      <c r="J79" s="67"/>
      <c r="K79" s="67">
        <f t="shared" si="3"/>
        <v>195000</v>
      </c>
      <c r="L79" s="35"/>
    </row>
    <row r="80" spans="1:12" s="36" customFormat="1" ht="30" x14ac:dyDescent="0.25">
      <c r="A80" s="154"/>
      <c r="B80" s="152"/>
      <c r="C80" s="28" t="s">
        <v>319</v>
      </c>
      <c r="D80" s="12" t="s">
        <v>320</v>
      </c>
      <c r="E80" s="67">
        <v>0</v>
      </c>
      <c r="F80" s="67">
        <v>300000</v>
      </c>
      <c r="G80" s="67">
        <v>300000</v>
      </c>
      <c r="H80" s="67"/>
      <c r="I80" s="67"/>
      <c r="J80" s="67"/>
      <c r="K80" s="67">
        <f t="shared" si="3"/>
        <v>600000</v>
      </c>
      <c r="L80" s="35"/>
    </row>
    <row r="81" spans="1:12" s="36" customFormat="1" ht="30" x14ac:dyDescent="0.25">
      <c r="A81" s="154"/>
      <c r="B81" s="152"/>
      <c r="C81" s="28" t="s">
        <v>319</v>
      </c>
      <c r="D81" s="12" t="s">
        <v>321</v>
      </c>
      <c r="E81" s="67">
        <v>0</v>
      </c>
      <c r="F81" s="67">
        <v>37500</v>
      </c>
      <c r="G81" s="67">
        <v>37500</v>
      </c>
      <c r="H81" s="67"/>
      <c r="I81" s="67"/>
      <c r="J81" s="67"/>
      <c r="K81" s="67">
        <f t="shared" si="3"/>
        <v>75000</v>
      </c>
      <c r="L81" s="35"/>
    </row>
    <row r="82" spans="1:12" s="36" customFormat="1" x14ac:dyDescent="0.25">
      <c r="A82" s="154"/>
      <c r="B82" s="147" t="s">
        <v>467</v>
      </c>
      <c r="C82" s="148"/>
      <c r="D82" s="149"/>
      <c r="E82" s="79">
        <f>SUM(E76:E81)</f>
        <v>0</v>
      </c>
      <c r="F82" s="79">
        <f t="shared" ref="F82:K82" si="4">SUM(F76:F81)</f>
        <v>1767500</v>
      </c>
      <c r="G82" s="79">
        <f t="shared" si="4"/>
        <v>1767500</v>
      </c>
      <c r="H82" s="79">
        <f t="shared" si="4"/>
        <v>0</v>
      </c>
      <c r="I82" s="79">
        <f t="shared" si="4"/>
        <v>0</v>
      </c>
      <c r="J82" s="79">
        <f t="shared" si="4"/>
        <v>0</v>
      </c>
      <c r="K82" s="79">
        <f t="shared" si="4"/>
        <v>3535000</v>
      </c>
      <c r="L82" s="35"/>
    </row>
    <row r="83" spans="1:12" s="36" customFormat="1" ht="51" x14ac:dyDescent="0.25">
      <c r="A83" s="154"/>
      <c r="B83" s="152" t="s">
        <v>212</v>
      </c>
      <c r="C83" s="86" t="s">
        <v>323</v>
      </c>
      <c r="D83" s="83" t="s">
        <v>387</v>
      </c>
      <c r="E83" s="67">
        <v>0</v>
      </c>
      <c r="F83" s="91">
        <v>200000</v>
      </c>
      <c r="G83" s="67">
        <v>1053163.2333333334</v>
      </c>
      <c r="H83" s="67">
        <v>1053163.2333333334</v>
      </c>
      <c r="I83" s="67">
        <v>1053163.2333333334</v>
      </c>
      <c r="J83" s="67">
        <v>0</v>
      </c>
      <c r="K83" s="67">
        <f t="shared" ref="K83:K112" si="5">SUM(E83:J83)</f>
        <v>3359489.7</v>
      </c>
      <c r="L83" s="35"/>
    </row>
    <row r="84" spans="1:12" s="36" customFormat="1" ht="25.5" x14ac:dyDescent="0.25">
      <c r="A84" s="154"/>
      <c r="B84" s="152"/>
      <c r="C84" s="87" t="s">
        <v>324</v>
      </c>
      <c r="D84" s="81" t="s">
        <v>353</v>
      </c>
      <c r="E84" s="67">
        <v>0</v>
      </c>
      <c r="F84" s="92">
        <v>200000</v>
      </c>
      <c r="G84" s="67">
        <v>78333.333333333328</v>
      </c>
      <c r="H84" s="67">
        <v>78333.333333333328</v>
      </c>
      <c r="I84" s="67">
        <v>78333.333333333328</v>
      </c>
      <c r="J84" s="67">
        <v>0</v>
      </c>
      <c r="K84" s="67">
        <f t="shared" si="5"/>
        <v>434999.99999999994</v>
      </c>
      <c r="L84" s="35"/>
    </row>
    <row r="85" spans="1:12" s="36" customFormat="1" ht="38.25" x14ac:dyDescent="0.25">
      <c r="A85" s="154"/>
      <c r="B85" s="152"/>
      <c r="C85" s="88" t="s">
        <v>325</v>
      </c>
      <c r="D85" s="81" t="s">
        <v>354</v>
      </c>
      <c r="E85" s="67">
        <v>0</v>
      </c>
      <c r="F85" s="92">
        <v>200000</v>
      </c>
      <c r="G85" s="67">
        <v>3668000</v>
      </c>
      <c r="H85" s="67">
        <v>3668000</v>
      </c>
      <c r="I85" s="67">
        <v>3668000</v>
      </c>
      <c r="J85" s="67">
        <v>0</v>
      </c>
      <c r="K85" s="67">
        <f t="shared" si="5"/>
        <v>11204000</v>
      </c>
      <c r="L85" s="35"/>
    </row>
    <row r="86" spans="1:12" s="36" customFormat="1" ht="63.75" x14ac:dyDescent="0.25">
      <c r="A86" s="154"/>
      <c r="B86" s="152"/>
      <c r="C86" s="88" t="s">
        <v>326</v>
      </c>
      <c r="D86" s="81" t="s">
        <v>355</v>
      </c>
      <c r="E86" s="67">
        <v>0</v>
      </c>
      <c r="F86" s="92">
        <v>200000</v>
      </c>
      <c r="G86" s="67">
        <v>1910042.3333333333</v>
      </c>
      <c r="H86" s="67">
        <v>1910042.3333333333</v>
      </c>
      <c r="I86" s="67">
        <v>1910042.3333333333</v>
      </c>
      <c r="J86" s="67">
        <v>0</v>
      </c>
      <c r="K86" s="67">
        <f t="shared" si="5"/>
        <v>5930126.9999999991</v>
      </c>
      <c r="L86" s="35"/>
    </row>
    <row r="87" spans="1:12" s="36" customFormat="1" ht="25.5" x14ac:dyDescent="0.25">
      <c r="A87" s="154"/>
      <c r="B87" s="152"/>
      <c r="C87" s="89" t="s">
        <v>327</v>
      </c>
      <c r="D87" s="81" t="s">
        <v>356</v>
      </c>
      <c r="E87" s="67">
        <v>0</v>
      </c>
      <c r="F87" s="92">
        <v>200000</v>
      </c>
      <c r="G87" s="67">
        <v>1284666.6666666667</v>
      </c>
      <c r="H87" s="67">
        <v>1284666.6666666667</v>
      </c>
      <c r="I87" s="67">
        <v>1284666.6666666667</v>
      </c>
      <c r="J87" s="67">
        <v>0</v>
      </c>
      <c r="K87" s="67">
        <f t="shared" si="5"/>
        <v>4054000</v>
      </c>
      <c r="L87" s="35"/>
    </row>
    <row r="88" spans="1:12" s="36" customFormat="1" ht="63.75" x14ac:dyDescent="0.25">
      <c r="A88" s="154"/>
      <c r="B88" s="152"/>
      <c r="C88" s="89" t="s">
        <v>328</v>
      </c>
      <c r="D88" s="81" t="s">
        <v>357</v>
      </c>
      <c r="E88" s="67">
        <v>0</v>
      </c>
      <c r="F88" s="92">
        <v>200000</v>
      </c>
      <c r="G88" s="67">
        <v>604221.33333333337</v>
      </c>
      <c r="H88" s="67">
        <v>604221.33333333337</v>
      </c>
      <c r="I88" s="67">
        <v>604221.33333333337</v>
      </c>
      <c r="J88" s="67">
        <v>0</v>
      </c>
      <c r="K88" s="67">
        <f t="shared" si="5"/>
        <v>2012664</v>
      </c>
      <c r="L88" s="35"/>
    </row>
    <row r="89" spans="1:12" s="36" customFormat="1" ht="51" x14ac:dyDescent="0.25">
      <c r="A89" s="154"/>
      <c r="B89" s="152"/>
      <c r="C89" s="89" t="s">
        <v>329</v>
      </c>
      <c r="D89" s="81" t="s">
        <v>358</v>
      </c>
      <c r="E89" s="67">
        <v>0</v>
      </c>
      <c r="F89" s="92">
        <v>200000</v>
      </c>
      <c r="G89" s="67">
        <v>739778.7333333334</v>
      </c>
      <c r="H89" s="67">
        <v>739778.7333333334</v>
      </c>
      <c r="I89" s="67">
        <v>739778.7333333334</v>
      </c>
      <c r="J89" s="67">
        <v>0</v>
      </c>
      <c r="K89" s="67">
        <f t="shared" si="5"/>
        <v>2419336.2000000002</v>
      </c>
      <c r="L89" s="35"/>
    </row>
    <row r="90" spans="1:12" s="36" customFormat="1" ht="51" x14ac:dyDescent="0.25">
      <c r="A90" s="154"/>
      <c r="B90" s="152"/>
      <c r="C90" s="89" t="s">
        <v>330</v>
      </c>
      <c r="D90" s="81" t="s">
        <v>359</v>
      </c>
      <c r="E90" s="67">
        <v>0</v>
      </c>
      <c r="F90" s="92">
        <v>200000</v>
      </c>
      <c r="G90" s="67">
        <v>687716.1</v>
      </c>
      <c r="H90" s="67">
        <v>687716.1</v>
      </c>
      <c r="I90" s="67">
        <v>687716.1</v>
      </c>
      <c r="J90" s="67">
        <v>0</v>
      </c>
      <c r="K90" s="67">
        <f t="shared" si="5"/>
        <v>2263148.2999999998</v>
      </c>
      <c r="L90" s="35"/>
    </row>
    <row r="91" spans="1:12" s="36" customFormat="1" ht="51" x14ac:dyDescent="0.25">
      <c r="A91" s="154"/>
      <c r="B91" s="152"/>
      <c r="C91" s="89" t="s">
        <v>331</v>
      </c>
      <c r="D91" s="81" t="s">
        <v>360</v>
      </c>
      <c r="E91" s="67">
        <v>0</v>
      </c>
      <c r="F91" s="92">
        <v>200000</v>
      </c>
      <c r="G91" s="67">
        <v>261628.53333333333</v>
      </c>
      <c r="H91" s="67">
        <v>261628.53333333333</v>
      </c>
      <c r="I91" s="67">
        <v>261628.53333333333</v>
      </c>
      <c r="J91" s="67">
        <v>0</v>
      </c>
      <c r="K91" s="67">
        <f t="shared" si="5"/>
        <v>984885.6</v>
      </c>
      <c r="L91" s="35"/>
    </row>
    <row r="92" spans="1:12" s="36" customFormat="1" ht="25.5" x14ac:dyDescent="0.25">
      <c r="A92" s="154"/>
      <c r="B92" s="152"/>
      <c r="C92" s="89" t="s">
        <v>332</v>
      </c>
      <c r="D92" s="82" t="s">
        <v>361</v>
      </c>
      <c r="E92" s="139">
        <v>0</v>
      </c>
      <c r="F92" s="93">
        <v>2000000</v>
      </c>
      <c r="G92" s="139">
        <v>4100000</v>
      </c>
      <c r="H92" s="139">
        <v>5100000</v>
      </c>
      <c r="I92" s="139">
        <v>4100000</v>
      </c>
      <c r="J92" s="140">
        <v>0</v>
      </c>
      <c r="K92" s="140">
        <f t="shared" si="5"/>
        <v>15300000</v>
      </c>
      <c r="L92" s="35"/>
    </row>
    <row r="93" spans="1:12" s="36" customFormat="1" ht="63.75" x14ac:dyDescent="0.25">
      <c r="A93" s="154"/>
      <c r="B93" s="152"/>
      <c r="C93" s="88" t="s">
        <v>333</v>
      </c>
      <c r="D93" s="81" t="s">
        <v>362</v>
      </c>
      <c r="E93" s="67">
        <v>0</v>
      </c>
      <c r="F93" s="92">
        <v>150000</v>
      </c>
      <c r="G93" s="67">
        <v>551333.33333333337</v>
      </c>
      <c r="H93" s="67">
        <v>551333.33333333337</v>
      </c>
      <c r="I93" s="67">
        <v>551333.33333333337</v>
      </c>
      <c r="J93" s="67">
        <v>0</v>
      </c>
      <c r="K93" s="67">
        <f t="shared" si="5"/>
        <v>1804000</v>
      </c>
      <c r="L93" s="35"/>
    </row>
    <row r="94" spans="1:12" s="36" customFormat="1" ht="25.5" x14ac:dyDescent="0.25">
      <c r="A94" s="154"/>
      <c r="B94" s="152"/>
      <c r="C94" s="88" t="s">
        <v>334</v>
      </c>
      <c r="D94" s="81" t="s">
        <v>363</v>
      </c>
      <c r="E94" s="67">
        <v>0</v>
      </c>
      <c r="F94" s="92">
        <v>150000</v>
      </c>
      <c r="G94" s="67">
        <v>184666.66666666666</v>
      </c>
      <c r="H94" s="67">
        <v>184666.66666666666</v>
      </c>
      <c r="I94" s="67">
        <v>184666.66666666666</v>
      </c>
      <c r="J94" s="67">
        <v>0</v>
      </c>
      <c r="K94" s="67">
        <f t="shared" si="5"/>
        <v>703999.99999999988</v>
      </c>
      <c r="L94" s="35"/>
    </row>
    <row r="95" spans="1:12" s="36" customFormat="1" ht="38.25" x14ac:dyDescent="0.25">
      <c r="A95" s="154"/>
      <c r="B95" s="152"/>
      <c r="C95" s="88" t="s">
        <v>335</v>
      </c>
      <c r="D95" s="81" t="s">
        <v>364</v>
      </c>
      <c r="E95" s="67">
        <v>0</v>
      </c>
      <c r="F95" s="92">
        <v>150000</v>
      </c>
      <c r="G95" s="67">
        <v>184666.66666666666</v>
      </c>
      <c r="H95" s="67">
        <v>184666.66666666666</v>
      </c>
      <c r="I95" s="67">
        <v>184666.66666666666</v>
      </c>
      <c r="J95" s="67">
        <v>0</v>
      </c>
      <c r="K95" s="67">
        <f t="shared" si="5"/>
        <v>703999.99999999988</v>
      </c>
      <c r="L95" s="35"/>
    </row>
    <row r="96" spans="1:12" s="36" customFormat="1" ht="38.25" x14ac:dyDescent="0.25">
      <c r="A96" s="154"/>
      <c r="B96" s="152"/>
      <c r="C96" s="88" t="s">
        <v>336</v>
      </c>
      <c r="D96" s="81" t="s">
        <v>365</v>
      </c>
      <c r="E96" s="67">
        <v>0</v>
      </c>
      <c r="F96" s="92">
        <v>150000</v>
      </c>
      <c r="G96" s="67">
        <v>184666.66666666666</v>
      </c>
      <c r="H96" s="67">
        <v>184666.66666666666</v>
      </c>
      <c r="I96" s="67">
        <v>184666.66666666666</v>
      </c>
      <c r="J96" s="67">
        <v>0</v>
      </c>
      <c r="K96" s="67">
        <f t="shared" si="5"/>
        <v>703999.99999999988</v>
      </c>
      <c r="L96" s="35"/>
    </row>
    <row r="97" spans="1:12" s="36" customFormat="1" ht="51" x14ac:dyDescent="0.25">
      <c r="A97" s="154"/>
      <c r="B97" s="152"/>
      <c r="C97" s="88" t="s">
        <v>337</v>
      </c>
      <c r="D97" s="81" t="s">
        <v>366</v>
      </c>
      <c r="E97" s="67">
        <v>0</v>
      </c>
      <c r="F97" s="92">
        <v>150000</v>
      </c>
      <c r="G97" s="67">
        <v>551333.33333333337</v>
      </c>
      <c r="H97" s="67">
        <v>551333.33333333337</v>
      </c>
      <c r="I97" s="67">
        <v>551333.33333333337</v>
      </c>
      <c r="J97" s="67">
        <v>0</v>
      </c>
      <c r="K97" s="67">
        <f t="shared" si="5"/>
        <v>1804000</v>
      </c>
      <c r="L97" s="35"/>
    </row>
    <row r="98" spans="1:12" s="36" customFormat="1" ht="25.5" x14ac:dyDescent="0.25">
      <c r="A98" s="154"/>
      <c r="B98" s="152"/>
      <c r="C98" s="88" t="s">
        <v>338</v>
      </c>
      <c r="D98" s="81" t="s">
        <v>367</v>
      </c>
      <c r="E98" s="67">
        <v>0</v>
      </c>
      <c r="F98" s="92">
        <v>150000</v>
      </c>
      <c r="G98" s="67">
        <v>371499.83333333331</v>
      </c>
      <c r="H98" s="67">
        <v>371499.83333333331</v>
      </c>
      <c r="I98" s="67">
        <v>371499.83333333331</v>
      </c>
      <c r="J98" s="67">
        <v>0</v>
      </c>
      <c r="K98" s="67">
        <f t="shared" si="5"/>
        <v>1264499.5</v>
      </c>
      <c r="L98" s="35"/>
    </row>
    <row r="99" spans="1:12" s="36" customFormat="1" ht="25.5" x14ac:dyDescent="0.25">
      <c r="A99" s="154"/>
      <c r="B99" s="152"/>
      <c r="C99" s="88" t="s">
        <v>339</v>
      </c>
      <c r="D99" s="81" t="s">
        <v>368</v>
      </c>
      <c r="E99" s="67">
        <v>0</v>
      </c>
      <c r="F99" s="92">
        <v>150000</v>
      </c>
      <c r="G99" s="67">
        <v>184666.66666666666</v>
      </c>
      <c r="H99" s="67">
        <v>184666.66666666666</v>
      </c>
      <c r="I99" s="67">
        <v>184666.66666666666</v>
      </c>
      <c r="J99" s="67">
        <v>0</v>
      </c>
      <c r="K99" s="67">
        <f t="shared" si="5"/>
        <v>703999.99999999988</v>
      </c>
      <c r="L99" s="35"/>
    </row>
    <row r="100" spans="1:12" s="36" customFormat="1" ht="25.5" x14ac:dyDescent="0.25">
      <c r="A100" s="154"/>
      <c r="B100" s="152"/>
      <c r="C100" s="88" t="s">
        <v>340</v>
      </c>
      <c r="D100" s="81" t="s">
        <v>369</v>
      </c>
      <c r="E100" s="67">
        <v>0</v>
      </c>
      <c r="F100" s="92">
        <v>150000</v>
      </c>
      <c r="G100" s="67">
        <v>371499.83333333331</v>
      </c>
      <c r="H100" s="67">
        <v>371499.83333333331</v>
      </c>
      <c r="I100" s="67">
        <v>371499.83333333331</v>
      </c>
      <c r="J100" s="67">
        <v>0</v>
      </c>
      <c r="K100" s="67">
        <f t="shared" si="5"/>
        <v>1264499.5</v>
      </c>
      <c r="L100" s="35"/>
    </row>
    <row r="101" spans="1:12" s="36" customFormat="1" ht="25.5" x14ac:dyDescent="0.25">
      <c r="A101" s="154"/>
      <c r="B101" s="152"/>
      <c r="C101" s="88" t="s">
        <v>341</v>
      </c>
      <c r="D101" s="81" t="s">
        <v>370</v>
      </c>
      <c r="E101" s="67">
        <v>0</v>
      </c>
      <c r="F101" s="92">
        <v>150000</v>
      </c>
      <c r="G101" s="67">
        <v>285500</v>
      </c>
      <c r="H101" s="67">
        <v>285500</v>
      </c>
      <c r="I101" s="67">
        <v>285500</v>
      </c>
      <c r="J101" s="67">
        <v>0</v>
      </c>
      <c r="K101" s="67">
        <f t="shared" si="5"/>
        <v>1006500</v>
      </c>
      <c r="L101" s="35"/>
    </row>
    <row r="102" spans="1:12" s="36" customFormat="1" ht="51" x14ac:dyDescent="0.25">
      <c r="A102" s="154"/>
      <c r="B102" s="152"/>
      <c r="C102" s="88" t="s">
        <v>342</v>
      </c>
      <c r="D102" s="81" t="s">
        <v>371</v>
      </c>
      <c r="E102" s="67">
        <v>0</v>
      </c>
      <c r="F102" s="92">
        <v>150000</v>
      </c>
      <c r="G102" s="67">
        <v>371499.83333333331</v>
      </c>
      <c r="H102" s="67">
        <v>371499.83333333331</v>
      </c>
      <c r="I102" s="67">
        <v>371499.83333333331</v>
      </c>
      <c r="J102" s="67">
        <v>0</v>
      </c>
      <c r="K102" s="67">
        <f t="shared" si="5"/>
        <v>1264499.5</v>
      </c>
      <c r="L102" s="35"/>
    </row>
    <row r="103" spans="1:12" s="36" customFormat="1" ht="38.25" x14ac:dyDescent="0.25">
      <c r="A103" s="154"/>
      <c r="B103" s="152"/>
      <c r="C103" s="88" t="s">
        <v>343</v>
      </c>
      <c r="D103" s="81" t="s">
        <v>372</v>
      </c>
      <c r="E103" s="67">
        <v>0</v>
      </c>
      <c r="F103" s="92">
        <v>150000</v>
      </c>
      <c r="G103" s="67">
        <v>184666.66666666666</v>
      </c>
      <c r="H103" s="67">
        <v>184666.66666666666</v>
      </c>
      <c r="I103" s="67">
        <v>184666.66666666666</v>
      </c>
      <c r="J103" s="67">
        <v>0</v>
      </c>
      <c r="K103" s="67">
        <f t="shared" si="5"/>
        <v>703999.99999999988</v>
      </c>
      <c r="L103" s="35"/>
    </row>
    <row r="104" spans="1:12" s="36" customFormat="1" ht="25.5" x14ac:dyDescent="0.25">
      <c r="A104" s="154"/>
      <c r="B104" s="152"/>
      <c r="C104" s="88" t="s">
        <v>344</v>
      </c>
      <c r="D104" s="81" t="s">
        <v>373</v>
      </c>
      <c r="E104" s="67">
        <v>0</v>
      </c>
      <c r="F104" s="92">
        <v>150000</v>
      </c>
      <c r="G104" s="67">
        <v>371499.83333333331</v>
      </c>
      <c r="H104" s="67">
        <v>371499.83333333331</v>
      </c>
      <c r="I104" s="67">
        <v>371499.83333333331</v>
      </c>
      <c r="J104" s="67">
        <v>0</v>
      </c>
      <c r="K104" s="67">
        <f t="shared" si="5"/>
        <v>1264499.5</v>
      </c>
      <c r="L104" s="35"/>
    </row>
    <row r="105" spans="1:12" s="36" customFormat="1" ht="25.5" x14ac:dyDescent="0.25">
      <c r="A105" s="154"/>
      <c r="B105" s="152"/>
      <c r="C105" s="88" t="s">
        <v>344</v>
      </c>
      <c r="D105" s="81" t="s">
        <v>374</v>
      </c>
      <c r="E105" s="67">
        <v>0</v>
      </c>
      <c r="F105" s="92">
        <v>150000</v>
      </c>
      <c r="G105" s="67">
        <v>371499.83333333331</v>
      </c>
      <c r="H105" s="67">
        <v>371499.83333333331</v>
      </c>
      <c r="I105" s="67">
        <v>371499.83333333331</v>
      </c>
      <c r="J105" s="67">
        <v>0</v>
      </c>
      <c r="K105" s="67">
        <f t="shared" si="5"/>
        <v>1264499.5</v>
      </c>
      <c r="L105" s="35"/>
    </row>
    <row r="106" spans="1:12" s="36" customFormat="1" x14ac:dyDescent="0.25">
      <c r="A106" s="154"/>
      <c r="B106" s="152"/>
      <c r="C106" s="88" t="s">
        <v>345</v>
      </c>
      <c r="D106" s="81" t="s">
        <v>375</v>
      </c>
      <c r="E106" s="67">
        <v>0</v>
      </c>
      <c r="F106" s="92">
        <v>150000</v>
      </c>
      <c r="G106" s="67">
        <v>551333.33333333337</v>
      </c>
      <c r="H106" s="67">
        <v>551333.33333333337</v>
      </c>
      <c r="I106" s="67">
        <v>551333.33333333337</v>
      </c>
      <c r="J106" s="67">
        <v>0</v>
      </c>
      <c r="K106" s="67">
        <f t="shared" si="5"/>
        <v>1804000</v>
      </c>
      <c r="L106" s="35"/>
    </row>
    <row r="107" spans="1:12" s="36" customFormat="1" x14ac:dyDescent="0.25">
      <c r="A107" s="154"/>
      <c r="B107" s="152"/>
      <c r="C107" s="88" t="s">
        <v>346</v>
      </c>
      <c r="D107" s="81" t="s">
        <v>376</v>
      </c>
      <c r="E107" s="67">
        <v>0</v>
      </c>
      <c r="F107" s="92">
        <v>150000</v>
      </c>
      <c r="G107" s="67">
        <v>368000</v>
      </c>
      <c r="H107" s="67">
        <v>368000</v>
      </c>
      <c r="I107" s="67">
        <v>368000</v>
      </c>
      <c r="J107" s="67">
        <v>0</v>
      </c>
      <c r="K107" s="67">
        <f t="shared" si="5"/>
        <v>1254000</v>
      </c>
      <c r="L107" s="35"/>
    </row>
    <row r="108" spans="1:12" s="36" customFormat="1" x14ac:dyDescent="0.25">
      <c r="A108" s="154"/>
      <c r="B108" s="152"/>
      <c r="C108" s="88" t="s">
        <v>347</v>
      </c>
      <c r="D108" s="81" t="s">
        <v>376</v>
      </c>
      <c r="E108" s="67">
        <v>0</v>
      </c>
      <c r="F108" s="92">
        <v>150000</v>
      </c>
      <c r="G108" s="67">
        <v>368000</v>
      </c>
      <c r="H108" s="67">
        <v>368000</v>
      </c>
      <c r="I108" s="67">
        <v>368000</v>
      </c>
      <c r="J108" s="67">
        <v>0</v>
      </c>
      <c r="K108" s="67">
        <f t="shared" si="5"/>
        <v>1254000</v>
      </c>
      <c r="L108" s="35"/>
    </row>
    <row r="109" spans="1:12" s="36" customFormat="1" ht="38.25" x14ac:dyDescent="0.25">
      <c r="A109" s="154"/>
      <c r="B109" s="152"/>
      <c r="C109" s="88" t="s">
        <v>348</v>
      </c>
      <c r="D109" s="81" t="s">
        <v>377</v>
      </c>
      <c r="E109" s="67">
        <v>0</v>
      </c>
      <c r="F109" s="93">
        <v>25000</v>
      </c>
      <c r="G109" s="67">
        <v>373166.5</v>
      </c>
      <c r="H109" s="67">
        <v>373166.5</v>
      </c>
      <c r="I109" s="67">
        <v>373166.5</v>
      </c>
      <c r="J109" s="67">
        <v>0</v>
      </c>
      <c r="K109" s="67">
        <f t="shared" si="5"/>
        <v>1144499.5</v>
      </c>
      <c r="L109" s="35"/>
    </row>
    <row r="110" spans="1:12" s="36" customFormat="1" ht="25.5" x14ac:dyDescent="0.25">
      <c r="A110" s="154"/>
      <c r="B110" s="152"/>
      <c r="C110" s="88" t="s">
        <v>349</v>
      </c>
      <c r="D110" s="81" t="s">
        <v>378</v>
      </c>
      <c r="E110" s="67">
        <v>0</v>
      </c>
      <c r="F110" s="93">
        <v>50000</v>
      </c>
      <c r="G110" s="67">
        <v>451139.83333333331</v>
      </c>
      <c r="H110" s="67">
        <v>451139.83333333331</v>
      </c>
      <c r="I110" s="67">
        <v>451139.83333333331</v>
      </c>
      <c r="J110" s="67">
        <v>0</v>
      </c>
      <c r="K110" s="67">
        <f t="shared" si="5"/>
        <v>1403419.5</v>
      </c>
      <c r="L110" s="35"/>
    </row>
    <row r="111" spans="1:12" s="36" customFormat="1" ht="38.25" x14ac:dyDescent="0.25">
      <c r="A111" s="154"/>
      <c r="B111" s="152"/>
      <c r="C111" s="88" t="s">
        <v>338</v>
      </c>
      <c r="D111" s="81" t="s">
        <v>379</v>
      </c>
      <c r="E111" s="67">
        <v>0</v>
      </c>
      <c r="F111" s="93">
        <v>50000</v>
      </c>
      <c r="G111" s="67">
        <v>170991.83333333334</v>
      </c>
      <c r="H111" s="67">
        <v>170991.83333333334</v>
      </c>
      <c r="I111" s="67">
        <v>170991.83333333334</v>
      </c>
      <c r="J111" s="67">
        <v>0</v>
      </c>
      <c r="K111" s="67">
        <f t="shared" si="5"/>
        <v>562975.5</v>
      </c>
      <c r="L111" s="35"/>
    </row>
    <row r="112" spans="1:12" s="36" customFormat="1" ht="25.5" x14ac:dyDescent="0.25">
      <c r="A112" s="154"/>
      <c r="B112" s="152"/>
      <c r="C112" s="88" t="s">
        <v>341</v>
      </c>
      <c r="D112" s="81" t="s">
        <v>380</v>
      </c>
      <c r="E112" s="67">
        <v>0</v>
      </c>
      <c r="F112" s="93">
        <v>50000</v>
      </c>
      <c r="G112" s="67">
        <v>1503056.6333333335</v>
      </c>
      <c r="H112" s="67">
        <v>1503056.6333333335</v>
      </c>
      <c r="I112" s="67">
        <v>1503056.6333333335</v>
      </c>
      <c r="J112" s="67">
        <v>0</v>
      </c>
      <c r="K112" s="67">
        <f t="shared" si="5"/>
        <v>4559169.9000000004</v>
      </c>
      <c r="L112" s="35"/>
    </row>
    <row r="113" spans="1:14" s="36" customFormat="1" ht="38.25" x14ac:dyDescent="0.25">
      <c r="A113" s="154"/>
      <c r="B113" s="152"/>
      <c r="C113" s="88" t="s">
        <v>350</v>
      </c>
      <c r="D113" s="81" t="s">
        <v>381</v>
      </c>
      <c r="E113" s="67">
        <v>0</v>
      </c>
      <c r="F113" s="93">
        <v>50000</v>
      </c>
      <c r="G113" s="67">
        <v>734666.66666666663</v>
      </c>
      <c r="H113" s="67">
        <v>734666.66666666663</v>
      </c>
      <c r="I113" s="67">
        <v>734666.66666666663</v>
      </c>
      <c r="J113" s="67">
        <v>0</v>
      </c>
      <c r="K113" s="67">
        <f t="shared" ref="K113:K118" si="6">SUM(E113:J113)</f>
        <v>2254000</v>
      </c>
      <c r="L113" s="35"/>
    </row>
    <row r="114" spans="1:14" s="36" customFormat="1" x14ac:dyDescent="0.25">
      <c r="A114" s="154"/>
      <c r="B114" s="152"/>
      <c r="C114" s="88" t="s">
        <v>351</v>
      </c>
      <c r="D114" s="82" t="s">
        <v>382</v>
      </c>
      <c r="E114" s="67">
        <v>0</v>
      </c>
      <c r="F114" s="93">
        <v>100000</v>
      </c>
      <c r="G114" s="67">
        <v>736000</v>
      </c>
      <c r="H114" s="67">
        <v>736000</v>
      </c>
      <c r="I114" s="67">
        <v>736000</v>
      </c>
      <c r="J114" s="67">
        <v>0</v>
      </c>
      <c r="K114" s="67">
        <f t="shared" si="6"/>
        <v>2308000</v>
      </c>
      <c r="L114" s="35"/>
    </row>
    <row r="115" spans="1:14" s="36" customFormat="1" ht="25.5" x14ac:dyDescent="0.25">
      <c r="A115" s="154"/>
      <c r="B115" s="152"/>
      <c r="C115" s="90" t="s">
        <v>352</v>
      </c>
      <c r="D115" s="84" t="s">
        <v>383</v>
      </c>
      <c r="E115" s="93">
        <v>0</v>
      </c>
      <c r="F115" s="94">
        <v>25000</v>
      </c>
      <c r="G115" s="67">
        <v>3555435.3333333335</v>
      </c>
      <c r="H115" s="67">
        <v>3555435.3333333335</v>
      </c>
      <c r="I115" s="67">
        <v>3555435.3333333335</v>
      </c>
      <c r="J115" s="67">
        <v>0</v>
      </c>
      <c r="K115" s="66">
        <f t="shared" si="6"/>
        <v>10691306</v>
      </c>
      <c r="L115" s="35"/>
    </row>
    <row r="116" spans="1:14" s="36" customFormat="1" ht="15" customHeight="1" x14ac:dyDescent="0.25">
      <c r="A116" s="154"/>
      <c r="B116" s="147" t="s">
        <v>466</v>
      </c>
      <c r="C116" s="148"/>
      <c r="D116" s="149"/>
      <c r="E116" s="79">
        <f>SUM(E83:E115)</f>
        <v>0</v>
      </c>
      <c r="F116" s="79">
        <f t="shared" ref="F116:J116" si="7">SUM(F83:F115)</f>
        <v>6550000</v>
      </c>
      <c r="G116" s="79">
        <f t="shared" si="7"/>
        <v>27368339.566666659</v>
      </c>
      <c r="H116" s="79">
        <f t="shared" si="7"/>
        <v>28368339.566666655</v>
      </c>
      <c r="I116" s="79">
        <f t="shared" si="7"/>
        <v>27368339.566666659</v>
      </c>
      <c r="J116" s="79">
        <f t="shared" si="7"/>
        <v>0</v>
      </c>
      <c r="K116" s="54">
        <f t="shared" si="6"/>
        <v>89655018.699999973</v>
      </c>
      <c r="L116" s="35"/>
    </row>
    <row r="117" spans="1:14" s="36" customFormat="1" ht="45" x14ac:dyDescent="0.25">
      <c r="A117" s="154"/>
      <c r="B117" s="28" t="s">
        <v>213</v>
      </c>
      <c r="C117" s="28" t="s">
        <v>312</v>
      </c>
      <c r="D117" s="12" t="s">
        <v>322</v>
      </c>
      <c r="E117" s="67">
        <v>0</v>
      </c>
      <c r="F117" s="67">
        <v>7181630.7000000002</v>
      </c>
      <c r="G117" s="67">
        <v>21544892.100000001</v>
      </c>
      <c r="H117" s="67">
        <v>21544892.100000001</v>
      </c>
      <c r="I117" s="67">
        <v>21544892.100000001</v>
      </c>
      <c r="J117" s="67"/>
      <c r="K117" s="67">
        <f t="shared" si="6"/>
        <v>71816307</v>
      </c>
      <c r="L117" s="35"/>
    </row>
    <row r="118" spans="1:14" s="36" customFormat="1" ht="15" customHeight="1" x14ac:dyDescent="0.25">
      <c r="A118" s="34"/>
      <c r="B118" s="147" t="s">
        <v>465</v>
      </c>
      <c r="C118" s="148"/>
      <c r="D118" s="149"/>
      <c r="E118" s="79">
        <f t="shared" ref="E118:J118" si="8">E117</f>
        <v>0</v>
      </c>
      <c r="F118" s="79">
        <f t="shared" si="8"/>
        <v>7181630.7000000002</v>
      </c>
      <c r="G118" s="79">
        <f t="shared" si="8"/>
        <v>21544892.100000001</v>
      </c>
      <c r="H118" s="79">
        <f t="shared" si="8"/>
        <v>21544892.100000001</v>
      </c>
      <c r="I118" s="79">
        <f t="shared" si="8"/>
        <v>21544892.100000001</v>
      </c>
      <c r="J118" s="79">
        <f t="shared" si="8"/>
        <v>0</v>
      </c>
      <c r="K118" s="54">
        <f t="shared" si="6"/>
        <v>71816307</v>
      </c>
      <c r="L118" s="35"/>
    </row>
    <row r="119" spans="1:14" s="36" customFormat="1" x14ac:dyDescent="0.25">
      <c r="A119" s="31"/>
      <c r="B119" s="12"/>
      <c r="C119" s="12"/>
      <c r="D119" s="12"/>
      <c r="E119" s="26"/>
      <c r="F119" s="26"/>
      <c r="G119" s="26"/>
      <c r="H119" s="26"/>
      <c r="I119" s="26"/>
      <c r="J119" s="26"/>
      <c r="K119" s="26"/>
      <c r="L119" s="35"/>
    </row>
    <row r="120" spans="1:14" s="4" customFormat="1" ht="14.25" x14ac:dyDescent="0.2">
      <c r="A120" s="43"/>
      <c r="B120" s="44"/>
      <c r="C120" s="44"/>
      <c r="D120" s="45"/>
      <c r="E120" s="46"/>
      <c r="F120" s="46"/>
      <c r="G120" s="46"/>
      <c r="H120" s="46"/>
      <c r="I120" s="46"/>
      <c r="J120" s="46"/>
      <c r="K120" s="46"/>
      <c r="L120" s="17"/>
    </row>
    <row r="121" spans="1:14" s="4" customFormat="1" ht="28.5" x14ac:dyDescent="0.2">
      <c r="A121" s="31" t="s">
        <v>464</v>
      </c>
      <c r="B121" s="34"/>
      <c r="C121" s="34"/>
      <c r="D121" s="34"/>
      <c r="E121" s="79">
        <f>E118+E116+E82+E75+E72</f>
        <v>1600000</v>
      </c>
      <c r="F121" s="79">
        <f t="shared" ref="F121:K121" si="9">F118+F116+F82+F75+F72</f>
        <v>19373741.699999999</v>
      </c>
      <c r="G121" s="79">
        <f t="shared" si="9"/>
        <v>64900331.666666657</v>
      </c>
      <c r="H121" s="79">
        <f t="shared" si="9"/>
        <v>61874231.666666657</v>
      </c>
      <c r="I121" s="79">
        <f t="shared" si="9"/>
        <v>51242070.666666657</v>
      </c>
      <c r="J121" s="79">
        <f t="shared" si="9"/>
        <v>0</v>
      </c>
      <c r="K121" s="79">
        <f t="shared" si="9"/>
        <v>198990375.69999999</v>
      </c>
      <c r="L121" s="17"/>
      <c r="N121" s="141"/>
    </row>
    <row r="122" spans="1:14" s="4" customFormat="1" ht="14.25" x14ac:dyDescent="0.2">
      <c r="A122" s="43"/>
      <c r="B122" s="44"/>
      <c r="C122" s="44"/>
      <c r="D122" s="45"/>
      <c r="E122" s="46"/>
      <c r="F122" s="46"/>
      <c r="G122" s="46"/>
      <c r="H122" s="46"/>
      <c r="I122" s="46"/>
      <c r="J122" s="46"/>
      <c r="K122" s="46"/>
      <c r="L122" s="17"/>
    </row>
    <row r="123" spans="1:14" ht="18.75" x14ac:dyDescent="0.25">
      <c r="A123" s="162" t="s">
        <v>488</v>
      </c>
      <c r="B123" s="163"/>
      <c r="C123" s="163"/>
      <c r="D123" s="164"/>
      <c r="E123" s="135">
        <f>E121+E7</f>
        <v>3351662</v>
      </c>
      <c r="F123" s="135">
        <f t="shared" ref="F123:K123" si="10">F121+F7</f>
        <v>21123103.699999999</v>
      </c>
      <c r="G123" s="135">
        <f t="shared" si="10"/>
        <v>66649693.666666657</v>
      </c>
      <c r="H123" s="135">
        <f t="shared" si="10"/>
        <v>63623593.666666657</v>
      </c>
      <c r="I123" s="135">
        <f t="shared" si="10"/>
        <v>52991432.666666657</v>
      </c>
      <c r="J123" s="135">
        <f t="shared" si="10"/>
        <v>0</v>
      </c>
      <c r="K123" s="135">
        <f t="shared" si="10"/>
        <v>207739485.69999999</v>
      </c>
    </row>
    <row r="124" spans="1:14" ht="18.75" x14ac:dyDescent="0.25">
      <c r="A124" s="165" t="s">
        <v>470</v>
      </c>
      <c r="B124" s="165"/>
      <c r="C124" s="165"/>
      <c r="D124" s="165"/>
      <c r="E124" s="165"/>
      <c r="F124" s="165"/>
      <c r="G124" s="165"/>
      <c r="H124" s="165"/>
      <c r="I124" s="165"/>
      <c r="J124" s="165"/>
      <c r="K124" s="165"/>
    </row>
    <row r="125" spans="1:14" x14ac:dyDescent="0.25">
      <c r="B125" s="5"/>
      <c r="C125" s="5"/>
      <c r="E125" s="75"/>
      <c r="F125" s="6"/>
      <c r="G125" s="6"/>
      <c r="H125" s="6"/>
      <c r="I125" s="6"/>
      <c r="J125" s="6"/>
      <c r="K125" s="7"/>
    </row>
    <row r="126" spans="1:14" x14ac:dyDescent="0.25">
      <c r="B126" s="5" t="s">
        <v>455</v>
      </c>
      <c r="C126" s="5"/>
      <c r="E126" s="75"/>
      <c r="F126" s="6"/>
      <c r="G126" s="6"/>
      <c r="H126" s="6"/>
      <c r="I126" s="6"/>
      <c r="J126" s="6"/>
      <c r="K126" s="7"/>
    </row>
    <row r="127" spans="1:14" x14ac:dyDescent="0.25">
      <c r="B127" s="155" t="s">
        <v>456</v>
      </c>
      <c r="C127" s="158" t="s">
        <v>462</v>
      </c>
      <c r="D127" s="159"/>
      <c r="E127" s="159"/>
      <c r="F127" s="159"/>
      <c r="G127" s="160"/>
      <c r="H127" s="161" t="s">
        <v>472</v>
      </c>
      <c r="I127" s="6"/>
      <c r="J127" s="6"/>
      <c r="K127" s="7"/>
    </row>
    <row r="128" spans="1:14" x14ac:dyDescent="0.25">
      <c r="B128" s="156"/>
      <c r="C128" s="132" t="s">
        <v>457</v>
      </c>
      <c r="D128" s="132" t="s">
        <v>458</v>
      </c>
      <c r="E128" s="132" t="s">
        <v>459</v>
      </c>
      <c r="F128" s="132" t="s">
        <v>460</v>
      </c>
      <c r="G128" s="132" t="s">
        <v>461</v>
      </c>
      <c r="H128" s="156"/>
      <c r="I128" s="6"/>
      <c r="J128" s="6"/>
      <c r="K128" s="7"/>
    </row>
    <row r="129" spans="1:12" x14ac:dyDescent="0.25">
      <c r="B129" s="157"/>
      <c r="C129" s="133"/>
      <c r="D129" s="133"/>
      <c r="E129" s="133"/>
      <c r="F129" s="133"/>
      <c r="G129" s="133"/>
      <c r="H129" s="156"/>
      <c r="I129" s="6"/>
      <c r="J129" s="6"/>
      <c r="K129" s="7"/>
    </row>
    <row r="130" spans="1:12" x14ac:dyDescent="0.25">
      <c r="B130" s="131" t="s">
        <v>446</v>
      </c>
      <c r="C130" s="136">
        <v>84734.799999999988</v>
      </c>
      <c r="D130" s="136">
        <v>84734.799999999988</v>
      </c>
      <c r="E130" s="136">
        <v>84734.799999999988</v>
      </c>
      <c r="F130" s="136">
        <v>84734.799999999988</v>
      </c>
      <c r="G130" s="136">
        <v>84734.799999999988</v>
      </c>
      <c r="H130" s="137">
        <f>SUM(C130:G130)</f>
        <v>423673.99999999994</v>
      </c>
      <c r="I130" s="6"/>
      <c r="J130" s="6"/>
    </row>
    <row r="131" spans="1:12" x14ac:dyDescent="0.25">
      <c r="B131" s="131" t="s">
        <v>447</v>
      </c>
      <c r="C131" s="136">
        <v>51027</v>
      </c>
      <c r="D131" s="136">
        <v>51027</v>
      </c>
      <c r="E131" s="136">
        <v>51027</v>
      </c>
      <c r="F131" s="136">
        <v>51027</v>
      </c>
      <c r="G131" s="136">
        <v>51027</v>
      </c>
      <c r="H131" s="137">
        <f t="shared" ref="H131:H137" si="11">SUM(C131:G131)</f>
        <v>255135</v>
      </c>
      <c r="I131" s="6"/>
      <c r="J131" s="6"/>
    </row>
    <row r="132" spans="1:12" x14ac:dyDescent="0.25">
      <c r="B132" s="131" t="s">
        <v>448</v>
      </c>
      <c r="C132" s="136">
        <v>13000</v>
      </c>
      <c r="D132" s="136">
        <v>13000</v>
      </c>
      <c r="E132" s="136">
        <v>13000</v>
      </c>
      <c r="F132" s="136">
        <v>13000</v>
      </c>
      <c r="G132" s="136">
        <v>13000</v>
      </c>
      <c r="H132" s="137">
        <f t="shared" si="11"/>
        <v>65000</v>
      </c>
      <c r="I132" s="6"/>
      <c r="J132" s="6"/>
    </row>
    <row r="133" spans="1:12" x14ac:dyDescent="0.25">
      <c r="B133" s="131" t="s">
        <v>449</v>
      </c>
      <c r="C133" s="136">
        <v>2900</v>
      </c>
      <c r="D133" s="136">
        <v>600</v>
      </c>
      <c r="E133" s="136">
        <v>600</v>
      </c>
      <c r="F133" s="136">
        <v>600</v>
      </c>
      <c r="G133" s="136">
        <v>600</v>
      </c>
      <c r="H133" s="137">
        <f t="shared" si="11"/>
        <v>5300</v>
      </c>
      <c r="I133" s="6"/>
      <c r="J133" s="6"/>
    </row>
    <row r="134" spans="1:12" s="8" customFormat="1" x14ac:dyDescent="0.25">
      <c r="A134" s="5"/>
      <c r="B134" s="131" t="s">
        <v>450</v>
      </c>
      <c r="C134" s="136">
        <v>0</v>
      </c>
      <c r="D134" s="136">
        <v>0</v>
      </c>
      <c r="E134" s="136">
        <v>0</v>
      </c>
      <c r="F134" s="136">
        <v>0</v>
      </c>
      <c r="G134" s="136">
        <v>0</v>
      </c>
      <c r="H134" s="137">
        <f t="shared" si="11"/>
        <v>0</v>
      </c>
      <c r="I134" s="6"/>
      <c r="J134" s="6"/>
      <c r="L134" s="16"/>
    </row>
    <row r="135" spans="1:12" s="8" customFormat="1" x14ac:dyDescent="0.25">
      <c r="A135" s="5"/>
      <c r="B135" s="131" t="s">
        <v>451</v>
      </c>
      <c r="C135" s="136">
        <v>1600000</v>
      </c>
      <c r="D135" s="136">
        <v>1600000</v>
      </c>
      <c r="E135" s="136">
        <v>1600000</v>
      </c>
      <c r="F135" s="136">
        <v>1600000</v>
      </c>
      <c r="G135" s="136">
        <v>1600000</v>
      </c>
      <c r="H135" s="137">
        <f t="shared" si="11"/>
        <v>8000000</v>
      </c>
      <c r="I135" s="6"/>
      <c r="J135" s="134"/>
      <c r="L135" s="16"/>
    </row>
    <row r="136" spans="1:12" s="8" customFormat="1" x14ac:dyDescent="0.25">
      <c r="A136" s="5"/>
      <c r="B136" s="131" t="s">
        <v>452</v>
      </c>
      <c r="C136" s="136">
        <v>0</v>
      </c>
      <c r="D136" s="136">
        <v>0</v>
      </c>
      <c r="E136" s="136">
        <v>0</v>
      </c>
      <c r="F136" s="136">
        <v>0</v>
      </c>
      <c r="G136" s="136">
        <v>0</v>
      </c>
      <c r="H136" s="137">
        <f t="shared" si="11"/>
        <v>0</v>
      </c>
      <c r="I136" s="6"/>
      <c r="J136" s="6"/>
      <c r="L136" s="16"/>
    </row>
    <row r="137" spans="1:12" s="8" customFormat="1" x14ac:dyDescent="0.25">
      <c r="A137" s="5"/>
      <c r="B137" s="131" t="s">
        <v>453</v>
      </c>
      <c r="C137" s="136">
        <f>E121</f>
        <v>1600000</v>
      </c>
      <c r="D137" s="136">
        <f>F121</f>
        <v>19373741.699999999</v>
      </c>
      <c r="E137" s="136">
        <f>G121</f>
        <v>64900331.666666657</v>
      </c>
      <c r="F137" s="136">
        <f>H121</f>
        <v>61874231.666666657</v>
      </c>
      <c r="G137" s="136">
        <f>I121</f>
        <v>51242070.666666657</v>
      </c>
      <c r="H137" s="137">
        <f t="shared" si="11"/>
        <v>198990375.69999996</v>
      </c>
      <c r="I137" s="6"/>
      <c r="J137" s="6"/>
      <c r="L137" s="16"/>
    </row>
    <row r="138" spans="1:12" s="8" customFormat="1" x14ac:dyDescent="0.25">
      <c r="A138" s="5"/>
      <c r="B138" s="131" t="s">
        <v>471</v>
      </c>
      <c r="C138" s="137">
        <f>SUM(C130:C137)</f>
        <v>3351661.8</v>
      </c>
      <c r="D138" s="137">
        <f t="shared" ref="D138:H138" si="12">SUM(D130:D137)</f>
        <v>21123103.5</v>
      </c>
      <c r="E138" s="137">
        <f t="shared" si="12"/>
        <v>66649693.466666654</v>
      </c>
      <c r="F138" s="137">
        <f t="shared" si="12"/>
        <v>63623593.466666654</v>
      </c>
      <c r="G138" s="137">
        <f t="shared" si="12"/>
        <v>52991432.466666654</v>
      </c>
      <c r="H138" s="137">
        <f t="shared" si="12"/>
        <v>207739484.69999996</v>
      </c>
      <c r="I138" s="6"/>
      <c r="J138" s="6"/>
      <c r="L138" s="16"/>
    </row>
    <row r="139" spans="1:12" s="8" customFormat="1" x14ac:dyDescent="0.25">
      <c r="A139" s="5"/>
      <c r="B139" s="131" t="s">
        <v>454</v>
      </c>
      <c r="C139" s="136"/>
      <c r="D139" s="136"/>
      <c r="E139" s="136"/>
      <c r="F139" s="136"/>
      <c r="G139" s="136"/>
      <c r="H139" s="137">
        <v>0</v>
      </c>
      <c r="I139" s="6"/>
      <c r="J139" s="6"/>
      <c r="L139" s="16"/>
    </row>
    <row r="140" spans="1:12" s="8" customFormat="1" x14ac:dyDescent="0.25">
      <c r="A140" s="5"/>
      <c r="B140" s="131" t="s">
        <v>474</v>
      </c>
      <c r="C140" s="137">
        <f>C139+C138</f>
        <v>3351661.8</v>
      </c>
      <c r="D140" s="137">
        <f t="shared" ref="D140:H140" si="13">D139+D138</f>
        <v>21123103.5</v>
      </c>
      <c r="E140" s="137">
        <f t="shared" si="13"/>
        <v>66649693.466666654</v>
      </c>
      <c r="F140" s="137">
        <f t="shared" si="13"/>
        <v>63623593.466666654</v>
      </c>
      <c r="G140" s="137">
        <f t="shared" si="13"/>
        <v>52991432.466666654</v>
      </c>
      <c r="H140" s="137">
        <f t="shared" si="13"/>
        <v>207739484.69999996</v>
      </c>
      <c r="I140" s="6"/>
      <c r="J140" s="6"/>
      <c r="L140" s="16"/>
    </row>
    <row r="141" spans="1:12" s="8" customFormat="1" x14ac:dyDescent="0.25">
      <c r="A141" s="5"/>
      <c r="B141" s="9"/>
      <c r="C141" s="9"/>
      <c r="D141" s="5"/>
      <c r="E141" s="75"/>
      <c r="F141" s="6"/>
      <c r="G141" s="6"/>
      <c r="H141" s="6"/>
      <c r="I141" s="6"/>
      <c r="J141" s="6"/>
      <c r="L141" s="16"/>
    </row>
    <row r="142" spans="1:12" s="8" customFormat="1" x14ac:dyDescent="0.25">
      <c r="A142" s="5"/>
      <c r="B142" s="9"/>
      <c r="C142" s="9"/>
      <c r="D142" s="5"/>
      <c r="E142" s="75"/>
      <c r="F142" s="6"/>
      <c r="G142" s="6"/>
      <c r="H142" s="6"/>
      <c r="I142" s="6"/>
      <c r="J142" s="6"/>
      <c r="L142" s="16"/>
    </row>
  </sheetData>
  <mergeCells count="16">
    <mergeCell ref="B127:B129"/>
    <mergeCell ref="C127:G127"/>
    <mergeCell ref="H127:H129"/>
    <mergeCell ref="A123:D123"/>
    <mergeCell ref="A124:K124"/>
    <mergeCell ref="A1:K1"/>
    <mergeCell ref="A4:K4"/>
    <mergeCell ref="B8:B71"/>
    <mergeCell ref="B118:D118"/>
    <mergeCell ref="B75:D75"/>
    <mergeCell ref="B82:D82"/>
    <mergeCell ref="B116:D116"/>
    <mergeCell ref="A7:A117"/>
    <mergeCell ref="B76:B81"/>
    <mergeCell ref="B83:B115"/>
    <mergeCell ref="B72:D72"/>
  </mergeCells>
  <printOptions gridLines="1"/>
  <pageMargins left="0.18" right="0.18" top="0.26" bottom="0.36" header="0.53" footer="0.36"/>
  <pageSetup scale="43" orientation="portrait" verticalDpi="52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DNR Air Admin and PSD Summary</vt:lpstr>
      <vt:lpstr>Group #1-Air Projects PSD</vt:lpstr>
      <vt:lpstr>Group #2-Energy Projects PSD</vt:lpstr>
    </vt:vector>
  </TitlesOfParts>
  <Company>State of Missouri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nrsaunj</dc:creator>
  <cp:lastModifiedBy>Schmidt, Samantha</cp:lastModifiedBy>
  <cp:lastPrinted>2011-09-08T21:57:20Z</cp:lastPrinted>
  <dcterms:created xsi:type="dcterms:W3CDTF">2009-11-24T18:28:57Z</dcterms:created>
  <dcterms:modified xsi:type="dcterms:W3CDTF">2024-03-26T16:28:32Z</dcterms:modified>
</cp:coreProperties>
</file>