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DES Shared\Sustainability\Climate Pollution Reduction Grant\"/>
    </mc:Choice>
  </mc:AlternateContent>
  <bookViews>
    <workbookView xWindow="28680" yWindow="-60" windowWidth="29040" windowHeight="15720" firstSheet="5" activeTab="8"/>
  </bookViews>
  <sheets>
    <sheet name="All GHG Totals" sheetId="9" r:id="rId1"/>
    <sheet name="Municipal Planning" sheetId="13" r:id="rId2"/>
    <sheet name="Tree Canopy" sheetId="14" r:id="rId3"/>
    <sheet name="EV Car Share" sheetId="11" r:id="rId4"/>
    <sheet name="EV On Street Charging" sheetId="17" r:id="rId5"/>
    <sheet name="Reuse" sheetId="12" r:id="rId6"/>
    <sheet name="OrganicCollection" sheetId="15" r:id="rId7"/>
    <sheet name="EV Police Cars" sheetId="6" r:id="rId8"/>
    <sheet name="CTEN GHG" sheetId="7" r:id="rId9"/>
    <sheet name="Gloria Drive - Fugitive GHG" sheetId="2" r:id="rId10"/>
    <sheet name="Gloria Drive Solar" sheetId="8" r:id="rId11"/>
    <sheet name="Gloria Drive - Leachate Hauling" sheetId="3" r:id="rId12"/>
    <sheet name="FleetBldg1-Gas" sheetId="4" r:id="rId13"/>
    <sheet name="FleetCtr_Electric" sheetId="5" r:id="rId14"/>
    <sheet name="GHG Inventory MCCAP" sheetId="10" r:id="rId1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 i="15" l="1"/>
  <c r="F15" i="4"/>
  <c r="G18" i="5" l="1"/>
  <c r="G22" i="5"/>
  <c r="C22" i="9"/>
  <c r="G20" i="5"/>
  <c r="C9" i="9"/>
  <c r="C8" i="9"/>
  <c r="A22" i="12"/>
  <c r="A20" i="12"/>
  <c r="A19" i="12"/>
  <c r="A6" i="12"/>
  <c r="A8" i="12" s="1"/>
  <c r="A18" i="12" s="1"/>
  <c r="A9" i="12"/>
  <c r="A11" i="12" s="1"/>
  <c r="A7" i="6"/>
  <c r="C11" i="9"/>
  <c r="A8" i="15"/>
  <c r="C7" i="9"/>
  <c r="B9" i="17"/>
  <c r="B6" i="17"/>
  <c r="B5" i="17"/>
  <c r="C6" i="9"/>
  <c r="B10" i="11"/>
  <c r="B5" i="11"/>
  <c r="B6" i="11" s="1"/>
  <c r="B7" i="11" s="1"/>
  <c r="A16" i="12"/>
  <c r="C5" i="9"/>
  <c r="C4" i="9"/>
  <c r="A7" i="13"/>
  <c r="A9" i="13" s="1"/>
  <c r="A10" i="13" s="1"/>
  <c r="A4" i="7" l="1"/>
  <c r="A3" i="7"/>
  <c r="G24" i="5" l="1"/>
  <c r="A5" i="6" l="1"/>
  <c r="C16" i="9"/>
  <c r="G15" i="5"/>
  <c r="G17" i="5" s="1"/>
  <c r="C10" i="8" l="1"/>
  <c r="C11" i="8" s="1"/>
  <c r="N55" i="2"/>
  <c r="M55" i="2"/>
  <c r="K55" i="2"/>
  <c r="J55" i="2"/>
  <c r="F55" i="2"/>
  <c r="E55" i="2"/>
  <c r="C55" i="2"/>
  <c r="B55" i="2"/>
  <c r="O54" i="2"/>
  <c r="L54" i="2"/>
  <c r="G54" i="2"/>
  <c r="I54" i="2" s="1"/>
  <c r="P54" i="2" s="1"/>
  <c r="D54" i="2"/>
  <c r="O53" i="2"/>
  <c r="L53" i="2"/>
  <c r="G53" i="2"/>
  <c r="I53" i="2" s="1"/>
  <c r="D53" i="2"/>
  <c r="O52" i="2"/>
  <c r="L52" i="2"/>
  <c r="G52" i="2"/>
  <c r="I52" i="2" s="1"/>
  <c r="P52" i="2" s="1"/>
  <c r="D52" i="2"/>
  <c r="O51" i="2"/>
  <c r="L51" i="2"/>
  <c r="G51" i="2"/>
  <c r="I51" i="2" s="1"/>
  <c r="D51" i="2"/>
  <c r="O50" i="2"/>
  <c r="L50" i="2"/>
  <c r="G50" i="2"/>
  <c r="I50" i="2" s="1"/>
  <c r="P50" i="2" s="1"/>
  <c r="D50" i="2"/>
  <c r="O49" i="2"/>
  <c r="L49" i="2"/>
  <c r="I49" i="2"/>
  <c r="G49" i="2"/>
  <c r="H49" i="2" s="1"/>
  <c r="D49" i="2"/>
  <c r="O48" i="2"/>
  <c r="L48" i="2"/>
  <c r="G48" i="2"/>
  <c r="I48" i="2" s="1"/>
  <c r="D48" i="2"/>
  <c r="O47" i="2"/>
  <c r="L47" i="2"/>
  <c r="G47" i="2"/>
  <c r="I47" i="2" s="1"/>
  <c r="D47" i="2"/>
  <c r="O46" i="2"/>
  <c r="L46" i="2"/>
  <c r="G46" i="2"/>
  <c r="I46" i="2" s="1"/>
  <c r="D46" i="2"/>
  <c r="O45" i="2"/>
  <c r="L45" i="2"/>
  <c r="G45" i="2"/>
  <c r="I45" i="2" s="1"/>
  <c r="D45" i="2"/>
  <c r="O44" i="2"/>
  <c r="L44" i="2"/>
  <c r="G44" i="2"/>
  <c r="I44" i="2" s="1"/>
  <c r="D44" i="2"/>
  <c r="O43" i="2"/>
  <c r="L43" i="2"/>
  <c r="G43" i="2"/>
  <c r="I43" i="2" s="1"/>
  <c r="D43" i="2"/>
  <c r="O42" i="2"/>
  <c r="L42" i="2"/>
  <c r="G42" i="2"/>
  <c r="I42" i="2" s="1"/>
  <c r="D42" i="2"/>
  <c r="O41" i="2"/>
  <c r="L41" i="2"/>
  <c r="I41" i="2"/>
  <c r="G41" i="2"/>
  <c r="H41" i="2" s="1"/>
  <c r="D41" i="2"/>
  <c r="O40" i="2"/>
  <c r="L40" i="2"/>
  <c r="G40" i="2"/>
  <c r="I40" i="2" s="1"/>
  <c r="P40" i="2" s="1"/>
  <c r="D40" i="2"/>
  <c r="O39" i="2"/>
  <c r="L39" i="2"/>
  <c r="G39" i="2"/>
  <c r="I39" i="2" s="1"/>
  <c r="D39" i="2"/>
  <c r="O38" i="2"/>
  <c r="L38" i="2"/>
  <c r="G38" i="2"/>
  <c r="I38" i="2" s="1"/>
  <c r="P38" i="2" s="1"/>
  <c r="D38" i="2"/>
  <c r="O37" i="2"/>
  <c r="L37" i="2"/>
  <c r="G37" i="2"/>
  <c r="I37" i="2" s="1"/>
  <c r="D37" i="2"/>
  <c r="O36" i="2"/>
  <c r="L36" i="2"/>
  <c r="G36" i="2"/>
  <c r="I36" i="2" s="1"/>
  <c r="P36" i="2" s="1"/>
  <c r="D36" i="2"/>
  <c r="O35" i="2"/>
  <c r="L35" i="2"/>
  <c r="G35" i="2"/>
  <c r="I35" i="2" s="1"/>
  <c r="D35" i="2"/>
  <c r="O34" i="2"/>
  <c r="L34" i="2"/>
  <c r="G34" i="2"/>
  <c r="I34" i="2" s="1"/>
  <c r="P34" i="2" s="1"/>
  <c r="D34" i="2"/>
  <c r="O33" i="2"/>
  <c r="L33" i="2"/>
  <c r="I33" i="2"/>
  <c r="G33" i="2"/>
  <c r="H33" i="2" s="1"/>
  <c r="D33" i="2"/>
  <c r="O32" i="2"/>
  <c r="L32" i="2"/>
  <c r="G32" i="2"/>
  <c r="I32" i="2" s="1"/>
  <c r="D32" i="2"/>
  <c r="O31" i="2"/>
  <c r="L31" i="2"/>
  <c r="G31" i="2"/>
  <c r="I31" i="2" s="1"/>
  <c r="D31" i="2"/>
  <c r="O30" i="2"/>
  <c r="L30" i="2"/>
  <c r="G30" i="2"/>
  <c r="I30" i="2" s="1"/>
  <c r="D30" i="2"/>
  <c r="O29" i="2"/>
  <c r="L29" i="2"/>
  <c r="G29" i="2"/>
  <c r="I29" i="2" s="1"/>
  <c r="D29" i="2"/>
  <c r="O28" i="2"/>
  <c r="L28" i="2"/>
  <c r="G28" i="2"/>
  <c r="I28" i="2" s="1"/>
  <c r="D28" i="2"/>
  <c r="O27" i="2"/>
  <c r="L27" i="2"/>
  <c r="G27" i="2"/>
  <c r="I27" i="2" s="1"/>
  <c r="D27" i="2"/>
  <c r="O26" i="2"/>
  <c r="L26" i="2"/>
  <c r="G26" i="2"/>
  <c r="I26" i="2" s="1"/>
  <c r="D26" i="2"/>
  <c r="O25" i="2"/>
  <c r="L25" i="2"/>
  <c r="G25" i="2"/>
  <c r="H25" i="2" s="1"/>
  <c r="D25" i="2"/>
  <c r="O24" i="2"/>
  <c r="L24" i="2"/>
  <c r="G24" i="2"/>
  <c r="I24" i="2" s="1"/>
  <c r="D24" i="2"/>
  <c r="O23" i="2"/>
  <c r="L23" i="2"/>
  <c r="G23" i="2"/>
  <c r="H23" i="2" s="1"/>
  <c r="D23" i="2"/>
  <c r="O22" i="2"/>
  <c r="L22" i="2"/>
  <c r="G22" i="2"/>
  <c r="I22" i="2" s="1"/>
  <c r="D22" i="2"/>
  <c r="O21" i="2"/>
  <c r="L21" i="2"/>
  <c r="G21" i="2"/>
  <c r="H21" i="2" s="1"/>
  <c r="D21" i="2"/>
  <c r="O20" i="2"/>
  <c r="L20" i="2"/>
  <c r="G20" i="2"/>
  <c r="I20" i="2" s="1"/>
  <c r="D20" i="2"/>
  <c r="O19" i="2"/>
  <c r="L19" i="2"/>
  <c r="G19" i="2"/>
  <c r="I19" i="2" s="1"/>
  <c r="P19" i="2" s="1"/>
  <c r="D19" i="2"/>
  <c r="O18" i="2"/>
  <c r="L18" i="2"/>
  <c r="G18" i="2"/>
  <c r="I18" i="2" s="1"/>
  <c r="D18" i="2"/>
  <c r="O17" i="2"/>
  <c r="L17" i="2"/>
  <c r="G17" i="2"/>
  <c r="H17" i="2" s="1"/>
  <c r="D17" i="2"/>
  <c r="O16" i="2"/>
  <c r="L16" i="2"/>
  <c r="G16" i="2"/>
  <c r="H16" i="2" s="1"/>
  <c r="D16" i="2"/>
  <c r="O15" i="2"/>
  <c r="L15" i="2"/>
  <c r="G15" i="2"/>
  <c r="I15" i="2" s="1"/>
  <c r="P15" i="2" s="1"/>
  <c r="D15" i="2"/>
  <c r="O14" i="2"/>
  <c r="L14" i="2"/>
  <c r="G14" i="2"/>
  <c r="I14" i="2" s="1"/>
  <c r="P14" i="2" s="1"/>
  <c r="D14" i="2"/>
  <c r="O13" i="2"/>
  <c r="L13" i="2"/>
  <c r="G13" i="2"/>
  <c r="I13" i="2" s="1"/>
  <c r="P13" i="2" s="1"/>
  <c r="D13" i="2"/>
  <c r="O12" i="2"/>
  <c r="L12" i="2"/>
  <c r="G12" i="2"/>
  <c r="I12" i="2" s="1"/>
  <c r="P12" i="2" s="1"/>
  <c r="D12" i="2"/>
  <c r="O11" i="2"/>
  <c r="L11" i="2"/>
  <c r="G11" i="2"/>
  <c r="I11" i="2" s="1"/>
  <c r="P11" i="2" s="1"/>
  <c r="D11" i="2"/>
  <c r="O10" i="2"/>
  <c r="L10" i="2"/>
  <c r="G10" i="2"/>
  <c r="I10" i="2" s="1"/>
  <c r="P10" i="2" s="1"/>
  <c r="D10" i="2"/>
  <c r="O9" i="2"/>
  <c r="L9" i="2"/>
  <c r="G9" i="2"/>
  <c r="I9" i="2" s="1"/>
  <c r="P9" i="2" s="1"/>
  <c r="D9" i="2"/>
  <c r="O8" i="2"/>
  <c r="L8" i="2"/>
  <c r="I8" i="2"/>
  <c r="G8" i="2"/>
  <c r="H8" i="2" s="1"/>
  <c r="D8" i="2"/>
  <c r="O7" i="2"/>
  <c r="L7" i="2"/>
  <c r="G7" i="2"/>
  <c r="I7" i="2" s="1"/>
  <c r="D7" i="2"/>
  <c r="O6" i="2"/>
  <c r="L6" i="2"/>
  <c r="G6" i="2"/>
  <c r="I6" i="2" s="1"/>
  <c r="D6" i="2"/>
  <c r="O5" i="2"/>
  <c r="L5" i="2"/>
  <c r="G5" i="2"/>
  <c r="I5" i="2" s="1"/>
  <c r="D5" i="2"/>
  <c r="A75" i="3"/>
  <c r="A79" i="3"/>
  <c r="I17" i="2" l="1"/>
  <c r="P17" i="2" s="1"/>
  <c r="H40" i="2"/>
  <c r="P6" i="2"/>
  <c r="I25" i="2"/>
  <c r="P25" i="2" s="1"/>
  <c r="P27" i="2"/>
  <c r="P29" i="2"/>
  <c r="P31" i="2"/>
  <c r="P48" i="2"/>
  <c r="I16" i="2"/>
  <c r="P16" i="2" s="1"/>
  <c r="H39" i="2"/>
  <c r="P18" i="2"/>
  <c r="P20" i="2"/>
  <c r="P22" i="2"/>
  <c r="P24" i="2"/>
  <c r="P7" i="2"/>
  <c r="P32" i="2"/>
  <c r="P41" i="2"/>
  <c r="P43" i="2"/>
  <c r="P45" i="2"/>
  <c r="P47" i="2"/>
  <c r="P8" i="2"/>
  <c r="P26" i="2"/>
  <c r="P28" i="2"/>
  <c r="P30" i="2"/>
  <c r="P33" i="2"/>
  <c r="P35" i="2"/>
  <c r="P37" i="2"/>
  <c r="P39" i="2"/>
  <c r="P42" i="2"/>
  <c r="P44" i="2"/>
  <c r="P46" i="2"/>
  <c r="P49" i="2"/>
  <c r="P51" i="2"/>
  <c r="P53" i="2"/>
  <c r="H32" i="2"/>
  <c r="H48" i="2"/>
  <c r="L55" i="2"/>
  <c r="O55" i="2"/>
  <c r="H9" i="2"/>
  <c r="H31" i="2"/>
  <c r="H47" i="2"/>
  <c r="H24" i="2"/>
  <c r="D55" i="2"/>
  <c r="P5" i="2"/>
  <c r="I23" i="2"/>
  <c r="P23" i="2" s="1"/>
  <c r="H38" i="2"/>
  <c r="H46" i="2"/>
  <c r="H54" i="2"/>
  <c r="H14" i="2"/>
  <c r="H22" i="2"/>
  <c r="H13" i="2"/>
  <c r="H29" i="2"/>
  <c r="H37" i="2"/>
  <c r="H45" i="2"/>
  <c r="H53" i="2"/>
  <c r="H7" i="2"/>
  <c r="H15" i="2"/>
  <c r="H6" i="2"/>
  <c r="H30" i="2"/>
  <c r="H5" i="2"/>
  <c r="H12" i="2"/>
  <c r="H20" i="2"/>
  <c r="I21" i="2"/>
  <c r="P21" i="2" s="1"/>
  <c r="H28" i="2"/>
  <c r="H36" i="2"/>
  <c r="H44" i="2"/>
  <c r="H52" i="2"/>
  <c r="G55" i="2"/>
  <c r="H11" i="2"/>
  <c r="H19" i="2"/>
  <c r="H27" i="2"/>
  <c r="H35" i="2"/>
  <c r="H43" i="2"/>
  <c r="H51" i="2"/>
  <c r="H10" i="2"/>
  <c r="H18" i="2"/>
  <c r="H26" i="2"/>
  <c r="H34" i="2"/>
  <c r="H42" i="2"/>
  <c r="H50" i="2"/>
  <c r="C10" i="9"/>
  <c r="B56" i="3"/>
  <c r="B58" i="3" s="1"/>
  <c r="B61" i="3" s="1"/>
  <c r="D46" i="3"/>
  <c r="D43" i="3"/>
  <c r="F42" i="3"/>
  <c r="F41" i="3"/>
  <c r="F40" i="3"/>
  <c r="F39" i="3"/>
  <c r="F38" i="3"/>
  <c r="D34" i="3"/>
  <c r="D31" i="3"/>
  <c r="F30" i="3"/>
  <c r="F29" i="3"/>
  <c r="F28" i="3"/>
  <c r="F27" i="3"/>
  <c r="D24" i="3"/>
  <c r="D21" i="3"/>
  <c r="F20" i="3"/>
  <c r="F19" i="3"/>
  <c r="F18" i="3"/>
  <c r="F17" i="3"/>
  <c r="F16" i="3"/>
  <c r="F15" i="3"/>
  <c r="D12" i="3"/>
  <c r="D9" i="3"/>
  <c r="F8" i="3"/>
  <c r="F7" i="3"/>
  <c r="F6" i="3"/>
  <c r="F5" i="3"/>
  <c r="F4" i="3"/>
  <c r="Q5" i="2" l="1"/>
  <c r="R5" i="2" s="1"/>
  <c r="C15" i="9" s="1"/>
  <c r="D35" i="3"/>
  <c r="F43" i="3"/>
  <c r="I55" i="2"/>
  <c r="I56" i="2" s="1"/>
  <c r="H55" i="2"/>
  <c r="H56" i="2" s="1"/>
  <c r="P55" i="2"/>
  <c r="D47" i="3"/>
  <c r="F9" i="3"/>
  <c r="B63" i="3"/>
  <c r="B64" i="3" s="1"/>
  <c r="C17" i="9" s="1"/>
  <c r="D13" i="3"/>
  <c r="D25" i="3"/>
  <c r="F21" i="3"/>
  <c r="F31" i="3"/>
  <c r="F26" i="4"/>
  <c r="F14" i="4"/>
  <c r="F16" i="4" s="1"/>
  <c r="C23" i="9" l="1"/>
  <c r="C21" i="9"/>
  <c r="F21" i="4"/>
  <c r="F22" i="4" s="1"/>
  <c r="C25" i="9" l="1"/>
</calcChain>
</file>

<file path=xl/sharedStrings.xml><?xml version="1.0" encoding="utf-8"?>
<sst xmlns="http://schemas.openxmlformats.org/spreadsheetml/2006/main" count="347" uniqueCount="251">
  <si>
    <t>RDH CTEN - Building Conversion</t>
  </si>
  <si>
    <t>Police Department EV Deployment</t>
  </si>
  <si>
    <t>Year</t>
  </si>
  <si>
    <t>PO</t>
  </si>
  <si>
    <t>Line</t>
  </si>
  <si>
    <t>Trips</t>
  </si>
  <si>
    <t>Rate</t>
  </si>
  <si>
    <t>Cost</t>
  </si>
  <si>
    <t>2020</t>
  </si>
  <si>
    <t>Regular Hauling</t>
  </si>
  <si>
    <t>Weekend Hauling</t>
  </si>
  <si>
    <t>Emergency Service</t>
  </si>
  <si>
    <t>2020 Total</t>
  </si>
  <si>
    <t>Gallons/Truck</t>
  </si>
  <si>
    <t>Total Gallons</t>
  </si>
  <si>
    <t>Estimated Trucks</t>
  </si>
  <si>
    <t>Compare</t>
  </si>
  <si>
    <t>2021</t>
  </si>
  <si>
    <t>2021 Total</t>
  </si>
  <si>
    <t>2022</t>
  </si>
  <si>
    <t>2022 Total</t>
  </si>
  <si>
    <t>2023</t>
  </si>
  <si>
    <t>2023 Total</t>
  </si>
  <si>
    <t>(Chamberlain Septic) Leachate Hauling - Gloria Drive</t>
  </si>
  <si>
    <t>miles round trip</t>
  </si>
  <si>
    <t>8500 gallons of water is 70,935 Pound = 35.4675 tons</t>
  </si>
  <si>
    <t>ton miles per trip for the cargo</t>
  </si>
  <si>
    <t>grams of CO2 per ton-mile emitted by the average freight truck in the U.S.</t>
  </si>
  <si>
    <t>g CO2 emitted per round trip (gloria drive LF to FEV &amp; back)</t>
  </si>
  <si>
    <t xml:space="preserve">grams in a metric ton. </t>
  </si>
  <si>
    <t>metric tons of CO2 for this one move</t>
  </si>
  <si>
    <t>avg hauling trips per year, 2020-2023</t>
  </si>
  <si>
    <t>Greenhouse Gases= Distance x Weight x Emissions Factor</t>
  </si>
  <si>
    <t>D</t>
  </si>
  <si>
    <t>DxW</t>
  </si>
  <si>
    <t>W</t>
  </si>
  <si>
    <t>EF</t>
  </si>
  <si>
    <t>GHG</t>
  </si>
  <si>
    <t>GHG/trip</t>
  </si>
  <si>
    <t>unit, g to MT</t>
  </si>
  <si>
    <t>MTCO2e of landfill gas fugitive emissions from this landfill between 2025 and 2030</t>
  </si>
  <si>
    <t xml:space="preserve">MTCO2e additional emissions 2030-2050, with no intervention </t>
  </si>
  <si>
    <t>[get calculations from B&amp;L]</t>
  </si>
  <si>
    <t>MTCO2e</t>
  </si>
  <si>
    <t>MTCO2e high end estimate, depending on the efficiency of the LFG system</t>
  </si>
  <si>
    <t>MTCO2e low end estimate, depending on the efficiency of the LFG system</t>
  </si>
  <si>
    <t>MTCO2e prevented with renewable energy production of current solar installation, 12 acres, generates approximately 4.9 million kWh per year</t>
  </si>
  <si>
    <t>MTCO2e emissions to be prevented annually with addition of estimated 10.5MW solar array, 24 acres; double size of existing solar array adjacent to the site</t>
  </si>
  <si>
    <t>MTCO2e/yr</t>
  </si>
  <si>
    <t>MTCO2e over 30 years</t>
  </si>
  <si>
    <t>Bill Year</t>
  </si>
  <si>
    <t>Service Address</t>
  </si>
  <si>
    <t>Bill Month</t>
  </si>
  <si>
    <t>Utility</t>
  </si>
  <si>
    <t>Start Date</t>
  </si>
  <si>
    <t>End Date</t>
  </si>
  <si>
    <t>Dth Cg</t>
  </si>
  <si>
    <t>Total Cost</t>
  </si>
  <si>
    <t>RGE</t>
  </si>
  <si>
    <t>decatherms</t>
  </si>
  <si>
    <t>therms</t>
  </si>
  <si>
    <t>Therm=Unit of heat equivalent to 100,000 British Thermal Units (BTU’s)</t>
  </si>
  <si>
    <t>BTU/year</t>
  </si>
  <si>
    <t>Dth= 10 Therms</t>
  </si>
  <si>
    <t>Billing Month</t>
  </si>
  <si>
    <t>Kwh</t>
  </si>
  <si>
    <t>145 PAUL RD ELEC PRIMRY-Facility and Pump Station</t>
  </si>
  <si>
    <t>146 PAUL RD ELEC PRIMRY-Facility and Pump Station</t>
  </si>
  <si>
    <t>147 PAUL RD ELEC PRIMRY-Facility and Pump Station</t>
  </si>
  <si>
    <t>148 PAUL RD ELEC PRIMRY-Facility and Pump Station</t>
  </si>
  <si>
    <t>149 PAUL RD ELEC PRIMRY-Facility and Pump Station</t>
  </si>
  <si>
    <t>150 PAUL RD ELEC PRIMRY-Facility and Pump Station</t>
  </si>
  <si>
    <t>151 PAUL RD ELEC PRIMRY-Facility and Pump Station</t>
  </si>
  <si>
    <t>152 PAUL RD ELEC PRIMRY-Facility and Pump Station</t>
  </si>
  <si>
    <t>153 PAUL RD ELEC PRIMRY-Facility and Pump Station</t>
  </si>
  <si>
    <t>154 PAUL RD ELEC PRIMRY-Facility and Pump Station</t>
  </si>
  <si>
    <t>155 PAUL RD ELEC PRIMRY-Facility and Pump Station</t>
  </si>
  <si>
    <t>156 PAUL RD ELEC PRIMRY-Facility and Pump Station</t>
  </si>
  <si>
    <t>157 PAUL RD ELEC PRIMRY-Facility and Pump Station</t>
  </si>
  <si>
    <t xml:space="preserve">0.1 mmbtu equals one therm </t>
  </si>
  <si>
    <t>average carbon coefficient of pipeline natural gas burned in 2021 is 14.43 kg carbon per mmbtu (EPA 2023). The fraction oxidized to CO2 is assumed to be 100 percent (IPCC 2006).</t>
  </si>
  <si>
    <t>mmbtu</t>
  </si>
  <si>
    <t>kg carbon per mmbtu</t>
  </si>
  <si>
    <t xml:space="preserve">kg carbon </t>
  </si>
  <si>
    <t>metric tons CO2/therm</t>
  </si>
  <si>
    <t>Assuming uptake by at least 3-5 municipalities within Monroe County</t>
  </si>
  <si>
    <t xml:space="preserve">combined total of 26.8% of our communitywide GHG inventory. </t>
  </si>
  <si>
    <t>MTCO2e - residential energy (countywide)</t>
  </si>
  <si>
    <t>MTCO2e - commercial energy (countywide)</t>
  </si>
  <si>
    <t>MTCO2e - combined residential + commercial energy (countywide)</t>
  </si>
  <si>
    <t>MTCO2e/MMBtu for nat gas</t>
  </si>
  <si>
    <t>MMBtu estimated gas savings</t>
  </si>
  <si>
    <t>GHG emissions reduction from eliminating emissions from the natural gas-fired boiler plant for the steam system of buildings in the proposed CTEN area.</t>
  </si>
  <si>
    <t>Methane (tons/year)</t>
  </si>
  <si>
    <t>CO2 (tons/year)</t>
  </si>
  <si>
    <t>NMOC (tons/year)</t>
  </si>
  <si>
    <t>MTCO2E Destructed (tons/year)</t>
  </si>
  <si>
    <t>.05 &amp; 170</t>
  </si>
  <si>
    <t>.04 &amp; 100</t>
  </si>
  <si>
    <t>Average</t>
  </si>
  <si>
    <t>MTCO2E GWP100</t>
  </si>
  <si>
    <t>MTCO2E GWP20</t>
  </si>
  <si>
    <t>Assuming 60% Destruction</t>
  </si>
  <si>
    <t>Total</t>
  </si>
  <si>
    <t>2. Total MTCO2 equivalent represents the CO2 equivalent of the methane generated (at GWP=20) and the CO2 generated over the next 50 years.</t>
  </si>
  <si>
    <r>
      <t>Total Landfill Gas (tons/year)</t>
    </r>
    <r>
      <rPr>
        <vertAlign val="superscript"/>
        <sz val="11"/>
        <color rgb="FF000000"/>
        <rFont val="Calibri"/>
        <family val="2"/>
      </rPr>
      <t>1</t>
    </r>
  </si>
  <si>
    <r>
      <t>Total MTCO2</t>
    </r>
    <r>
      <rPr>
        <vertAlign val="superscript"/>
        <sz val="11"/>
        <color rgb="FF000000"/>
        <rFont val="Calibri"/>
        <family val="2"/>
      </rPr>
      <t>2</t>
    </r>
    <r>
      <rPr>
        <sz val="11"/>
        <color theme="1"/>
        <rFont val="Aptos Narrow"/>
        <family val="2"/>
        <scheme val="minor"/>
      </rPr>
      <t>:</t>
    </r>
  </si>
  <si>
    <r>
      <t>1. Landfill gas generation as calculated using the LandGEM - Landfill Gas Emissions Model, Version 3.03 by the USEPA. Emissions represent the average of CAA model inputs (k=.05 and L</t>
    </r>
    <r>
      <rPr>
        <vertAlign val="subscript"/>
        <sz val="11"/>
        <color rgb="FF000000"/>
        <rFont val="Calibri"/>
        <family val="2"/>
      </rPr>
      <t>0</t>
    </r>
    <r>
      <rPr>
        <sz val="11"/>
        <color theme="1"/>
        <rFont val="Aptos Narrow"/>
        <family val="2"/>
        <scheme val="minor"/>
      </rPr>
      <t>=170) and conventional model inputs (k=.04 and L</t>
    </r>
    <r>
      <rPr>
        <vertAlign val="subscript"/>
        <sz val="11"/>
        <color rgb="FF000000"/>
        <rFont val="Calibri"/>
        <family val="2"/>
      </rPr>
      <t>0</t>
    </r>
    <r>
      <rPr>
        <sz val="11"/>
        <color theme="1"/>
        <rFont val="Aptos Narrow"/>
        <family val="2"/>
        <scheme val="minor"/>
      </rPr>
      <t>=10) to represent assumed actual site conditions.</t>
    </r>
  </si>
  <si>
    <t>Gloria Drive Closed Landfill Solar Generation Estimates</t>
  </si>
  <si>
    <t>Assumptions:</t>
  </si>
  <si>
    <t>1. Consolidated landfill footprint with gradual slopes</t>
  </si>
  <si>
    <t>2. Acreage =</t>
  </si>
  <si>
    <t>acres</t>
  </si>
  <si>
    <t>3. Generation potential per acre (gradual slopes) =</t>
  </si>
  <si>
    <t>MW/Ac</t>
  </si>
  <si>
    <t xml:space="preserve">4. 1 MW array generates </t>
  </si>
  <si>
    <t>MWh/yr</t>
  </si>
  <si>
    <t>*for Penfield, NY per NREL PVWatts Calculator</t>
  </si>
  <si>
    <t xml:space="preserve">Generation capacity = </t>
  </si>
  <si>
    <t>MW</t>
  </si>
  <si>
    <t>Annual Generation =</t>
  </si>
  <si>
    <t>GHG Emissions avoided (per EPA GHG equivalencies calculator)</t>
  </si>
  <si>
    <t>https://www.epa.gov/energy/greenhouse-gas-equivalencies-calculator#results</t>
  </si>
  <si>
    <t>Building</t>
  </si>
  <si>
    <t>MC Sustainability &amp; Envtl Quality</t>
  </si>
  <si>
    <t>TOTAL:</t>
  </si>
  <si>
    <t>Natural Gas Emissions for Existing Building</t>
  </si>
  <si>
    <t>-</t>
  </si>
  <si>
    <t>Facilities + GCO</t>
  </si>
  <si>
    <t>kwh/yr electricity</t>
  </si>
  <si>
    <t>increase for replacing NG with heat pump</t>
  </si>
  <si>
    <t>kwh used, Bldg 1, 2023</t>
  </si>
  <si>
    <t>GCO pump station</t>
  </si>
  <si>
    <t>Facilities - all buildings</t>
  </si>
  <si>
    <t>Measure 1</t>
  </si>
  <si>
    <t>Municipal Green Planning Grant</t>
  </si>
  <si>
    <t>Reuse/Repair Programs</t>
  </si>
  <si>
    <t xml:space="preserve">Organics Collection Incentives </t>
  </si>
  <si>
    <t>Measure 2</t>
  </si>
  <si>
    <t>Gloria Drive Landfill – Landfill Gas Emissions Estimates</t>
  </si>
  <si>
    <t>NE Quadrant (Gloria Drive) Renewable Energy Center</t>
  </si>
  <si>
    <t>Fugitive GHG</t>
  </si>
  <si>
    <t xml:space="preserve">Solar Installation </t>
  </si>
  <si>
    <t>Eliminating Leachate Hauling</t>
  </si>
  <si>
    <t>MTCO2E/year</t>
  </si>
  <si>
    <t xml:space="preserve">MTCO2E/year hauling leachate </t>
  </si>
  <si>
    <t xml:space="preserve">Tree Canopy </t>
  </si>
  <si>
    <t>Measure 3</t>
  </si>
  <si>
    <t>reduce greenhouse gases (GHG) by 10% from residential and commercial energy</t>
  </si>
  <si>
    <t># of trees</t>
  </si>
  <si>
    <t>pollutants removed</t>
  </si>
  <si>
    <t>runoff avoided</t>
  </si>
  <si>
    <t>CO2 sequestered</t>
  </si>
  <si>
    <t>gallons</t>
  </si>
  <si>
    <t>tons co-pollutants</t>
  </si>
  <si>
    <t>MTCO2 sequestered</t>
  </si>
  <si>
    <t>Green Planning Grants</t>
  </si>
  <si>
    <t>EV Police Cars</t>
  </si>
  <si>
    <t>Evs</t>
  </si>
  <si>
    <t>miles per year driven per car</t>
  </si>
  <si>
    <t>miles per year driven, 30 police cars</t>
  </si>
  <si>
    <t>MPG, average fuel efficiency</t>
  </si>
  <si>
    <t>gallons of gasoline per year, 30 cars</t>
  </si>
  <si>
    <t xml:space="preserve">https://business.edf.org/insights/green-freight-math-how-to-calculate-emissions-for-a-truck-move/ </t>
  </si>
  <si>
    <t>trees planted</t>
  </si>
  <si>
    <t>+</t>
  </si>
  <si>
    <t>total electricity to offset with alternative energy,</t>
  </si>
  <si>
    <t>to bring bldg to net zero</t>
  </si>
  <si>
    <t>Community Wide Climate Action Plan GHG Inventory</t>
  </si>
  <si>
    <t>Sector </t>
  </si>
  <si>
    <t>Emissions (MT CO2e)</t>
  </si>
  <si>
    <t>Transportation &amp; Mobile Sources </t>
  </si>
  <si>
    <t>Solid Waste </t>
  </si>
  <si>
    <t>Water &amp; Wastewater </t>
  </si>
  <si>
    <t>Agriculture, Forestry and Land Use </t>
  </si>
  <si>
    <t>Commercial Energy </t>
  </si>
  <si>
    <t>Industrial Energy </t>
  </si>
  <si>
    <t>973,466 </t>
  </si>
  <si>
    <t>Residential Energy </t>
  </si>
  <si>
    <t>Process &amp; Fugitive Emissions </t>
  </si>
  <si>
    <t>Upstream Impacts of Activities </t>
  </si>
  <si>
    <t>Total </t>
  </si>
  <si>
    <t xml:space="preserve">VMT, Monroe County resident average, https://www.actrochester.org/community-vitality/vehicle-miles-traveled </t>
  </si>
  <si>
    <t>pounds of material from 2018 to 2022 diverted</t>
  </si>
  <si>
    <t xml:space="preserve">MTCO2e average annual of emissions reduction </t>
  </si>
  <si>
    <t xml:space="preserve">MTCO2e for 7% population, res. + commercial energy annual GHG emissions. </t>
  </si>
  <si>
    <t xml:space="preserve">MTCO2e reduction if 20% energy savings in annual GHG emissions. </t>
  </si>
  <si>
    <t>gallons of fuel used per mile</t>
  </si>
  <si>
    <t>EVs</t>
  </si>
  <si>
    <t>Tree Canopy (using iTree tool)</t>
  </si>
  <si>
    <t>Rochester District Thermal Community Heat Pump Scoping Study GHG emissions:</t>
  </si>
  <si>
    <t>Example from Tompkins County:</t>
  </si>
  <si>
    <t>population, Tompkins County</t>
  </si>
  <si>
    <t>population, Monroe County</t>
  </si>
  <si>
    <t>multiplier for population size</t>
  </si>
  <si>
    <t>MTCO2e average annual of emissions reduction anticipated in Monroe County</t>
  </si>
  <si>
    <t>Assuming:</t>
  </si>
  <si>
    <t>VMT per day for 3 users</t>
  </si>
  <si>
    <t>Local data:</t>
  </si>
  <si>
    <t>VMT per day for 20 cars, 3 users per car</t>
  </si>
  <si>
    <t>VMT for 60 users, (across 20 car fleet) per year</t>
  </si>
  <si>
    <t>users per car (based on Monroe County having half the population size of Twin Cities example)</t>
  </si>
  <si>
    <t>gallons of gasoline</t>
  </si>
  <si>
    <t>MTCO2e (using EPA Equivalency Calculator, https://www.epa.gov/energy/greenhouse-gas-equivalencies-calculator )</t>
  </si>
  <si>
    <t>users per charging station, minimum</t>
  </si>
  <si>
    <t>EV charging stations added</t>
  </si>
  <si>
    <t>VMT per day for 200 users</t>
  </si>
  <si>
    <t>VMT for 200 users per year</t>
  </si>
  <si>
    <t>based on 1st year of City of Rochester, NY ROC City Compost food scraps pilot program</t>
  </si>
  <si>
    <t xml:space="preserve">Assuming </t>
  </si>
  <si>
    <t>households served via Sustainable Community Fund</t>
  </si>
  <si>
    <t>MTCO2e avoided per thousand households</t>
  </si>
  <si>
    <t>MTCO2e avoided per 5000 households</t>
  </si>
  <si>
    <t>MTCO2e directly avoided at GBS facility (using EPA GHG Equivalency Calculator)</t>
  </si>
  <si>
    <t>Uptake from technology demonstrations (5 similar projects)</t>
  </si>
  <si>
    <t>MTCO2e in reduced hauling of materials over 5 years</t>
  </si>
  <si>
    <t>MTCO2e in reduced hauling of materials per year</t>
  </si>
  <si>
    <t>pounds of material per year</t>
  </si>
  <si>
    <t xml:space="preserve">MTCO2e annual savings in carbon emissions from repair and reuse of materials (compared to new items being produced and sold).  </t>
  </si>
  <si>
    <t xml:space="preserve">MTCO2e annual savings in carbon emissions from repair and reuse such as shoes and clothing (compared to new items being produced and sold).  </t>
  </si>
  <si>
    <t>tons of material per year</t>
  </si>
  <si>
    <t>EV Use Car Share Program</t>
  </si>
  <si>
    <t>On Street EV Charging Stations</t>
  </si>
  <si>
    <t>Sustainable Community Fund (eligible projects)</t>
  </si>
  <si>
    <t>Offsetting electricity usage w. alternative energy to bring GBS building to net zero</t>
  </si>
  <si>
    <t>Eliminating natural gas usage at GBS facility</t>
  </si>
  <si>
    <t>Green Building Showcase (GBS)</t>
  </si>
  <si>
    <t>Building: Sustainability/Envt Quality (Green Bldg Showcase)</t>
  </si>
  <si>
    <t>Building: Weights &amp; Measures</t>
  </si>
  <si>
    <t>Building: PS Storage</t>
  </si>
  <si>
    <t>Building: Industrial Waste/MC Soil &amp; Water</t>
  </si>
  <si>
    <t>Building: Sheriff, Secure Storage</t>
  </si>
  <si>
    <t>Building: PS Storage Shed</t>
  </si>
  <si>
    <t xml:space="preserve">Building: Sheriff </t>
  </si>
  <si>
    <t>Building: ROC</t>
  </si>
  <si>
    <t>Facilities (not including Pump Station)</t>
  </si>
  <si>
    <t>Electricity Percentage</t>
  </si>
  <si>
    <t>Natural Gas (Furnace/boiler efficiency)</t>
  </si>
  <si>
    <t>Gas in MMBTU</t>
  </si>
  <si>
    <t>Gas GHG Emissions (MTCDE)</t>
  </si>
  <si>
    <t>Gas in Therms</t>
  </si>
  <si>
    <t>Electric Required (MMBTU) - Thermal Demand</t>
  </si>
  <si>
    <t>Electric Required (KWh) - Thermal Demand</t>
  </si>
  <si>
    <t>Added Electric GHG Emissions (MTCDE)</t>
  </si>
  <si>
    <t>Net GHG Savings (gas emissions - added electric emissions) (MTCDE)</t>
  </si>
  <si>
    <t xml:space="preserve">Sewer Heat Mining Coefficient of Performance </t>
  </si>
  <si>
    <t>tons food scraps diverted from landfills per 5000 households served</t>
  </si>
  <si>
    <t>tons food scraps diverted from landfills per 1000 households served</t>
  </si>
  <si>
    <t xml:space="preserve">MTCO2e, Annual </t>
  </si>
  <si>
    <t>MTCO2e 2025-2030</t>
  </si>
  <si>
    <t>MTCO2e 2025-2050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</si>
</sst>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7" formatCode="&quot;$&quot;#,##0.00_);\(&quot;$&quot;#,##0.00\)"/>
    <numFmt numFmtId="8" formatCode="&quot;$&quot;#,##0.00_);[Red]\(&quot;$&quot;#,##0.00\)"/>
    <numFmt numFmtId="43" formatCode="_(* #,##0.00_);_(* \(#,##0.00\);_(* &quot;-&quot;??_);_(@_)"/>
    <numFmt numFmtId="164" formatCode="_(* #,##0_);_(* \(#,##0\);_(* &quot;-&quot;??_);_(@_)"/>
    <numFmt numFmtId="165" formatCode="0.0"/>
    <numFmt numFmtId="166" formatCode="_(* #,##0.0_);_(* \(#,##0.0\);_(* &quot;-&quot;??_);_(@_)"/>
    <numFmt numFmtId="167" formatCode="0.0%"/>
  </numFmts>
  <fonts count="32">
    <font>
      <sz val="11"/>
      <color theme="1"/>
      <name val="Aptos Narrow"/>
      <family val="2"/>
      <scheme val="minor"/>
    </font>
    <font>
      <sz val="11"/>
      <color theme="1"/>
      <name val="Aptos Narrow"/>
      <family val="2"/>
      <scheme val="minor"/>
    </font>
    <font>
      <b/>
      <sz val="11"/>
      <color theme="1"/>
      <name val="Aptos Narrow"/>
      <family val="2"/>
      <scheme val="minor"/>
    </font>
    <font>
      <b/>
      <sz val="14"/>
      <color theme="1"/>
      <name val="Aptos Narrow"/>
      <family val="2"/>
      <scheme val="minor"/>
    </font>
    <font>
      <i/>
      <sz val="11"/>
      <color theme="1"/>
      <name val="Aptos Narrow"/>
      <family val="2"/>
      <scheme val="minor"/>
    </font>
    <font>
      <b/>
      <sz val="11"/>
      <color theme="1"/>
      <name val="Aptos Narrow"/>
      <scheme val="minor"/>
    </font>
    <font>
      <sz val="11"/>
      <color rgb="FFFF0000"/>
      <name val="Aptos Narrow"/>
      <family val="2"/>
      <scheme val="minor"/>
    </font>
    <font>
      <b/>
      <i/>
      <sz val="11"/>
      <color theme="1"/>
      <name val="Aptos Narrow"/>
      <scheme val="minor"/>
    </font>
    <font>
      <sz val="9"/>
      <color rgb="FF231F20"/>
      <name val="Arial"/>
      <family val="2"/>
    </font>
    <font>
      <i/>
      <sz val="11"/>
      <name val="Aptos Narrow"/>
      <family val="2"/>
      <scheme val="minor"/>
    </font>
    <font>
      <i/>
      <sz val="11"/>
      <color theme="0" tint="-0.249977111117893"/>
      <name val="Aptos Narrow"/>
      <family val="2"/>
      <scheme val="minor"/>
    </font>
    <font>
      <sz val="11"/>
      <color theme="0" tint="-0.249977111117893"/>
      <name val="Aptos Narrow"/>
      <family val="2"/>
      <scheme val="minor"/>
    </font>
    <font>
      <b/>
      <sz val="11"/>
      <color rgb="FFFF0000"/>
      <name val="Aptos Narrow"/>
      <family val="2"/>
      <scheme val="minor"/>
    </font>
    <font>
      <sz val="11"/>
      <color theme="1"/>
      <name val="Calibri"/>
      <family val="2"/>
    </font>
    <font>
      <sz val="11"/>
      <color theme="0" tint="-0.499984740745262"/>
      <name val="Calibri"/>
      <family val="2"/>
    </font>
    <font>
      <b/>
      <sz val="11"/>
      <color theme="1"/>
      <name val="Calibri"/>
      <family val="2"/>
    </font>
    <font>
      <b/>
      <sz val="11"/>
      <color rgb="FF000000"/>
      <name val="Calibri"/>
      <family val="2"/>
    </font>
    <font>
      <vertAlign val="superscript"/>
      <sz val="11"/>
      <color rgb="FF000000"/>
      <name val="Calibri"/>
      <family val="2"/>
    </font>
    <font>
      <vertAlign val="subscript"/>
      <sz val="11"/>
      <color rgb="FF000000"/>
      <name val="Calibri"/>
      <family val="2"/>
    </font>
    <font>
      <u/>
      <sz val="11"/>
      <color theme="10"/>
      <name val="Aptos Narrow"/>
      <family val="2"/>
      <scheme val="minor"/>
    </font>
    <font>
      <u/>
      <sz val="11"/>
      <color rgb="FF0563C1"/>
      <name val="Calibri"/>
      <family val="2"/>
    </font>
    <font>
      <sz val="11"/>
      <color rgb="FFFF0000"/>
      <name val="Calibri"/>
      <family val="2"/>
    </font>
    <font>
      <b/>
      <sz val="11"/>
      <name val="Aptos Narrow"/>
      <family val="2"/>
      <scheme val="minor"/>
    </font>
    <font>
      <sz val="11"/>
      <name val="Aptos Narrow"/>
      <family val="2"/>
      <scheme val="minor"/>
    </font>
    <font>
      <b/>
      <sz val="9"/>
      <color rgb="FF000000"/>
      <name val="Arial"/>
      <family val="2"/>
    </font>
    <font>
      <sz val="9"/>
      <color rgb="FF000000"/>
      <name val="Arial"/>
      <family val="2"/>
    </font>
    <font>
      <sz val="11"/>
      <color rgb="FF000000"/>
      <name val="Calibri"/>
      <family val="2"/>
    </font>
    <font>
      <sz val="11"/>
      <color rgb="FF222222"/>
      <name val="Calibri"/>
      <family val="2"/>
    </font>
    <font>
      <b/>
      <sz val="11"/>
      <color rgb="FFFF0000"/>
      <name val="Aptos Narrow"/>
      <scheme val="minor"/>
    </font>
    <font>
      <sz val="11"/>
      <name val="Calibri"/>
      <family val="2"/>
    </font>
    <font>
      <b/>
      <sz val="11"/>
      <name val="Aptos Narrow"/>
      <scheme val="minor"/>
    </font>
    <font>
      <sz val="11"/>
      <name val="Aptos Narrow"/>
      <scheme val="minor"/>
    </font>
  </fonts>
  <fills count="8">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
      <patternFill patternType="solid">
        <fgColor rgb="FFD9D9D9"/>
        <bgColor rgb="FF000000"/>
      </patternFill>
    </fill>
    <fill>
      <patternFill patternType="solid">
        <fgColor rgb="FFE7E6E6"/>
        <bgColor rgb="FF000000"/>
      </patternFill>
    </fill>
    <fill>
      <patternFill patternType="solid">
        <fgColor rgb="FFF2F2F2"/>
        <bgColor rgb="FF000000"/>
      </patternFill>
    </fill>
    <fill>
      <patternFill patternType="solid">
        <fgColor theme="0" tint="-0.14999847407452621"/>
        <bgColor indexed="64"/>
      </patternFill>
    </fill>
  </fills>
  <borders count="45">
    <border>
      <left/>
      <right/>
      <top/>
      <bottom/>
      <diagonal/>
    </border>
    <border>
      <left/>
      <right/>
      <top/>
      <bottom style="thin">
        <color indexed="64"/>
      </bottom>
      <diagonal/>
    </border>
    <border>
      <left style="medium">
        <color indexed="64"/>
      </left>
      <right style="double">
        <color indexed="64"/>
      </right>
      <top style="medium">
        <color indexed="64"/>
      </top>
      <bottom/>
      <diagonal/>
    </border>
    <border>
      <left style="double">
        <color indexed="64"/>
      </left>
      <right/>
      <top style="medium">
        <color indexed="64"/>
      </top>
      <bottom style="double">
        <color indexed="64"/>
      </bottom>
      <diagonal/>
    </border>
    <border>
      <left/>
      <right/>
      <top style="medium">
        <color indexed="64"/>
      </top>
      <bottom style="double">
        <color indexed="64"/>
      </bottom>
      <diagonal/>
    </border>
    <border>
      <left/>
      <right style="double">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bottom style="double">
        <color indexed="64"/>
      </bottom>
      <diagonal/>
    </border>
    <border>
      <left style="double">
        <color indexed="64"/>
      </left>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double">
        <color indexed="64"/>
      </left>
      <right/>
      <top style="double">
        <color indexed="64"/>
      </top>
      <bottom style="double">
        <color indexed="64"/>
      </bottom>
      <diagonal/>
    </border>
    <border>
      <left/>
      <right/>
      <top/>
      <bottom style="double">
        <color indexed="64"/>
      </bottom>
      <diagonal/>
    </border>
    <border>
      <left style="thin">
        <color indexed="64"/>
      </left>
      <right style="double">
        <color indexed="64"/>
      </right>
      <top style="double">
        <color indexed="64"/>
      </top>
      <bottom style="double">
        <color indexed="64"/>
      </bottom>
      <diagonal/>
    </border>
    <border>
      <left/>
      <right style="double">
        <color indexed="64"/>
      </right>
      <top/>
      <bottom style="double">
        <color indexed="64"/>
      </bottom>
      <diagonal/>
    </border>
    <border>
      <left/>
      <right style="medium">
        <color indexed="64"/>
      </right>
      <top/>
      <bottom style="double">
        <color indexed="64"/>
      </bottom>
      <diagonal/>
    </border>
    <border>
      <left style="medium">
        <color indexed="64"/>
      </left>
      <right style="medium">
        <color indexed="64"/>
      </right>
      <top style="double">
        <color indexed="64"/>
      </top>
      <bottom style="double">
        <color indexed="64"/>
      </bottom>
      <diagonal/>
    </border>
    <border>
      <left style="medium">
        <color indexed="64"/>
      </left>
      <right style="double">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double">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double">
        <color indexed="64"/>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right style="double">
        <color indexed="64"/>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style="medium">
        <color indexed="64"/>
      </right>
      <top style="dashed">
        <color indexed="64"/>
      </top>
      <bottom style="double">
        <color indexed="64"/>
      </bottom>
      <diagonal/>
    </border>
    <border>
      <left style="medium">
        <color indexed="64"/>
      </left>
      <right style="double">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double">
        <color indexed="64"/>
      </top>
      <bottom style="medium">
        <color indexed="64"/>
      </bottom>
      <diagonal/>
    </border>
    <border>
      <left/>
      <right/>
      <top style="medium">
        <color indexed="64"/>
      </top>
      <bottom/>
      <diagonal/>
    </border>
    <border>
      <left style="medium">
        <color rgb="FF000000"/>
      </left>
      <right style="medium">
        <color rgb="FF000000"/>
      </right>
      <top style="medium">
        <color rgb="FF000000"/>
      </top>
      <bottom style="medium">
        <color rgb="FF000000"/>
      </bottom>
      <diagonal/>
    </border>
  </borders>
  <cellStyleXfs count="4">
    <xf numFmtId="0" fontId="0" fillId="0" borderId="0"/>
    <xf numFmtId="43" fontId="1" fillId="0" borderId="0" applyFont="0" applyFill="0" applyBorder="0" applyAlignment="0" applyProtection="0"/>
    <xf numFmtId="0" fontId="19" fillId="0" borderId="0" applyNumberFormat="0" applyFill="0" applyBorder="0" applyAlignment="0" applyProtection="0"/>
    <xf numFmtId="9" fontId="1" fillId="0" borderId="0" applyFont="0" applyFill="0" applyBorder="0" applyAlignment="0" applyProtection="0"/>
  </cellStyleXfs>
  <cellXfs count="157">
    <xf numFmtId="0" fontId="0" fillId="0" borderId="0" xfId="0"/>
    <xf numFmtId="7" fontId="0" fillId="0" borderId="0" xfId="0" applyNumberFormat="1"/>
    <xf numFmtId="0" fontId="2" fillId="0" borderId="1" xfId="0" applyFont="1" applyBorder="1"/>
    <xf numFmtId="7" fontId="2" fillId="0" borderId="1" xfId="0" applyNumberFormat="1" applyFont="1" applyBorder="1"/>
    <xf numFmtId="0" fontId="0" fillId="0" borderId="0" xfId="0" quotePrefix="1"/>
    <xf numFmtId="0" fontId="0" fillId="0" borderId="1" xfId="0" applyBorder="1"/>
    <xf numFmtId="7" fontId="0" fillId="0" borderId="1" xfId="0" applyNumberFormat="1" applyBorder="1"/>
    <xf numFmtId="0" fontId="2" fillId="2" borderId="0" xfId="0" applyFont="1" applyFill="1"/>
    <xf numFmtId="7" fontId="2" fillId="2" borderId="0" xfId="0" applyNumberFormat="1" applyFont="1" applyFill="1"/>
    <xf numFmtId="0" fontId="4" fillId="2" borderId="0" xfId="0" applyFont="1" applyFill="1"/>
    <xf numFmtId="164" fontId="4" fillId="2" borderId="0" xfId="1" applyNumberFormat="1" applyFont="1" applyFill="1"/>
    <xf numFmtId="7" fontId="4" fillId="2" borderId="0" xfId="0" applyNumberFormat="1" applyFont="1" applyFill="1"/>
    <xf numFmtId="165" fontId="4" fillId="2" borderId="0" xfId="0" applyNumberFormat="1" applyFont="1" applyFill="1"/>
    <xf numFmtId="0" fontId="4" fillId="3" borderId="0" xfId="0" applyFont="1" applyFill="1"/>
    <xf numFmtId="165" fontId="4" fillId="3" borderId="0" xfId="0" applyNumberFormat="1" applyFont="1" applyFill="1"/>
    <xf numFmtId="1" fontId="4" fillId="3" borderId="0" xfId="0" applyNumberFormat="1" applyFont="1" applyFill="1"/>
    <xf numFmtId="0" fontId="4" fillId="0" borderId="0" xfId="0" applyFont="1"/>
    <xf numFmtId="0" fontId="7" fillId="0" borderId="0" xfId="0" applyFont="1"/>
    <xf numFmtId="0" fontId="8" fillId="0" borderId="0" xfId="0" applyFont="1"/>
    <xf numFmtId="43" fontId="5" fillId="0" borderId="0" xfId="1" applyFont="1"/>
    <xf numFmtId="0" fontId="5" fillId="0" borderId="0" xfId="0" applyFont="1"/>
    <xf numFmtId="3" fontId="0" fillId="0" borderId="0" xfId="0" applyNumberFormat="1"/>
    <xf numFmtId="43" fontId="0" fillId="0" borderId="0" xfId="0" applyNumberFormat="1"/>
    <xf numFmtId="0" fontId="9" fillId="0" borderId="0" xfId="0" applyFont="1"/>
    <xf numFmtId="0" fontId="10" fillId="0" borderId="0" xfId="0" applyFont="1"/>
    <xf numFmtId="0" fontId="11" fillId="0" borderId="0" xfId="0" applyFont="1"/>
    <xf numFmtId="0" fontId="6" fillId="0" borderId="0" xfId="0" applyFont="1"/>
    <xf numFmtId="43" fontId="12" fillId="0" borderId="0" xfId="0" applyNumberFormat="1" applyFont="1"/>
    <xf numFmtId="0" fontId="12" fillId="0" borderId="0" xfId="0" applyFont="1"/>
    <xf numFmtId="0" fontId="13" fillId="0" borderId="0" xfId="0" applyFont="1"/>
    <xf numFmtId="3" fontId="13" fillId="0" borderId="0" xfId="0" applyNumberFormat="1" applyFont="1"/>
    <xf numFmtId="3" fontId="14" fillId="0" borderId="0" xfId="0" applyNumberFormat="1" applyFont="1"/>
    <xf numFmtId="0" fontId="14" fillId="0" borderId="0" xfId="0" applyFont="1"/>
    <xf numFmtId="164" fontId="13" fillId="3" borderId="0" xfId="1" applyNumberFormat="1" applyFont="1" applyFill="1"/>
    <xf numFmtId="164" fontId="13" fillId="0" borderId="0" xfId="1" applyNumberFormat="1" applyFont="1"/>
    <xf numFmtId="15" fontId="0" fillId="0" borderId="0" xfId="0" applyNumberFormat="1"/>
    <xf numFmtId="8" fontId="0" fillId="0" borderId="0" xfId="0" applyNumberFormat="1"/>
    <xf numFmtId="10" fontId="0" fillId="0" borderId="0" xfId="0" applyNumberFormat="1"/>
    <xf numFmtId="0" fontId="2" fillId="0" borderId="0" xfId="0" applyFont="1"/>
    <xf numFmtId="43" fontId="2" fillId="0" borderId="0" xfId="1" applyFont="1"/>
    <xf numFmtId="0" fontId="13" fillId="0" borderId="0" xfId="0" applyFont="1" applyAlignment="1">
      <alignment vertical="center"/>
    </xf>
    <xf numFmtId="3" fontId="15" fillId="0" borderId="0" xfId="0" applyNumberFormat="1" applyFont="1"/>
    <xf numFmtId="166" fontId="13" fillId="0" borderId="0" xfId="1" applyNumberFormat="1" applyFont="1"/>
    <xf numFmtId="0" fontId="13" fillId="0" borderId="0" xfId="0" applyFont="1" applyAlignment="1">
      <alignment horizontal="center" vertical="center"/>
    </xf>
    <xf numFmtId="0" fontId="13" fillId="0" borderId="7" xfId="0" applyFont="1" applyBorder="1" applyAlignment="1">
      <alignment horizontal="left"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12" xfId="0" applyFont="1" applyBorder="1" applyAlignment="1">
      <alignment horizontal="center" vertical="center"/>
    </xf>
    <xf numFmtId="0" fontId="13" fillId="0" borderId="13" xfId="0" applyFont="1" applyBorder="1" applyAlignment="1">
      <alignment horizontal="center" vertical="center"/>
    </xf>
    <xf numFmtId="0" fontId="13"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1" fontId="13" fillId="0" borderId="18" xfId="0" applyNumberFormat="1" applyFont="1" applyBorder="1" applyAlignment="1">
      <alignment horizontal="center" vertical="center"/>
    </xf>
    <xf numFmtId="4" fontId="13" fillId="0" borderId="19" xfId="0" applyNumberFormat="1" applyFont="1" applyBorder="1" applyAlignment="1">
      <alignment horizontal="center" vertical="center"/>
    </xf>
    <xf numFmtId="4" fontId="13" fillId="0" borderId="20" xfId="0" applyNumberFormat="1" applyFont="1" applyBorder="1" applyAlignment="1">
      <alignment horizontal="center" vertical="center"/>
    </xf>
    <xf numFmtId="4" fontId="13" fillId="4" borderId="21" xfId="0" applyNumberFormat="1" applyFont="1" applyFill="1" applyBorder="1" applyAlignment="1">
      <alignment horizontal="center" vertical="center"/>
    </xf>
    <xf numFmtId="4" fontId="13" fillId="4" borderId="22" xfId="0" applyNumberFormat="1" applyFont="1" applyFill="1" applyBorder="1" applyAlignment="1">
      <alignment horizontal="center" vertical="center"/>
    </xf>
    <xf numFmtId="4" fontId="13" fillId="4" borderId="23" xfId="0" applyNumberFormat="1" applyFont="1" applyFill="1" applyBorder="1" applyAlignment="1">
      <alignment horizontal="center" vertical="center"/>
    </xf>
    <xf numFmtId="4" fontId="13" fillId="4" borderId="24" xfId="0" applyNumberFormat="1" applyFont="1" applyFill="1" applyBorder="1" applyAlignment="1">
      <alignment horizontal="center" vertical="center"/>
    </xf>
    <xf numFmtId="0" fontId="13" fillId="5" borderId="25" xfId="0" applyFont="1" applyFill="1" applyBorder="1" applyAlignment="1">
      <alignment horizontal="center" vertical="center"/>
    </xf>
    <xf numFmtId="1" fontId="13" fillId="6" borderId="18" xfId="0" applyNumberFormat="1" applyFont="1" applyFill="1" applyBorder="1" applyAlignment="1">
      <alignment horizontal="center" vertical="center"/>
    </xf>
    <xf numFmtId="4" fontId="13" fillId="6" borderId="19" xfId="0" applyNumberFormat="1" applyFont="1" applyFill="1" applyBorder="1" applyAlignment="1">
      <alignment horizontal="center" vertical="center"/>
    </xf>
    <xf numFmtId="4" fontId="13" fillId="6" borderId="20" xfId="0" applyNumberFormat="1" applyFont="1" applyFill="1" applyBorder="1" applyAlignment="1">
      <alignment horizontal="center" vertical="center"/>
    </xf>
    <xf numFmtId="0" fontId="13" fillId="5" borderId="26" xfId="0" applyFont="1" applyFill="1" applyBorder="1" applyAlignment="1">
      <alignment horizontal="center" vertical="center"/>
    </xf>
    <xf numFmtId="1" fontId="13" fillId="6" borderId="27" xfId="0" applyNumberFormat="1" applyFont="1" applyFill="1" applyBorder="1" applyAlignment="1">
      <alignment horizontal="center" vertical="center"/>
    </xf>
    <xf numFmtId="4" fontId="13" fillId="6" borderId="28" xfId="0" applyNumberFormat="1" applyFont="1" applyFill="1" applyBorder="1" applyAlignment="1">
      <alignment horizontal="center" vertical="center"/>
    </xf>
    <xf numFmtId="4" fontId="13" fillId="6" borderId="29" xfId="0" applyNumberFormat="1" applyFont="1" applyFill="1" applyBorder="1" applyAlignment="1">
      <alignment horizontal="center" vertical="center"/>
    </xf>
    <xf numFmtId="4" fontId="13" fillId="4" borderId="30" xfId="0" applyNumberFormat="1" applyFont="1" applyFill="1" applyBorder="1" applyAlignment="1">
      <alignment horizontal="center" vertical="center"/>
    </xf>
    <xf numFmtId="4" fontId="13" fillId="4" borderId="31" xfId="0" applyNumberFormat="1" applyFont="1" applyFill="1" applyBorder="1" applyAlignment="1">
      <alignment horizontal="center" vertical="center"/>
    </xf>
    <xf numFmtId="4" fontId="13" fillId="4" borderId="32" xfId="0" applyNumberFormat="1" applyFont="1" applyFill="1" applyBorder="1" applyAlignment="1">
      <alignment horizontal="center" vertical="center"/>
    </xf>
    <xf numFmtId="4" fontId="13" fillId="4" borderId="33" xfId="0" applyNumberFormat="1" applyFont="1" applyFill="1" applyBorder="1" applyAlignment="1">
      <alignment horizontal="center" vertical="center"/>
    </xf>
    <xf numFmtId="0" fontId="13" fillId="5" borderId="34" xfId="0" applyFont="1" applyFill="1" applyBorder="1" applyAlignment="1">
      <alignment horizontal="center" vertical="center"/>
    </xf>
    <xf numFmtId="0" fontId="13" fillId="0" borderId="35" xfId="0" applyFont="1" applyBorder="1" applyAlignment="1">
      <alignment horizontal="center" vertical="center"/>
    </xf>
    <xf numFmtId="4" fontId="13" fillId="0" borderId="36" xfId="0" applyNumberFormat="1" applyFont="1" applyBorder="1" applyAlignment="1">
      <alignment horizontal="center" vertical="center"/>
    </xf>
    <xf numFmtId="4" fontId="13" fillId="0" borderId="37" xfId="0" applyNumberFormat="1" applyFont="1" applyBorder="1" applyAlignment="1">
      <alignment horizontal="center" vertical="center"/>
    </xf>
    <xf numFmtId="4" fontId="13" fillId="4" borderId="38" xfId="0" applyNumberFormat="1" applyFont="1" applyFill="1" applyBorder="1" applyAlignment="1">
      <alignment horizontal="center" vertical="center"/>
    </xf>
    <xf numFmtId="4" fontId="13" fillId="0" borderId="39" xfId="0" applyNumberFormat="1" applyFont="1" applyBorder="1" applyAlignment="1">
      <alignment horizontal="center" vertical="center"/>
    </xf>
    <xf numFmtId="4" fontId="13" fillId="4" borderId="40" xfId="0" applyNumberFormat="1" applyFont="1" applyFill="1" applyBorder="1" applyAlignment="1">
      <alignment horizontal="center" vertical="center"/>
    </xf>
    <xf numFmtId="4" fontId="13" fillId="4" borderId="41" xfId="0" applyNumberFormat="1" applyFont="1" applyFill="1" applyBorder="1" applyAlignment="1">
      <alignment horizontal="center" vertical="center"/>
    </xf>
    <xf numFmtId="0" fontId="16" fillId="5" borderId="42" xfId="0" applyFont="1" applyFill="1" applyBorder="1" applyAlignment="1">
      <alignment horizontal="center" vertical="center"/>
    </xf>
    <xf numFmtId="4" fontId="13" fillId="0" borderId="0" xfId="0" applyNumberFormat="1" applyFont="1" applyAlignment="1">
      <alignment horizontal="center" vertical="center"/>
    </xf>
    <xf numFmtId="0" fontId="13" fillId="0" borderId="43" xfId="0" applyFont="1" applyBorder="1" applyAlignment="1">
      <alignment horizontal="right" vertical="center"/>
    </xf>
    <xf numFmtId="0" fontId="13" fillId="0" borderId="0" xfId="0" applyFont="1" applyAlignment="1">
      <alignment horizontal="right" vertical="center"/>
    </xf>
    <xf numFmtId="0" fontId="19" fillId="0" borderId="0" xfId="2"/>
    <xf numFmtId="0" fontId="16" fillId="0" borderId="0" xfId="0" applyFont="1"/>
    <xf numFmtId="0" fontId="20" fillId="0" borderId="0" xfId="2" applyFont="1" applyFill="1" applyBorder="1"/>
    <xf numFmtId="0" fontId="21" fillId="0" borderId="0" xfId="0" applyFont="1"/>
    <xf numFmtId="0" fontId="0" fillId="0" borderId="0" xfId="0" applyAlignment="1">
      <alignment horizontal="right"/>
    </xf>
    <xf numFmtId="43" fontId="6" fillId="0" borderId="0" xfId="0" applyNumberFormat="1" applyFont="1"/>
    <xf numFmtId="43" fontId="12" fillId="0" borderId="0" xfId="1" applyFont="1"/>
    <xf numFmtId="164" fontId="22" fillId="0" borderId="0" xfId="1" applyNumberFormat="1" applyFont="1"/>
    <xf numFmtId="0" fontId="23" fillId="0" borderId="0" xfId="0" applyFont="1"/>
    <xf numFmtId="164" fontId="22" fillId="0" borderId="1" xfId="1" applyNumberFormat="1" applyFont="1" applyBorder="1"/>
    <xf numFmtId="0" fontId="0" fillId="0" borderId="0" xfId="0" applyAlignment="1">
      <alignment horizontal="left"/>
    </xf>
    <xf numFmtId="2" fontId="0" fillId="0" borderId="0" xfId="0" applyNumberFormat="1"/>
    <xf numFmtId="43" fontId="0" fillId="0" borderId="0" xfId="1" applyFont="1"/>
    <xf numFmtId="0" fontId="15" fillId="0" borderId="0" xfId="0" applyFont="1"/>
    <xf numFmtId="164" fontId="13" fillId="0" borderId="0" xfId="0" applyNumberFormat="1" applyFont="1"/>
    <xf numFmtId="164" fontId="0" fillId="0" borderId="0" xfId="1" applyNumberFormat="1" applyFont="1"/>
    <xf numFmtId="166" fontId="21" fillId="0" borderId="0" xfId="1" applyNumberFormat="1" applyFont="1"/>
    <xf numFmtId="0" fontId="0" fillId="0" borderId="0" xfId="0" applyAlignment="1">
      <alignment wrapText="1"/>
    </xf>
    <xf numFmtId="0" fontId="6" fillId="0" borderId="0" xfId="0" applyFont="1" applyAlignment="1">
      <alignment wrapText="1"/>
    </xf>
    <xf numFmtId="3" fontId="23" fillId="0" borderId="0" xfId="0" applyNumberFormat="1" applyFont="1"/>
    <xf numFmtId="0" fontId="24" fillId="0" borderId="0" xfId="0" applyFont="1" applyAlignment="1">
      <alignment vertical="center"/>
    </xf>
    <xf numFmtId="0" fontId="24" fillId="0" borderId="44" xfId="0" applyFont="1" applyBorder="1" applyAlignment="1">
      <alignment vertical="center" wrapText="1"/>
    </xf>
    <xf numFmtId="0" fontId="25" fillId="0" borderId="44" xfId="0" applyFont="1" applyBorder="1" applyAlignment="1">
      <alignment vertical="center" wrapText="1"/>
    </xf>
    <xf numFmtId="3" fontId="26" fillId="0" borderId="44" xfId="0" applyNumberFormat="1" applyFont="1" applyBorder="1" applyAlignment="1">
      <alignment horizontal="right" vertical="center" wrapText="1"/>
    </xf>
    <xf numFmtId="0" fontId="26" fillId="0" borderId="44" xfId="0" applyFont="1" applyBorder="1" applyAlignment="1">
      <alignment horizontal="right" vertical="center" wrapText="1"/>
    </xf>
    <xf numFmtId="0" fontId="27" fillId="0" borderId="44" xfId="0" applyFont="1" applyBorder="1" applyAlignment="1">
      <alignment horizontal="right" vertical="center" wrapText="1"/>
    </xf>
    <xf numFmtId="3" fontId="24" fillId="0" borderId="44" xfId="0" applyNumberFormat="1" applyFont="1" applyBorder="1" applyAlignment="1">
      <alignment horizontal="right" vertical="center" wrapText="1"/>
    </xf>
    <xf numFmtId="3" fontId="0" fillId="0" borderId="1" xfId="0" applyNumberFormat="1" applyBorder="1"/>
    <xf numFmtId="43" fontId="0" fillId="0" borderId="0" xfId="1" applyFont="1" applyAlignment="1">
      <alignment horizontal="right"/>
    </xf>
    <xf numFmtId="43" fontId="5" fillId="0" borderId="0" xfId="1" applyFont="1" applyAlignment="1">
      <alignment horizontal="right"/>
    </xf>
    <xf numFmtId="43" fontId="0" fillId="0" borderId="0" xfId="1" applyFont="1" applyAlignment="1">
      <alignment horizontal="right" vertical="center"/>
    </xf>
    <xf numFmtId="0" fontId="13" fillId="0" borderId="0" xfId="0" applyFont="1" applyFill="1"/>
    <xf numFmtId="0" fontId="0" fillId="0" borderId="0" xfId="0" applyFill="1"/>
    <xf numFmtId="0" fontId="21" fillId="0" borderId="0" xfId="0" applyFont="1" applyFill="1"/>
    <xf numFmtId="0" fontId="29" fillId="0" borderId="0" xfId="0" applyFont="1" applyFill="1"/>
    <xf numFmtId="3" fontId="29" fillId="0" borderId="0" xfId="0" applyNumberFormat="1" applyFont="1" applyFill="1"/>
    <xf numFmtId="1" fontId="30" fillId="0" borderId="0" xfId="0" applyNumberFormat="1" applyFont="1"/>
    <xf numFmtId="0" fontId="31" fillId="0" borderId="0" xfId="0" applyFont="1"/>
    <xf numFmtId="0" fontId="0" fillId="0" borderId="0" xfId="0" applyNumberFormat="1"/>
    <xf numFmtId="43" fontId="6" fillId="0" borderId="0" xfId="1" applyNumberFormat="1" applyFont="1"/>
    <xf numFmtId="0" fontId="6" fillId="0" borderId="0" xfId="0" applyFont="1" applyFill="1"/>
    <xf numFmtId="164" fontId="0" fillId="0" borderId="0" xfId="1" applyNumberFormat="1" applyFont="1" applyBorder="1"/>
    <xf numFmtId="164" fontId="6" fillId="0" borderId="0" xfId="1" applyNumberFormat="1" applyFont="1"/>
    <xf numFmtId="43" fontId="0" fillId="0" borderId="0" xfId="1" applyFont="1" applyFill="1" applyAlignment="1">
      <alignment horizontal="right"/>
    </xf>
    <xf numFmtId="43" fontId="28" fillId="0" borderId="0" xfId="0" applyNumberFormat="1" applyFont="1" applyAlignment="1">
      <alignment vertical="center"/>
    </xf>
    <xf numFmtId="164" fontId="5" fillId="0" borderId="0" xfId="0" applyNumberFormat="1" applyFont="1"/>
    <xf numFmtId="167" fontId="0" fillId="0" borderId="0" xfId="3" applyNumberFormat="1" applyFont="1"/>
    <xf numFmtId="10" fontId="0" fillId="0" borderId="0" xfId="3" applyNumberFormat="1" applyFont="1"/>
    <xf numFmtId="0" fontId="0" fillId="0" borderId="0" xfId="0" applyBorder="1"/>
    <xf numFmtId="166" fontId="2" fillId="0" borderId="0" xfId="1" applyNumberFormat="1" applyFont="1"/>
    <xf numFmtId="165" fontId="2" fillId="0" borderId="0" xfId="0" applyNumberFormat="1" applyFont="1"/>
    <xf numFmtId="0" fontId="0" fillId="0" borderId="0" xfId="0" applyFill="1" applyBorder="1"/>
    <xf numFmtId="165" fontId="0" fillId="0" borderId="0" xfId="0" applyNumberFormat="1" applyBorder="1"/>
    <xf numFmtId="0" fontId="0" fillId="7" borderId="0" xfId="0" applyFill="1" applyBorder="1"/>
    <xf numFmtId="9" fontId="0" fillId="0" borderId="0" xfId="0" applyNumberFormat="1" applyBorder="1"/>
    <xf numFmtId="0" fontId="6" fillId="0" borderId="0" xfId="0" applyFont="1" applyBorder="1"/>
    <xf numFmtId="1" fontId="0" fillId="0" borderId="1" xfId="0" applyNumberFormat="1" applyFill="1" applyBorder="1"/>
    <xf numFmtId="3" fontId="0" fillId="0" borderId="0" xfId="0" applyNumberFormat="1" applyFill="1" applyAlignment="1">
      <alignment vertical="center"/>
    </xf>
    <xf numFmtId="164" fontId="5" fillId="0" borderId="0" xfId="1" applyNumberFormat="1" applyFont="1"/>
    <xf numFmtId="0" fontId="5" fillId="0" borderId="0" xfId="0" applyFont="1" applyAlignment="1">
      <alignment horizontal="left"/>
    </xf>
    <xf numFmtId="0" fontId="13" fillId="0" borderId="0" xfId="0" applyFont="1" applyAlignment="1">
      <alignment horizontal="left" vertical="center" wrapText="1"/>
    </xf>
    <xf numFmtId="0" fontId="16" fillId="0" borderId="0" xfId="0" applyFont="1" applyAlignment="1">
      <alignment horizontal="center" vertical="center"/>
    </xf>
    <xf numFmtId="0" fontId="13" fillId="0" borderId="2" xfId="0" applyFont="1" applyBorder="1" applyAlignment="1">
      <alignment horizontal="center" vertical="center"/>
    </xf>
    <xf numFmtId="0" fontId="13" fillId="0" borderId="8"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3" fillId="0" borderId="0" xfId="0" applyFont="1" applyAlignment="1">
      <alignment horizontal="center"/>
    </xf>
    <xf numFmtId="0" fontId="0" fillId="0" borderId="0" xfId="0" applyAlignment="1">
      <alignment horizontal="left"/>
    </xf>
    <xf numFmtId="3" fontId="5" fillId="0" borderId="0" xfId="0" applyNumberFormat="1" applyFont="1"/>
    <xf numFmtId="0" fontId="15" fillId="0" borderId="0" xfId="0" applyFont="1" applyFill="1" applyAlignment="1">
      <alignment horizontal="left" vertical="center"/>
    </xf>
  </cellXfs>
  <cellStyles count="4">
    <cellStyle name="Comma" xfId="1" builtinId="3"/>
    <cellStyle name="Hyperlink" xfId="2" builtinId="8"/>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www.epa.gov/energy/greenhouse-gas-equivalencies-calculator"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business.edf.org/insights/green-freight-math-how-to-calculate-emissions-for-a-truck-move/"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topLeftCell="A7" workbookViewId="0">
      <selection activeCell="D27" sqref="D27:D28"/>
    </sheetView>
  </sheetViews>
  <sheetFormatPr defaultRowHeight="14"/>
  <cols>
    <col min="1" max="1" width="5.25" customWidth="1"/>
    <col min="2" max="2" width="49.08203125" customWidth="1"/>
    <col min="3" max="3" width="13.08203125" customWidth="1"/>
    <col min="4" max="4" width="16.9140625" bestFit="1" customWidth="1"/>
    <col min="5" max="5" width="15.25" bestFit="1" customWidth="1"/>
    <col min="6" max="6" width="17.5" bestFit="1" customWidth="1"/>
    <col min="7" max="7" width="12.4140625" bestFit="1" customWidth="1"/>
  </cols>
  <sheetData>
    <row r="1" spans="1:4" s="20" customFormat="1">
      <c r="C1" s="20" t="s">
        <v>48</v>
      </c>
    </row>
    <row r="2" spans="1:4">
      <c r="A2" s="144" t="s">
        <v>134</v>
      </c>
      <c r="B2" s="144"/>
      <c r="C2" s="97"/>
    </row>
    <row r="3" spans="1:4">
      <c r="A3" s="144" t="s">
        <v>223</v>
      </c>
      <c r="B3" s="144"/>
      <c r="C3" s="97"/>
    </row>
    <row r="4" spans="1:4">
      <c r="B4" s="95" t="s">
        <v>135</v>
      </c>
      <c r="C4" s="113">
        <f>'Municipal Planning'!A10</f>
        <v>30701.188000000002</v>
      </c>
      <c r="D4" s="97"/>
    </row>
    <row r="5" spans="1:4">
      <c r="B5" t="s">
        <v>146</v>
      </c>
      <c r="C5" s="128">
        <f>'Tree Canopy'!B4</f>
        <v>465</v>
      </c>
      <c r="D5" s="96"/>
    </row>
    <row r="6" spans="1:4">
      <c r="B6" t="s">
        <v>221</v>
      </c>
      <c r="C6" s="128">
        <f>'EV Car Share'!B11</f>
        <v>736</v>
      </c>
    </row>
    <row r="7" spans="1:4">
      <c r="B7" t="s">
        <v>222</v>
      </c>
      <c r="C7" s="128">
        <f>'EV On Street Charging'!B10</f>
        <v>257</v>
      </c>
    </row>
    <row r="8" spans="1:4">
      <c r="B8" t="s">
        <v>136</v>
      </c>
      <c r="C8" s="128">
        <f>Reuse!A22</f>
        <v>17097.406444162363</v>
      </c>
    </row>
    <row r="9" spans="1:4">
      <c r="B9" t="s">
        <v>137</v>
      </c>
      <c r="C9" s="128">
        <f>OrganicCollection!A8</f>
        <v>350</v>
      </c>
    </row>
    <row r="10" spans="1:4">
      <c r="B10" t="s">
        <v>0</v>
      </c>
      <c r="C10" s="128">
        <f>'CTEN GHG'!A4</f>
        <v>5930</v>
      </c>
      <c r="D10" s="97"/>
    </row>
    <row r="11" spans="1:4">
      <c r="B11" t="s">
        <v>1</v>
      </c>
      <c r="C11" s="113">
        <f>'EV Police Cars'!A8</f>
        <v>2000</v>
      </c>
      <c r="D11" s="97"/>
    </row>
    <row r="12" spans="1:4">
      <c r="C12" s="113"/>
    </row>
    <row r="13" spans="1:4">
      <c r="A13" s="144" t="s">
        <v>138</v>
      </c>
      <c r="B13" s="144"/>
      <c r="C13" s="113"/>
    </row>
    <row r="14" spans="1:4">
      <c r="A14" s="144" t="s">
        <v>140</v>
      </c>
      <c r="B14" s="144"/>
      <c r="C14" s="113"/>
    </row>
    <row r="15" spans="1:4">
      <c r="B15" t="s">
        <v>141</v>
      </c>
      <c r="C15" s="128">
        <f>'Gloria Drive - Fugitive GHG'!R5</f>
        <v>10406</v>
      </c>
    </row>
    <row r="16" spans="1:4">
      <c r="B16" t="s">
        <v>142</v>
      </c>
      <c r="C16" s="113">
        <f>'Gloria Drive Solar'!G13</f>
        <v>8758</v>
      </c>
      <c r="D16" s="97"/>
    </row>
    <row r="17" spans="1:7">
      <c r="B17" t="s">
        <v>143</v>
      </c>
      <c r="C17" s="113">
        <f>'Gloria Drive - Leachate Hauling'!B64</f>
        <v>31.218209760000004</v>
      </c>
      <c r="D17" s="97"/>
    </row>
    <row r="18" spans="1:7">
      <c r="C18" s="113"/>
    </row>
    <row r="19" spans="1:7">
      <c r="A19" s="144" t="s">
        <v>147</v>
      </c>
      <c r="B19" s="144"/>
      <c r="C19" s="113"/>
    </row>
    <row r="20" spans="1:7">
      <c r="A20" s="144" t="s">
        <v>226</v>
      </c>
      <c r="B20" s="144"/>
      <c r="C20" s="113"/>
    </row>
    <row r="21" spans="1:7">
      <c r="B21" t="s">
        <v>225</v>
      </c>
      <c r="C21" s="113">
        <f>'FleetBldg1-Gas'!F26</f>
        <v>7.4039654329999998</v>
      </c>
      <c r="D21" s="22"/>
    </row>
    <row r="22" spans="1:7" ht="28">
      <c r="B22" s="102" t="s">
        <v>224</v>
      </c>
      <c r="C22" s="115">
        <f>FleetCtr_Electric!G26</f>
        <v>35.1</v>
      </c>
    </row>
    <row r="23" spans="1:7">
      <c r="B23" t="s">
        <v>214</v>
      </c>
      <c r="C23" s="113">
        <f>(FleetCtr_Electric!G26+'FleetBldg1-Gas'!F26)*5</f>
        <v>212.51982716500004</v>
      </c>
      <c r="D23" s="22"/>
    </row>
    <row r="24" spans="1:7">
      <c r="C24" s="113"/>
    </row>
    <row r="25" spans="1:7">
      <c r="C25" s="114">
        <f>SUM(C3:C24)</f>
        <v>76986.836446520363</v>
      </c>
      <c r="D25" s="19" t="s">
        <v>248</v>
      </c>
      <c r="G25" s="143"/>
    </row>
    <row r="26" spans="1:7">
      <c r="C26" s="89"/>
    </row>
    <row r="27" spans="1:7">
      <c r="C27" s="143">
        <v>153974</v>
      </c>
      <c r="D27" t="s">
        <v>249</v>
      </c>
    </row>
    <row r="28" spans="1:7">
      <c r="C28" s="155">
        <v>1924671</v>
      </c>
      <c r="D28" t="s">
        <v>250</v>
      </c>
    </row>
  </sheetData>
  <mergeCells count="6">
    <mergeCell ref="A20:B20"/>
    <mergeCell ref="A2:B2"/>
    <mergeCell ref="A3:B3"/>
    <mergeCell ref="A13:B13"/>
    <mergeCell ref="A14:B14"/>
    <mergeCell ref="A19:B1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workbookViewId="0">
      <pane xSplit="1" ySplit="4" topLeftCell="B28" activePane="bottomRight" state="frozen"/>
      <selection pane="topRight" activeCell="B1" sqref="B1"/>
      <selection pane="bottomLeft" activeCell="A5" sqref="A5"/>
      <selection pane="bottomRight" activeCell="I56" sqref="I56"/>
    </sheetView>
  </sheetViews>
  <sheetFormatPr defaultColWidth="8.33203125" defaultRowHeight="14.5"/>
  <cols>
    <col min="1" max="1" width="8.33203125" style="43"/>
    <col min="2" max="4" width="9" style="43" bestFit="1" customWidth="1"/>
    <col min="5" max="6" width="8.75" style="43" bestFit="1" customWidth="1"/>
    <col min="7" max="7" width="13.25" style="43" bestFit="1" customWidth="1"/>
    <col min="8" max="8" width="15.6640625" style="43" bestFit="1" customWidth="1"/>
    <col min="9" max="9" width="14.6640625" style="43" bestFit="1" customWidth="1"/>
    <col min="10" max="12" width="9" style="43" bestFit="1" customWidth="1"/>
    <col min="13" max="14" width="8.75" style="43" bestFit="1" customWidth="1"/>
    <col min="15" max="15" width="8" style="43" bestFit="1" customWidth="1"/>
    <col min="16" max="16" width="28.58203125" style="43" bestFit="1" customWidth="1"/>
    <col min="17" max="16384" width="8.33203125" style="43"/>
  </cols>
  <sheetData>
    <row r="1" spans="1:18">
      <c r="A1" s="146" t="s">
        <v>139</v>
      </c>
      <c r="B1" s="146"/>
      <c r="C1" s="146"/>
      <c r="D1" s="146"/>
      <c r="E1" s="146"/>
      <c r="F1" s="146"/>
      <c r="G1" s="146"/>
      <c r="H1" s="146"/>
      <c r="I1" s="146"/>
      <c r="J1" s="146"/>
      <c r="K1" s="146"/>
      <c r="L1" s="146"/>
      <c r="M1" s="146"/>
      <c r="N1" s="146"/>
      <c r="O1" s="146"/>
    </row>
    <row r="2" spans="1:18" ht="15" thickBot="1"/>
    <row r="3" spans="1:18" ht="17" thickBot="1">
      <c r="A3" s="147" t="s">
        <v>2</v>
      </c>
      <c r="B3" s="149" t="s">
        <v>105</v>
      </c>
      <c r="C3" s="150"/>
      <c r="D3" s="150"/>
      <c r="E3" s="149" t="s">
        <v>93</v>
      </c>
      <c r="F3" s="150"/>
      <c r="G3" s="150"/>
      <c r="H3" s="150"/>
      <c r="I3" s="151"/>
      <c r="J3" s="149" t="s">
        <v>94</v>
      </c>
      <c r="K3" s="150"/>
      <c r="L3" s="151"/>
      <c r="M3" s="149" t="s">
        <v>95</v>
      </c>
      <c r="N3" s="150"/>
      <c r="O3" s="152"/>
      <c r="P3" s="44" t="s">
        <v>96</v>
      </c>
    </row>
    <row r="4" spans="1:18" ht="15.5" thickTop="1" thickBot="1">
      <c r="A4" s="148"/>
      <c r="B4" s="45" t="s">
        <v>97</v>
      </c>
      <c r="C4" s="46" t="s">
        <v>98</v>
      </c>
      <c r="D4" s="47" t="s">
        <v>99</v>
      </c>
      <c r="E4" s="48" t="s">
        <v>97</v>
      </c>
      <c r="F4" s="49" t="s">
        <v>98</v>
      </c>
      <c r="G4" s="49" t="s">
        <v>99</v>
      </c>
      <c r="H4" s="50" t="s">
        <v>100</v>
      </c>
      <c r="I4" s="50" t="s">
        <v>101</v>
      </c>
      <c r="J4" s="49" t="s">
        <v>97</v>
      </c>
      <c r="K4" s="49" t="s">
        <v>98</v>
      </c>
      <c r="L4" s="51" t="s">
        <v>99</v>
      </c>
      <c r="M4" s="49" t="s">
        <v>97</v>
      </c>
      <c r="N4" s="49" t="s">
        <v>98</v>
      </c>
      <c r="O4" s="52" t="s">
        <v>99</v>
      </c>
      <c r="P4" s="53" t="s">
        <v>102</v>
      </c>
    </row>
    <row r="5" spans="1:18" ht="15" thickTop="1">
      <c r="A5" s="54">
        <v>2024</v>
      </c>
      <c r="B5" s="55">
        <v>938.34806922625683</v>
      </c>
      <c r="C5" s="56">
        <v>698.40582692309522</v>
      </c>
      <c r="D5" s="57">
        <f t="shared" ref="D5:D54" si="0">AVERAGE(B5:C5)</f>
        <v>818.37694807467597</v>
      </c>
      <c r="E5" s="55">
        <v>250.64284813304172</v>
      </c>
      <c r="F5" s="56">
        <v>186.55169798245538</v>
      </c>
      <c r="G5" s="58">
        <f t="shared" ref="G5:G54" si="1">AVERAGE(E5:F5)</f>
        <v>218.59727305774857</v>
      </c>
      <c r="H5" s="59">
        <f>G5*22.5</f>
        <v>4918.4386437993426</v>
      </c>
      <c r="I5" s="59">
        <f t="shared" ref="I5:I54" si="2">G5*84</f>
        <v>18362.170936850878</v>
      </c>
      <c r="J5" s="55">
        <v>687.70522109321507</v>
      </c>
      <c r="K5" s="56">
        <v>511.85412894063984</v>
      </c>
      <c r="L5" s="57">
        <f t="shared" ref="L5:L54" si="3">AVERAGE(J5:K5)</f>
        <v>599.77967501692751</v>
      </c>
      <c r="M5" s="55">
        <v>1.6159900737236066</v>
      </c>
      <c r="N5" s="56">
        <v>1.2027699749721696</v>
      </c>
      <c r="O5" s="60">
        <f t="shared" ref="O5:O54" si="4">AVERAGE(M5:N5)</f>
        <v>1.4093800243478882</v>
      </c>
      <c r="P5" s="61">
        <f>ROUND((I5+L5)*0.6,-1)</f>
        <v>11380</v>
      </c>
      <c r="Q5" s="43">
        <f>SUM(P5:P9)</f>
        <v>52030</v>
      </c>
      <c r="R5" s="43">
        <f>Q5/5</f>
        <v>10406</v>
      </c>
    </row>
    <row r="6" spans="1:18">
      <c r="A6" s="62">
        <v>2025</v>
      </c>
      <c r="B6" s="63">
        <v>892.58429387144861</v>
      </c>
      <c r="C6" s="64">
        <v>671.02094275015497</v>
      </c>
      <c r="D6" s="57">
        <f t="shared" si="0"/>
        <v>781.80261831080179</v>
      </c>
      <c r="E6" s="63">
        <v>238.4188521848132</v>
      </c>
      <c r="F6" s="64">
        <v>179.23690127747687</v>
      </c>
      <c r="G6" s="58">
        <f t="shared" si="1"/>
        <v>208.82787673114504</v>
      </c>
      <c r="H6" s="59">
        <f t="shared" ref="H6:H54" si="5">G6*22.5</f>
        <v>4698.6272264507634</v>
      </c>
      <c r="I6" s="59">
        <f t="shared" si="2"/>
        <v>17541.541645416182</v>
      </c>
      <c r="J6" s="63">
        <v>654.1654416866354</v>
      </c>
      <c r="K6" s="64">
        <v>491.78404147267821</v>
      </c>
      <c r="L6" s="57">
        <f t="shared" si="3"/>
        <v>572.97474157965678</v>
      </c>
      <c r="M6" s="63">
        <v>1.5371773078269726</v>
      </c>
      <c r="N6" s="64">
        <v>1.1556086896827649</v>
      </c>
      <c r="O6" s="60">
        <f t="shared" si="4"/>
        <v>1.3463929987548688</v>
      </c>
      <c r="P6" s="65">
        <f t="shared" ref="P6:P54" si="6">ROUND((I6+L6)*0.6,-1)</f>
        <v>10870</v>
      </c>
    </row>
    <row r="7" spans="1:18">
      <c r="A7" s="54">
        <v>2026</v>
      </c>
      <c r="B7" s="55">
        <v>849.05244417771405</v>
      </c>
      <c r="C7" s="56">
        <v>644.70983524438475</v>
      </c>
      <c r="D7" s="57">
        <f t="shared" si="0"/>
        <v>746.8811397110494</v>
      </c>
      <c r="E7" s="55">
        <v>226.79102755388064</v>
      </c>
      <c r="F7" s="56">
        <v>172.20892185378736</v>
      </c>
      <c r="G7" s="58">
        <f t="shared" si="1"/>
        <v>199.499974703834</v>
      </c>
      <c r="H7" s="59">
        <f t="shared" si="5"/>
        <v>4488.7494308362648</v>
      </c>
      <c r="I7" s="59">
        <f t="shared" si="2"/>
        <v>16757.997875122055</v>
      </c>
      <c r="J7" s="55">
        <v>622.26141662383361</v>
      </c>
      <c r="K7" s="56">
        <v>472.50091339059742</v>
      </c>
      <c r="L7" s="57">
        <f t="shared" si="3"/>
        <v>547.38116500721549</v>
      </c>
      <c r="M7" s="55">
        <v>1.4622082858798082</v>
      </c>
      <c r="N7" s="56">
        <v>1.1102966248398549</v>
      </c>
      <c r="O7" s="60">
        <f t="shared" si="4"/>
        <v>1.2862524553598316</v>
      </c>
      <c r="P7" s="65">
        <f t="shared" si="6"/>
        <v>10380</v>
      </c>
    </row>
    <row r="8" spans="1:18">
      <c r="A8" s="62">
        <v>2027</v>
      </c>
      <c r="B8" s="63">
        <v>807.6436678460916</v>
      </c>
      <c r="C8" s="64">
        <v>619.43040102043915</v>
      </c>
      <c r="D8" s="57">
        <f t="shared" si="0"/>
        <v>713.53703443326538</v>
      </c>
      <c r="E8" s="63">
        <v>215.73029862200349</v>
      </c>
      <c r="F8" s="64">
        <v>165.45651344492657</v>
      </c>
      <c r="G8" s="58">
        <f t="shared" si="1"/>
        <v>190.59340603346504</v>
      </c>
      <c r="H8" s="59">
        <f t="shared" si="5"/>
        <v>4288.3516357529634</v>
      </c>
      <c r="I8" s="59">
        <f t="shared" si="2"/>
        <v>16009.846106811063</v>
      </c>
      <c r="J8" s="63">
        <v>591.91336922408823</v>
      </c>
      <c r="K8" s="64">
        <v>453.97388757551249</v>
      </c>
      <c r="L8" s="57">
        <f t="shared" si="3"/>
        <v>522.94362839980033</v>
      </c>
      <c r="M8" s="63">
        <v>1.3908955462776256</v>
      </c>
      <c r="N8" s="64">
        <v>1.0667612714726016</v>
      </c>
      <c r="O8" s="60">
        <f t="shared" si="4"/>
        <v>1.2288284088751136</v>
      </c>
      <c r="P8" s="65">
        <f t="shared" si="6"/>
        <v>9920</v>
      </c>
    </row>
    <row r="9" spans="1:18">
      <c r="A9" s="54">
        <v>2028</v>
      </c>
      <c r="B9" s="55">
        <v>768.25442136688355</v>
      </c>
      <c r="C9" s="56">
        <v>595.14218759032622</v>
      </c>
      <c r="D9" s="57">
        <f t="shared" si="0"/>
        <v>681.69830447860488</v>
      </c>
      <c r="E9" s="55">
        <v>205.20900780557554</v>
      </c>
      <c r="F9" s="56">
        <v>158.96887075684981</v>
      </c>
      <c r="G9" s="58">
        <f t="shared" si="1"/>
        <v>182.08893928121267</v>
      </c>
      <c r="H9" s="59">
        <f t="shared" si="5"/>
        <v>4097.0011338272852</v>
      </c>
      <c r="I9" s="59">
        <f t="shared" si="2"/>
        <v>15295.470899621865</v>
      </c>
      <c r="J9" s="55">
        <v>563.0454135613079</v>
      </c>
      <c r="K9" s="56">
        <v>436.17331683347641</v>
      </c>
      <c r="L9" s="57">
        <f t="shared" si="3"/>
        <v>499.60936519739215</v>
      </c>
      <c r="M9" s="55">
        <v>1.3230607700262715</v>
      </c>
      <c r="N9" s="56">
        <v>1.0249329637275799</v>
      </c>
      <c r="O9" s="60">
        <f t="shared" si="4"/>
        <v>1.1739968668769256</v>
      </c>
      <c r="P9" s="65">
        <f t="shared" si="6"/>
        <v>9480</v>
      </c>
    </row>
    <row r="10" spans="1:18">
      <c r="A10" s="62">
        <v>2029</v>
      </c>
      <c r="B10" s="63">
        <v>730.78621110694974</v>
      </c>
      <c r="C10" s="64">
        <v>571.80632863079632</v>
      </c>
      <c r="D10" s="57">
        <f t="shared" si="0"/>
        <v>651.29626986887297</v>
      </c>
      <c r="E10" s="63">
        <v>195.20084639726016</v>
      </c>
      <c r="F10" s="64">
        <v>152.73561217715192</v>
      </c>
      <c r="G10" s="58">
        <f t="shared" si="1"/>
        <v>173.96822928720604</v>
      </c>
      <c r="H10" s="59">
        <f t="shared" si="5"/>
        <v>3914.2851589621359</v>
      </c>
      <c r="I10" s="59">
        <f t="shared" si="2"/>
        <v>14613.331260125307</v>
      </c>
      <c r="J10" s="63">
        <v>535.58536470968966</v>
      </c>
      <c r="K10" s="64">
        <v>419.07071645364442</v>
      </c>
      <c r="L10" s="57">
        <f t="shared" si="3"/>
        <v>477.32804058166704</v>
      </c>
      <c r="M10" s="63">
        <v>1.2585343348515621</v>
      </c>
      <c r="N10" s="64">
        <v>0.98474476738854988</v>
      </c>
      <c r="O10" s="60">
        <f t="shared" si="4"/>
        <v>1.1216395511200559</v>
      </c>
      <c r="P10" s="65">
        <f t="shared" si="6"/>
        <v>9050</v>
      </c>
    </row>
    <row r="11" spans="1:18">
      <c r="A11" s="54">
        <v>2030</v>
      </c>
      <c r="B11" s="55">
        <v>695.14534702432093</v>
      </c>
      <c r="C11" s="56">
        <v>549.38548178893177</v>
      </c>
      <c r="D11" s="57">
        <f t="shared" si="0"/>
        <v>622.26541440662641</v>
      </c>
      <c r="E11" s="55">
        <v>185.68078878051799</v>
      </c>
      <c r="F11" s="56">
        <v>146.74676316227254</v>
      </c>
      <c r="G11" s="58">
        <f t="shared" si="1"/>
        <v>166.21377597139525</v>
      </c>
      <c r="H11" s="59">
        <f t="shared" si="5"/>
        <v>3739.8099593563929</v>
      </c>
      <c r="I11" s="59">
        <f t="shared" si="2"/>
        <v>13961.957181597201</v>
      </c>
      <c r="J11" s="55">
        <v>509.46455824380291</v>
      </c>
      <c r="K11" s="56">
        <v>402.63871862665928</v>
      </c>
      <c r="L11" s="57">
        <f t="shared" si="3"/>
        <v>456.0516384352311</v>
      </c>
      <c r="M11" s="55">
        <v>1.1971548910552401</v>
      </c>
      <c r="N11" s="56">
        <v>0.9461323727674299</v>
      </c>
      <c r="O11" s="60">
        <f t="shared" si="4"/>
        <v>1.0716436319113349</v>
      </c>
      <c r="P11" s="65">
        <f t="shared" si="6"/>
        <v>8650</v>
      </c>
    </row>
    <row r="12" spans="1:18">
      <c r="A12" s="62">
        <v>2031</v>
      </c>
      <c r="B12" s="63">
        <v>661.24270839429403</v>
      </c>
      <c r="C12" s="64">
        <v>527.84376892641649</v>
      </c>
      <c r="D12" s="57">
        <f t="shared" si="0"/>
        <v>594.5432386603552</v>
      </c>
      <c r="E12" s="63">
        <v>176.62502985253082</v>
      </c>
      <c r="F12" s="64">
        <v>140.9927402760986</v>
      </c>
      <c r="G12" s="58">
        <f t="shared" si="1"/>
        <v>158.80888506431472</v>
      </c>
      <c r="H12" s="59">
        <f t="shared" si="5"/>
        <v>3573.1999139470813</v>
      </c>
      <c r="I12" s="59">
        <f t="shared" si="2"/>
        <v>13339.946345402437</v>
      </c>
      <c r="J12" s="63">
        <v>484.61767854176327</v>
      </c>
      <c r="K12" s="64">
        <v>386.85102865031797</v>
      </c>
      <c r="L12" s="57">
        <f t="shared" si="3"/>
        <v>435.73435359604059</v>
      </c>
      <c r="M12" s="63">
        <v>1.1387689580566911</v>
      </c>
      <c r="N12" s="64">
        <v>0.90903399179507571</v>
      </c>
      <c r="O12" s="60">
        <f t="shared" si="4"/>
        <v>1.0239014749258835</v>
      </c>
      <c r="P12" s="65">
        <f t="shared" si="6"/>
        <v>8270</v>
      </c>
    </row>
    <row r="13" spans="1:18">
      <c r="A13" s="54">
        <v>2032</v>
      </c>
      <c r="B13" s="55">
        <v>628.99352096119776</v>
      </c>
      <c r="C13" s="56">
        <v>507.14671870686033</v>
      </c>
      <c r="D13" s="57">
        <f t="shared" si="0"/>
        <v>568.07011983402901</v>
      </c>
      <c r="E13" s="55">
        <v>168.0109254990443</v>
      </c>
      <c r="F13" s="56">
        <v>135.46433585442196</v>
      </c>
      <c r="G13" s="58">
        <f t="shared" si="1"/>
        <v>151.73763067673315</v>
      </c>
      <c r="H13" s="59">
        <f t="shared" si="5"/>
        <v>3414.0966902264959</v>
      </c>
      <c r="I13" s="59">
        <f t="shared" si="2"/>
        <v>12745.960976845585</v>
      </c>
      <c r="J13" s="55">
        <v>460.98259546215343</v>
      </c>
      <c r="K13" s="56">
        <v>371.68238285243837</v>
      </c>
      <c r="L13" s="57">
        <f t="shared" si="3"/>
        <v>416.33248915729587</v>
      </c>
      <c r="M13" s="55">
        <v>1.0832305406115439</v>
      </c>
      <c r="N13" s="56">
        <v>0.87339025914718849</v>
      </c>
      <c r="O13" s="60">
        <f t="shared" si="4"/>
        <v>0.97831039987936619</v>
      </c>
      <c r="P13" s="65">
        <f t="shared" si="6"/>
        <v>7900</v>
      </c>
    </row>
    <row r="14" spans="1:18">
      <c r="A14" s="62">
        <v>2033</v>
      </c>
      <c r="B14" s="63">
        <v>598.31714495859785</v>
      </c>
      <c r="C14" s="64">
        <v>487.26121143430532</v>
      </c>
      <c r="D14" s="57">
        <f t="shared" si="0"/>
        <v>542.78917819645153</v>
      </c>
      <c r="E14" s="63">
        <v>159.81693597228823</v>
      </c>
      <c r="F14" s="64">
        <v>130.15270327071201</v>
      </c>
      <c r="G14" s="58">
        <f t="shared" si="1"/>
        <v>144.98481962150012</v>
      </c>
      <c r="H14" s="59">
        <f t="shared" si="5"/>
        <v>3262.1584414837525</v>
      </c>
      <c r="I14" s="59">
        <f t="shared" si="2"/>
        <v>12178.724848206009</v>
      </c>
      <c r="J14" s="63">
        <v>438.50020898630964</v>
      </c>
      <c r="K14" s="64">
        <v>357.10850816359329</v>
      </c>
      <c r="L14" s="57">
        <f t="shared" si="3"/>
        <v>397.80435857495149</v>
      </c>
      <c r="M14" s="63">
        <v>1.0304007637475163</v>
      </c>
      <c r="N14" s="64">
        <v>0.83914413724712933</v>
      </c>
      <c r="O14" s="60">
        <f t="shared" si="4"/>
        <v>0.93477245049732283</v>
      </c>
      <c r="P14" s="65">
        <f t="shared" si="6"/>
        <v>7550</v>
      </c>
    </row>
    <row r="15" spans="1:18">
      <c r="A15" s="54">
        <v>2034</v>
      </c>
      <c r="B15" s="55">
        <v>569.13687346787742</v>
      </c>
      <c r="C15" s="56">
        <v>468.15542605464782</v>
      </c>
      <c r="D15" s="57">
        <f t="shared" si="0"/>
        <v>518.64614976126268</v>
      </c>
      <c r="E15" s="55">
        <v>152.02257203038721</v>
      </c>
      <c r="F15" s="56">
        <v>125.04934277962616</v>
      </c>
      <c r="G15" s="58">
        <f t="shared" si="1"/>
        <v>138.53595740500668</v>
      </c>
      <c r="H15" s="59">
        <f t="shared" si="5"/>
        <v>3117.0590416126506</v>
      </c>
      <c r="I15" s="59">
        <f t="shared" si="2"/>
        <v>11637.020422020561</v>
      </c>
      <c r="J15" s="55">
        <v>417.11430143749016</v>
      </c>
      <c r="K15" s="56">
        <v>343.10608327502172</v>
      </c>
      <c r="L15" s="57">
        <f t="shared" si="3"/>
        <v>380.11019235625594</v>
      </c>
      <c r="M15" s="55">
        <v>0.98014752550464612</v>
      </c>
      <c r="N15" s="56">
        <v>0.80624082499362937</v>
      </c>
      <c r="O15" s="60">
        <f t="shared" si="4"/>
        <v>0.89319417524913769</v>
      </c>
      <c r="P15" s="65">
        <f t="shared" si="6"/>
        <v>7210</v>
      </c>
    </row>
    <row r="16" spans="1:18">
      <c r="A16" s="62">
        <v>2035</v>
      </c>
      <c r="B16" s="63">
        <v>541.37974061098464</v>
      </c>
      <c r="C16" s="64">
        <v>449.79878923516202</v>
      </c>
      <c r="D16" s="57">
        <f t="shared" si="0"/>
        <v>495.5892649230733</v>
      </c>
      <c r="E16" s="63">
        <v>144.60834370358359</v>
      </c>
      <c r="F16" s="64">
        <v>120.14608791560364</v>
      </c>
      <c r="G16" s="58">
        <f t="shared" si="1"/>
        <v>132.37721580959362</v>
      </c>
      <c r="H16" s="59">
        <f t="shared" si="5"/>
        <v>2978.4873557158567</v>
      </c>
      <c r="I16" s="59">
        <f t="shared" si="2"/>
        <v>11119.686128005864</v>
      </c>
      <c r="J16" s="63">
        <v>396.77139690740108</v>
      </c>
      <c r="K16" s="64">
        <v>329.65270131955839</v>
      </c>
      <c r="L16" s="57">
        <f t="shared" si="3"/>
        <v>363.21204911347974</v>
      </c>
      <c r="M16" s="63">
        <v>0.9323451666115834</v>
      </c>
      <c r="N16" s="64">
        <v>0.77462767006733579</v>
      </c>
      <c r="O16" s="60">
        <f t="shared" si="4"/>
        <v>0.8534864183394596</v>
      </c>
      <c r="P16" s="65">
        <f t="shared" si="6"/>
        <v>6890</v>
      </c>
    </row>
    <row r="17" spans="1:16">
      <c r="A17" s="54">
        <v>2036</v>
      </c>
      <c r="B17" s="55">
        <v>514.97633909773276</v>
      </c>
      <c r="C17" s="56">
        <v>432.16192644064529</v>
      </c>
      <c r="D17" s="57">
        <f t="shared" si="0"/>
        <v>473.56913276918903</v>
      </c>
      <c r="E17" s="55">
        <v>137.55571155916121</v>
      </c>
      <c r="F17" s="56">
        <v>115.43509242477853</v>
      </c>
      <c r="G17" s="58">
        <f t="shared" si="1"/>
        <v>126.49540199196987</v>
      </c>
      <c r="H17" s="59">
        <f t="shared" si="5"/>
        <v>2846.1465448193221</v>
      </c>
      <c r="I17" s="59">
        <f t="shared" si="2"/>
        <v>10625.613767325469</v>
      </c>
      <c r="J17" s="55">
        <v>377.42062753857152</v>
      </c>
      <c r="K17" s="56">
        <v>316.72683401586676</v>
      </c>
      <c r="L17" s="57">
        <f t="shared" si="3"/>
        <v>347.07373077721911</v>
      </c>
      <c r="M17" s="55">
        <v>0.88687415627195865</v>
      </c>
      <c r="N17" s="56">
        <v>0.74425408467586629</v>
      </c>
      <c r="O17" s="60">
        <f t="shared" si="4"/>
        <v>0.81556412047391247</v>
      </c>
      <c r="P17" s="65">
        <f t="shared" si="6"/>
        <v>6580</v>
      </c>
    </row>
    <row r="18" spans="1:16">
      <c r="A18" s="62">
        <v>2037</v>
      </c>
      <c r="B18" s="63">
        <v>489.86064667142091</v>
      </c>
      <c r="C18" s="64">
        <v>415.21661492789519</v>
      </c>
      <c r="D18" s="57">
        <f t="shared" si="0"/>
        <v>452.53863079965805</v>
      </c>
      <c r="E18" s="63">
        <v>130.84704034320717</v>
      </c>
      <c r="F18" s="64">
        <v>110.90881770929957</v>
      </c>
      <c r="G18" s="58">
        <f t="shared" si="1"/>
        <v>120.87792902625337</v>
      </c>
      <c r="H18" s="59">
        <f t="shared" si="5"/>
        <v>2719.7534030907009</v>
      </c>
      <c r="I18" s="59">
        <f t="shared" si="2"/>
        <v>10153.746038205283</v>
      </c>
      <c r="J18" s="63">
        <v>359.01360632821377</v>
      </c>
      <c r="K18" s="64">
        <v>304.30779721859562</v>
      </c>
      <c r="L18" s="57">
        <f t="shared" si="3"/>
        <v>331.6607017734047</v>
      </c>
      <c r="M18" s="63">
        <v>0.84362079327513162</v>
      </c>
      <c r="N18" s="64">
        <v>0.71507146460255133</v>
      </c>
      <c r="O18" s="60">
        <f t="shared" si="4"/>
        <v>0.77934612893884148</v>
      </c>
      <c r="P18" s="65">
        <f t="shared" si="6"/>
        <v>6290</v>
      </c>
    </row>
    <row r="19" spans="1:16">
      <c r="A19" s="54">
        <v>2038</v>
      </c>
      <c r="B19" s="55">
        <v>465.96986101880321</v>
      </c>
      <c r="C19" s="56">
        <v>398.93573858329859</v>
      </c>
      <c r="D19" s="57">
        <f t="shared" si="0"/>
        <v>432.4527998010509</v>
      </c>
      <c r="E19" s="55">
        <v>124.46555488329065</v>
      </c>
      <c r="F19" s="56">
        <v>106.56002076396518</v>
      </c>
      <c r="G19" s="58">
        <f t="shared" si="1"/>
        <v>115.51278782362792</v>
      </c>
      <c r="H19" s="59">
        <f t="shared" si="5"/>
        <v>2599.0377260316282</v>
      </c>
      <c r="I19" s="59">
        <f t="shared" si="2"/>
        <v>9703.0741771847443</v>
      </c>
      <c r="J19" s="55">
        <v>341.50430613551259</v>
      </c>
      <c r="K19" s="56">
        <v>292.37571781933343</v>
      </c>
      <c r="L19" s="57">
        <f t="shared" si="3"/>
        <v>316.94001197742301</v>
      </c>
      <c r="M19" s="55">
        <v>0.80247692168393914</v>
      </c>
      <c r="N19" s="56">
        <v>0.68703311142931556</v>
      </c>
      <c r="O19" s="60">
        <f t="shared" si="4"/>
        <v>0.74475501655662735</v>
      </c>
      <c r="P19" s="65">
        <f t="shared" si="6"/>
        <v>6010</v>
      </c>
    </row>
    <row r="20" spans="1:16">
      <c r="A20" s="62">
        <v>2039</v>
      </c>
      <c r="B20" s="63">
        <v>443.24424273159389</v>
      </c>
      <c r="C20" s="64">
        <v>383.29324453126526</v>
      </c>
      <c r="D20" s="57">
        <f t="shared" si="0"/>
        <v>413.26874363142957</v>
      </c>
      <c r="E20" s="63">
        <v>118.39529814179461</v>
      </c>
      <c r="F20" s="64">
        <v>102.38174258587001</v>
      </c>
      <c r="G20" s="58">
        <f t="shared" si="1"/>
        <v>110.38852036383231</v>
      </c>
      <c r="H20" s="59">
        <f t="shared" si="5"/>
        <v>2483.7417081862272</v>
      </c>
      <c r="I20" s="59">
        <f t="shared" si="2"/>
        <v>9272.6357105619136</v>
      </c>
      <c r="J20" s="63">
        <v>324.84894458979932</v>
      </c>
      <c r="K20" s="64">
        <v>280.91150194539529</v>
      </c>
      <c r="L20" s="57">
        <f t="shared" si="3"/>
        <v>302.88022326759733</v>
      </c>
      <c r="M20" s="63">
        <v>0.76333966038851808</v>
      </c>
      <c r="N20" s="64">
        <v>0.66009415780924796</v>
      </c>
      <c r="O20" s="60">
        <f t="shared" si="4"/>
        <v>0.71171690909888308</v>
      </c>
      <c r="P20" s="65">
        <f t="shared" si="6"/>
        <v>5750</v>
      </c>
    </row>
    <row r="21" spans="1:16">
      <c r="A21" s="54">
        <v>2040</v>
      </c>
      <c r="B21" s="55">
        <v>421.62696592682892</v>
      </c>
      <c r="C21" s="56">
        <v>368.26410144406867</v>
      </c>
      <c r="D21" s="57">
        <f t="shared" si="0"/>
        <v>394.94553368544882</v>
      </c>
      <c r="E21" s="55">
        <v>112.62109131500974</v>
      </c>
      <c r="F21" s="56">
        <v>98.367297038515574</v>
      </c>
      <c r="G21" s="58">
        <f t="shared" si="1"/>
        <v>105.49419417676265</v>
      </c>
      <c r="H21" s="59">
        <f t="shared" si="5"/>
        <v>2373.6193689771594</v>
      </c>
      <c r="I21" s="59">
        <f t="shared" si="2"/>
        <v>8861.512310848062</v>
      </c>
      <c r="J21" s="55">
        <v>309.00587461181914</v>
      </c>
      <c r="K21" s="56">
        <v>269.89680440555304</v>
      </c>
      <c r="L21" s="57">
        <f t="shared" si="3"/>
        <v>289.45133950868609</v>
      </c>
      <c r="M21" s="55">
        <v>0.72611114584994063</v>
      </c>
      <c r="N21" s="56">
        <v>0.63421149566927215</v>
      </c>
      <c r="O21" s="60">
        <f t="shared" si="4"/>
        <v>0.68016132075960645</v>
      </c>
      <c r="P21" s="65">
        <f t="shared" si="6"/>
        <v>5490</v>
      </c>
    </row>
    <row r="22" spans="1:16">
      <c r="A22" s="62">
        <v>2041</v>
      </c>
      <c r="B22" s="63">
        <v>401.06397615255958</v>
      </c>
      <c r="C22" s="64">
        <v>353.82425948638098</v>
      </c>
      <c r="D22" s="57">
        <f>AVERAGE(B22:C22)</f>
        <v>377.44411781947031</v>
      </c>
      <c r="E22" s="63">
        <v>107.12849587821906</v>
      </c>
      <c r="F22" s="64">
        <v>94.510260152565394</v>
      </c>
      <c r="G22" s="58">
        <f t="shared" si="1"/>
        <v>100.81937801539223</v>
      </c>
      <c r="H22" s="59">
        <f t="shared" si="5"/>
        <v>2268.4360053463251</v>
      </c>
      <c r="I22" s="59">
        <f t="shared" si="2"/>
        <v>8468.8277532929478</v>
      </c>
      <c r="J22" s="63">
        <v>293.93548027434048</v>
      </c>
      <c r="K22" s="64">
        <v>259.31399933381567</v>
      </c>
      <c r="L22" s="57">
        <f t="shared" si="3"/>
        <v>276.6247398040781</v>
      </c>
      <c r="M22" s="63">
        <v>0.69069828739039296</v>
      </c>
      <c r="N22" s="64">
        <v>0.60934370722803632</v>
      </c>
      <c r="O22" s="60">
        <f t="shared" si="4"/>
        <v>0.65002099730921459</v>
      </c>
      <c r="P22" s="65">
        <f t="shared" si="6"/>
        <v>5250</v>
      </c>
    </row>
    <row r="23" spans="1:16">
      <c r="A23" s="54">
        <v>2042</v>
      </c>
      <c r="B23" s="55">
        <v>381.50385522356726</v>
      </c>
      <c r="C23" s="56">
        <v>339.95061183040605</v>
      </c>
      <c r="D23" s="57">
        <f t="shared" si="0"/>
        <v>360.72723352698665</v>
      </c>
      <c r="E23" s="55">
        <v>101.90377748186543</v>
      </c>
      <c r="F23" s="56">
        <v>90.80445984612345</v>
      </c>
      <c r="G23" s="58">
        <f t="shared" si="1"/>
        <v>96.354118663994441</v>
      </c>
      <c r="H23" s="59">
        <f t="shared" si="5"/>
        <v>2167.9676699398751</v>
      </c>
      <c r="I23" s="59">
        <f t="shared" si="2"/>
        <v>8093.7459677755332</v>
      </c>
      <c r="J23" s="55">
        <v>279.60007774170191</v>
      </c>
      <c r="K23" s="56">
        <v>249.14615198428265</v>
      </c>
      <c r="L23" s="57">
        <f t="shared" si="3"/>
        <v>264.37311486299228</v>
      </c>
      <c r="M23" s="55">
        <v>0.65701253441799223</v>
      </c>
      <c r="N23" s="56">
        <v>0.58545099871862238</v>
      </c>
      <c r="O23" s="60">
        <f t="shared" si="4"/>
        <v>0.62123176656830736</v>
      </c>
      <c r="P23" s="65">
        <f t="shared" si="6"/>
        <v>5010</v>
      </c>
    </row>
    <row r="24" spans="1:16">
      <c r="A24" s="62">
        <v>2043</v>
      </c>
      <c r="B24" s="63">
        <v>362.89769264911774</v>
      </c>
      <c r="C24" s="64">
        <v>326.62095768002496</v>
      </c>
      <c r="D24" s="57">
        <f t="shared" si="0"/>
        <v>344.75932516457135</v>
      </c>
      <c r="E24" s="63">
        <v>96.933871608523674</v>
      </c>
      <c r="F24" s="64">
        <v>87.243966048086591</v>
      </c>
      <c r="G24" s="58">
        <f t="shared" si="1"/>
        <v>92.08891882830514</v>
      </c>
      <c r="H24" s="59">
        <f t="shared" si="5"/>
        <v>2072.0006736368655</v>
      </c>
      <c r="I24" s="59">
        <f t="shared" si="2"/>
        <v>7735.4691815776314</v>
      </c>
      <c r="J24" s="63">
        <v>265.96382104059404</v>
      </c>
      <c r="K24" s="64">
        <v>239.37699163193838</v>
      </c>
      <c r="L24" s="57">
        <f t="shared" si="3"/>
        <v>252.67040633626621</v>
      </c>
      <c r="M24" s="63">
        <v>0.62496965500418244</v>
      </c>
      <c r="N24" s="64">
        <v>0.56249513671003259</v>
      </c>
      <c r="O24" s="60">
        <f t="shared" si="4"/>
        <v>0.59373239585710746</v>
      </c>
      <c r="P24" s="65">
        <f t="shared" si="6"/>
        <v>4790</v>
      </c>
    </row>
    <row r="25" spans="1:16">
      <c r="A25" s="54">
        <v>2044</v>
      </c>
      <c r="B25" s="55">
        <v>345.19896333125723</v>
      </c>
      <c r="C25" s="56">
        <v>313.81396674478589</v>
      </c>
      <c r="D25" s="57">
        <f t="shared" si="0"/>
        <v>329.50646503802159</v>
      </c>
      <c r="E25" s="55">
        <v>92.206350904802093</v>
      </c>
      <c r="F25" s="56">
        <v>83.82308120876543</v>
      </c>
      <c r="G25" s="58">
        <f t="shared" si="1"/>
        <v>88.014716056783755</v>
      </c>
      <c r="H25" s="59">
        <f t="shared" si="5"/>
        <v>1980.3311112776346</v>
      </c>
      <c r="I25" s="59">
        <f t="shared" si="2"/>
        <v>7393.2361487698354</v>
      </c>
      <c r="J25" s="55">
        <v>252.99261242645511</v>
      </c>
      <c r="K25" s="56">
        <v>229.99088553602044</v>
      </c>
      <c r="L25" s="57">
        <f t="shared" si="3"/>
        <v>241.49174898123778</v>
      </c>
      <c r="M25" s="55">
        <v>0.59448952526003818</v>
      </c>
      <c r="N25" s="56">
        <v>0.54043938692554161</v>
      </c>
      <c r="O25" s="60">
        <f t="shared" si="4"/>
        <v>0.56746445609278995</v>
      </c>
      <c r="P25" s="65">
        <f t="shared" si="6"/>
        <v>4580</v>
      </c>
    </row>
    <row r="26" spans="1:16">
      <c r="A26" s="62">
        <v>2045</v>
      </c>
      <c r="B26" s="63">
        <v>328.36341122783483</v>
      </c>
      <c r="C26" s="64">
        <v>301.5091451068887</v>
      </c>
      <c r="D26" s="57">
        <f t="shared" si="0"/>
        <v>314.93627816736176</v>
      </c>
      <c r="E26" s="63">
        <v>87.70939410648576</v>
      </c>
      <c r="F26" s="64">
        <v>80.536331182589407</v>
      </c>
      <c r="G26" s="58">
        <f t="shared" si="1"/>
        <v>84.122862644537577</v>
      </c>
      <c r="H26" s="59">
        <f t="shared" si="5"/>
        <v>1892.7644095020955</v>
      </c>
      <c r="I26" s="59">
        <f t="shared" si="2"/>
        <v>7066.3204621411569</v>
      </c>
      <c r="J26" s="63">
        <v>240.65401712134911</v>
      </c>
      <c r="K26" s="64">
        <v>220.97281392429923</v>
      </c>
      <c r="L26" s="57">
        <f t="shared" si="3"/>
        <v>230.81341552282419</v>
      </c>
      <c r="M26" s="63">
        <v>0.56549592898480872</v>
      </c>
      <c r="N26" s="64">
        <v>0.51924845546001663</v>
      </c>
      <c r="O26" s="60">
        <f t="shared" si="4"/>
        <v>0.54237219222241273</v>
      </c>
      <c r="P26" s="65">
        <f t="shared" si="6"/>
        <v>4380</v>
      </c>
    </row>
    <row r="27" spans="1:16">
      <c r="A27" s="54">
        <v>2046</v>
      </c>
      <c r="B27" s="55">
        <v>312.34893868934461</v>
      </c>
      <c r="C27" s="56">
        <v>289.68680242654398</v>
      </c>
      <c r="D27" s="57">
        <f t="shared" si="0"/>
        <v>301.01787055794432</v>
      </c>
      <c r="E27" s="55">
        <v>83.431756479218777</v>
      </c>
      <c r="F27" s="56">
        <v>77.378456468305828</v>
      </c>
      <c r="G27" s="58">
        <f t="shared" si="1"/>
        <v>80.405106473762302</v>
      </c>
      <c r="H27" s="59">
        <f t="shared" si="5"/>
        <v>1809.1148956596519</v>
      </c>
      <c r="I27" s="59">
        <f t="shared" si="2"/>
        <v>6754.0289437960337</v>
      </c>
      <c r="J27" s="55">
        <v>228.9171822101259</v>
      </c>
      <c r="K27" s="56">
        <v>212.30834595823814</v>
      </c>
      <c r="L27" s="57">
        <f t="shared" si="3"/>
        <v>220.612764084182</v>
      </c>
      <c r="M27" s="55">
        <v>0.53791636708571633</v>
      </c>
      <c r="N27" s="56">
        <v>0.49888843230213936</v>
      </c>
      <c r="O27" s="60">
        <f t="shared" si="4"/>
        <v>0.51840239969392787</v>
      </c>
      <c r="P27" s="65">
        <f t="shared" si="6"/>
        <v>4180</v>
      </c>
    </row>
    <row r="28" spans="1:16">
      <c r="A28" s="62">
        <v>2047</v>
      </c>
      <c r="B28" s="63">
        <v>297.11550119287415</v>
      </c>
      <c r="C28" s="64">
        <v>278.32802043322903</v>
      </c>
      <c r="D28" s="57">
        <f t="shared" si="0"/>
        <v>287.72176081305156</v>
      </c>
      <c r="E28" s="63">
        <v>79.362741700811</v>
      </c>
      <c r="F28" s="64">
        <v>74.34440379265601</v>
      </c>
      <c r="G28" s="58">
        <f t="shared" si="1"/>
        <v>76.853572746733505</v>
      </c>
      <c r="H28" s="59">
        <f t="shared" si="5"/>
        <v>1729.2053868015039</v>
      </c>
      <c r="I28" s="59">
        <f t="shared" si="2"/>
        <v>6455.7001107256146</v>
      </c>
      <c r="J28" s="63">
        <v>217.75275949206318</v>
      </c>
      <c r="K28" s="64">
        <v>203.98361664057302</v>
      </c>
      <c r="L28" s="57">
        <f t="shared" si="3"/>
        <v>210.86818806631811</v>
      </c>
      <c r="M28" s="63">
        <v>0.51168187629246076</v>
      </c>
      <c r="N28" s="64">
        <v>0.47932673707115425</v>
      </c>
      <c r="O28" s="60">
        <f t="shared" si="4"/>
        <v>0.4955043066818075</v>
      </c>
      <c r="P28" s="65">
        <f t="shared" si="6"/>
        <v>4000</v>
      </c>
    </row>
    <row r="29" spans="1:16">
      <c r="A29" s="54">
        <v>2048</v>
      </c>
      <c r="B29" s="55">
        <v>282.62500720993881</v>
      </c>
      <c r="C29" s="56">
        <v>267.41462265241853</v>
      </c>
      <c r="D29" s="57">
        <f t="shared" si="0"/>
        <v>275.01981493117864</v>
      </c>
      <c r="E29" s="55">
        <v>75.492175114861254</v>
      </c>
      <c r="F29" s="56">
        <v>71.429318024059825</v>
      </c>
      <c r="G29" s="58">
        <f t="shared" si="1"/>
        <v>73.460746569460539</v>
      </c>
      <c r="H29" s="59">
        <f t="shared" si="5"/>
        <v>1652.8667978128622</v>
      </c>
      <c r="I29" s="59">
        <f t="shared" si="2"/>
        <v>6170.702711834685</v>
      </c>
      <c r="J29" s="55">
        <v>207.13283209507762</v>
      </c>
      <c r="K29" s="56">
        <v>195.9853046283587</v>
      </c>
      <c r="L29" s="57">
        <f t="shared" si="3"/>
        <v>201.55906836171818</v>
      </c>
      <c r="M29" s="55">
        <v>0.48672685671312294</v>
      </c>
      <c r="N29" s="56">
        <v>0.46053206688130743</v>
      </c>
      <c r="O29" s="60">
        <f t="shared" si="4"/>
        <v>0.47362946179721521</v>
      </c>
      <c r="P29" s="65">
        <f t="shared" si="6"/>
        <v>3820</v>
      </c>
    </row>
    <row r="30" spans="1:16">
      <c r="A30" s="62">
        <v>2049</v>
      </c>
      <c r="B30" s="63">
        <v>268.84122295782026</v>
      </c>
      <c r="C30" s="64">
        <v>256.92914531934724</v>
      </c>
      <c r="D30" s="57">
        <f t="shared" si="0"/>
        <v>262.88518413858378</v>
      </c>
      <c r="E30" s="63">
        <v>71.810378288816608</v>
      </c>
      <c r="F30" s="64">
        <v>68.628534403369358</v>
      </c>
      <c r="G30" s="58">
        <f t="shared" si="1"/>
        <v>70.219456346092983</v>
      </c>
      <c r="H30" s="59">
        <f t="shared" si="5"/>
        <v>1579.9377677870921</v>
      </c>
      <c r="I30" s="59">
        <f t="shared" si="2"/>
        <v>5898.4343330718102</v>
      </c>
      <c r="J30" s="63">
        <v>197.0308446690037</v>
      </c>
      <c r="K30" s="64">
        <v>188.30061091597796</v>
      </c>
      <c r="L30" s="57">
        <f t="shared" si="3"/>
        <v>192.66572779249083</v>
      </c>
      <c r="M30" s="63">
        <v>0.46298890780026547</v>
      </c>
      <c r="N30" s="64">
        <v>0.44247434625055143</v>
      </c>
      <c r="O30" s="60">
        <f t="shared" si="4"/>
        <v>0.45273162702540848</v>
      </c>
      <c r="P30" s="65">
        <f t="shared" si="6"/>
        <v>3650</v>
      </c>
    </row>
    <row r="31" spans="1:16">
      <c r="A31" s="54">
        <v>2050</v>
      </c>
      <c r="B31" s="55">
        <v>255.72968179623555</v>
      </c>
      <c r="C31" s="56">
        <v>246.85480943326144</v>
      </c>
      <c r="D31" s="57">
        <f t="shared" si="0"/>
        <v>251.29224561474848</v>
      </c>
      <c r="E31" s="55">
        <v>68.308144812849591</v>
      </c>
      <c r="F31" s="56">
        <v>65.937571079259172</v>
      </c>
      <c r="G31" s="58">
        <f t="shared" si="1"/>
        <v>67.122857946054381</v>
      </c>
      <c r="H31" s="59">
        <f t="shared" si="5"/>
        <v>1510.2643037862235</v>
      </c>
      <c r="I31" s="59">
        <f t="shared" si="2"/>
        <v>5638.3200674685677</v>
      </c>
      <c r="J31" s="55">
        <v>187.42153698338598</v>
      </c>
      <c r="K31" s="56">
        <v>180.91723835400228</v>
      </c>
      <c r="L31" s="57">
        <f t="shared" si="3"/>
        <v>184.16938766869413</v>
      </c>
      <c r="M31" s="55">
        <v>0.44040867231706066</v>
      </c>
      <c r="N31" s="56">
        <v>0.42512467897335826</v>
      </c>
      <c r="O31" s="60">
        <f t="shared" si="4"/>
        <v>0.43276667564520943</v>
      </c>
      <c r="P31" s="65">
        <f t="shared" si="6"/>
        <v>3490</v>
      </c>
    </row>
    <row r="32" spans="1:16">
      <c r="A32" s="62">
        <v>2051</v>
      </c>
      <c r="B32" s="63">
        <v>243.25759804278388</v>
      </c>
      <c r="C32" s="64">
        <v>237.17549390743685</v>
      </c>
      <c r="D32" s="57">
        <f t="shared" si="0"/>
        <v>240.21654597511036</v>
      </c>
      <c r="E32" s="63">
        <v>64.976717279038354</v>
      </c>
      <c r="F32" s="64">
        <v>63.35212193630786</v>
      </c>
      <c r="G32" s="58">
        <f t="shared" si="1"/>
        <v>64.164419607673111</v>
      </c>
      <c r="H32" s="59">
        <f t="shared" si="5"/>
        <v>1443.699441172645</v>
      </c>
      <c r="I32" s="59">
        <f t="shared" si="2"/>
        <v>5389.8112470445412</v>
      </c>
      <c r="J32" s="63">
        <v>178.28088076374553</v>
      </c>
      <c r="K32" s="64">
        <v>173.82337197112901</v>
      </c>
      <c r="L32" s="57">
        <f t="shared" si="3"/>
        <v>176.05212636743727</v>
      </c>
      <c r="M32" s="63">
        <v>0.41892968791328117</v>
      </c>
      <c r="N32" s="64">
        <v>0.40845530188062429</v>
      </c>
      <c r="O32" s="60">
        <f t="shared" si="4"/>
        <v>0.4136924948969527</v>
      </c>
      <c r="P32" s="65">
        <f t="shared" si="6"/>
        <v>3340</v>
      </c>
    </row>
    <row r="33" spans="1:16">
      <c r="A33" s="54">
        <v>2052</v>
      </c>
      <c r="B33" s="55">
        <v>231.39378499166332</v>
      </c>
      <c r="C33" s="56">
        <v>227.87570977200156</v>
      </c>
      <c r="D33" s="57">
        <f t="shared" si="0"/>
        <v>229.63474738183243</v>
      </c>
      <c r="E33" s="55">
        <v>61.807765383285258</v>
      </c>
      <c r="F33" s="56">
        <v>60.868049704294826</v>
      </c>
      <c r="G33" s="58">
        <f t="shared" si="1"/>
        <v>61.337907543790038</v>
      </c>
      <c r="H33" s="59">
        <f t="shared" si="5"/>
        <v>1380.1029197352759</v>
      </c>
      <c r="I33" s="59">
        <f t="shared" si="2"/>
        <v>5152.3842336783637</v>
      </c>
      <c r="J33" s="55">
        <v>169.58601960837805</v>
      </c>
      <c r="K33" s="56">
        <v>167.00766006770672</v>
      </c>
      <c r="L33" s="57">
        <f t="shared" si="3"/>
        <v>168.29683983804239</v>
      </c>
      <c r="M33" s="55">
        <v>0.39849824594001426</v>
      </c>
      <c r="N33" s="56">
        <v>0.39243954041267792</v>
      </c>
      <c r="O33" s="60">
        <f t="shared" si="4"/>
        <v>0.39546889317634609</v>
      </c>
      <c r="P33" s="65">
        <f t="shared" si="6"/>
        <v>3190</v>
      </c>
    </row>
    <row r="34" spans="1:16">
      <c r="A34" s="62">
        <v>2053</v>
      </c>
      <c r="B34" s="63">
        <v>220.1085769306618</v>
      </c>
      <c r="C34" s="64">
        <v>218.94057538827889</v>
      </c>
      <c r="D34" s="57">
        <f t="shared" si="0"/>
        <v>219.52457615947034</v>
      </c>
      <c r="E34" s="63">
        <v>58.793365095217574</v>
      </c>
      <c r="F34" s="64">
        <v>58.481379337685155</v>
      </c>
      <c r="G34" s="58">
        <f t="shared" si="1"/>
        <v>58.637372216451368</v>
      </c>
      <c r="H34" s="59">
        <f t="shared" si="5"/>
        <v>1319.3408748701559</v>
      </c>
      <c r="I34" s="59">
        <f t="shared" si="2"/>
        <v>4925.5392661819151</v>
      </c>
      <c r="J34" s="63">
        <v>161.31521183544427</v>
      </c>
      <c r="K34" s="64">
        <v>160.45919605059379</v>
      </c>
      <c r="L34" s="57">
        <f t="shared" si="3"/>
        <v>160.88720394301902</v>
      </c>
      <c r="M34" s="63">
        <v>0.37906325715006356</v>
      </c>
      <c r="N34" s="64">
        <v>0.37705176593429229</v>
      </c>
      <c r="O34" s="60">
        <f t="shared" si="4"/>
        <v>0.37805751154217793</v>
      </c>
      <c r="P34" s="65">
        <f t="shared" si="6"/>
        <v>3050</v>
      </c>
    </row>
    <row r="35" spans="1:16">
      <c r="A35" s="54">
        <v>2054</v>
      </c>
      <c r="B35" s="55">
        <v>209.37375496142457</v>
      </c>
      <c r="C35" s="56">
        <v>210.35579263499142</v>
      </c>
      <c r="D35" s="57">
        <f t="shared" si="0"/>
        <v>209.86477379820798</v>
      </c>
      <c r="E35" s="55">
        <v>55.925978843984183</v>
      </c>
      <c r="F35" s="56">
        <v>56.188291654708777</v>
      </c>
      <c r="G35" s="58">
        <f t="shared" si="1"/>
        <v>56.05713524934648</v>
      </c>
      <c r="H35" s="59">
        <f t="shared" si="5"/>
        <v>1261.2855431102957</v>
      </c>
      <c r="I35" s="59">
        <f t="shared" si="2"/>
        <v>4708.7993609451041</v>
      </c>
      <c r="J35" s="55">
        <v>153.44777611744041</v>
      </c>
      <c r="K35" s="56">
        <v>154.16750098028263</v>
      </c>
      <c r="L35" s="57">
        <f t="shared" si="3"/>
        <v>153.80763854886152</v>
      </c>
      <c r="M35" s="55">
        <v>0.36057612394822114</v>
      </c>
      <c r="N35" s="56">
        <v>0.36226735472340166</v>
      </c>
      <c r="O35" s="60">
        <f t="shared" si="4"/>
        <v>0.3614217393358114</v>
      </c>
      <c r="P35" s="65">
        <f t="shared" si="6"/>
        <v>2920</v>
      </c>
    </row>
    <row r="36" spans="1:16">
      <c r="A36" s="62">
        <v>2055</v>
      </c>
      <c r="B36" s="63">
        <v>199.16247643750944</v>
      </c>
      <c r="C36" s="64">
        <v>202.10762402821587</v>
      </c>
      <c r="D36" s="57">
        <f t="shared" si="0"/>
        <v>200.63505023286265</v>
      </c>
      <c r="E36" s="63">
        <v>53.198436670402188</v>
      </c>
      <c r="F36" s="64">
        <v>53.985117225854815</v>
      </c>
      <c r="G36" s="58">
        <f t="shared" si="1"/>
        <v>53.591776948128498</v>
      </c>
      <c r="H36" s="59">
        <f t="shared" si="5"/>
        <v>1205.8149813328912</v>
      </c>
      <c r="I36" s="59">
        <f t="shared" si="2"/>
        <v>4501.7092636427942</v>
      </c>
      <c r="J36" s="63">
        <v>145.96403976710727</v>
      </c>
      <c r="K36" s="64">
        <v>148.12250680236102</v>
      </c>
      <c r="L36" s="57">
        <f t="shared" si="3"/>
        <v>147.04327328473414</v>
      </c>
      <c r="M36" s="63">
        <v>0.34299061887196464</v>
      </c>
      <c r="N36" s="64">
        <v>0.34806264856789282</v>
      </c>
      <c r="O36" s="60">
        <f t="shared" si="4"/>
        <v>0.34552663371992876</v>
      </c>
      <c r="P36" s="65">
        <f t="shared" si="6"/>
        <v>2790</v>
      </c>
    </row>
    <row r="37" spans="1:16">
      <c r="A37" s="54">
        <v>2056</v>
      </c>
      <c r="B37" s="55">
        <v>189.44920784378914</v>
      </c>
      <c r="C37" s="56">
        <v>194.18287073847804</v>
      </c>
      <c r="D37" s="57">
        <f t="shared" si="0"/>
        <v>191.81603929113359</v>
      </c>
      <c r="E37" s="55">
        <v>50.603918298324352</v>
      </c>
      <c r="F37" s="56">
        <v>51.86833050200147</v>
      </c>
      <c r="G37" s="58">
        <f t="shared" si="1"/>
        <v>51.236124400162907</v>
      </c>
      <c r="H37" s="59">
        <f t="shared" si="5"/>
        <v>1152.8127990036655</v>
      </c>
      <c r="I37" s="59">
        <f t="shared" si="2"/>
        <v>4303.8344496136842</v>
      </c>
      <c r="J37" s="55">
        <v>138.84528954546477</v>
      </c>
      <c r="K37" s="56">
        <v>142.3145402364766</v>
      </c>
      <c r="L37" s="57">
        <f t="shared" si="3"/>
        <v>140.57991489097068</v>
      </c>
      <c r="M37" s="55">
        <v>0.32626276899872264</v>
      </c>
      <c r="N37" s="56">
        <v>0.33441491690741793</v>
      </c>
      <c r="O37" s="60">
        <f t="shared" si="4"/>
        <v>0.33033884295307026</v>
      </c>
      <c r="P37" s="65">
        <f t="shared" si="6"/>
        <v>2670</v>
      </c>
    </row>
    <row r="38" spans="1:16">
      <c r="A38" s="62">
        <v>2057</v>
      </c>
      <c r="B38" s="63">
        <v>180.20966094936367</v>
      </c>
      <c r="C38" s="64">
        <v>186.56885146981045</v>
      </c>
      <c r="D38" s="57">
        <f t="shared" si="0"/>
        <v>183.38925620958707</v>
      </c>
      <c r="E38" s="63">
        <v>48.13593608039622</v>
      </c>
      <c r="F38" s="64">
        <v>49.834544172785343</v>
      </c>
      <c r="G38" s="58">
        <f t="shared" si="1"/>
        <v>48.985240126590782</v>
      </c>
      <c r="H38" s="59">
        <f t="shared" si="5"/>
        <v>1102.1679028482927</v>
      </c>
      <c r="I38" s="59">
        <f t="shared" si="2"/>
        <v>4114.7601706336254</v>
      </c>
      <c r="J38" s="63">
        <v>132.07372486896742</v>
      </c>
      <c r="K38" s="64">
        <v>136.73430729702511</v>
      </c>
      <c r="L38" s="57">
        <f t="shared" si="3"/>
        <v>134.40401608299626</v>
      </c>
      <c r="M38" s="63">
        <v>0.31035074599066426</v>
      </c>
      <c r="N38" s="64">
        <v>0.3213023204596489</v>
      </c>
      <c r="O38" s="60">
        <f t="shared" si="4"/>
        <v>0.31582653322515658</v>
      </c>
      <c r="P38" s="65">
        <f t="shared" si="6"/>
        <v>2550</v>
      </c>
    </row>
    <row r="39" spans="1:16">
      <c r="A39" s="54">
        <v>2058</v>
      </c>
      <c r="B39" s="55">
        <v>171.42073207433197</v>
      </c>
      <c r="C39" s="56">
        <v>179.25338216697227</v>
      </c>
      <c r="D39" s="57">
        <f t="shared" si="0"/>
        <v>175.3370571206521</v>
      </c>
      <c r="E39" s="55">
        <v>45.788318775558452</v>
      </c>
      <c r="F39" s="56">
        <v>47.880503746182107</v>
      </c>
      <c r="G39" s="58">
        <f t="shared" si="1"/>
        <v>46.834411260870283</v>
      </c>
      <c r="H39" s="59">
        <f t="shared" si="5"/>
        <v>1053.7742533695814</v>
      </c>
      <c r="I39" s="59">
        <f t="shared" si="2"/>
        <v>3934.0905459131036</v>
      </c>
      <c r="J39" s="55">
        <v>125.63241329877354</v>
      </c>
      <c r="K39" s="56">
        <v>131.37287842079019</v>
      </c>
      <c r="L39" s="57">
        <f t="shared" si="3"/>
        <v>128.50264585978186</v>
      </c>
      <c r="M39" s="55">
        <v>0.29521476150206682</v>
      </c>
      <c r="N39" s="56">
        <v>0.30870387627276602</v>
      </c>
      <c r="O39" s="60">
        <f t="shared" si="4"/>
        <v>0.30195931888741645</v>
      </c>
      <c r="P39" s="65">
        <f t="shared" si="6"/>
        <v>2440</v>
      </c>
    </row>
    <row r="40" spans="1:16">
      <c r="A40" s="62">
        <v>2059</v>
      </c>
      <c r="B40" s="63">
        <v>163.06044431855793</v>
      </c>
      <c r="C40" s="64">
        <v>172.22475651836231</v>
      </c>
      <c r="D40" s="57">
        <f t="shared" si="0"/>
        <v>167.64260041846012</v>
      </c>
      <c r="E40" s="63">
        <v>43.555196117729707</v>
      </c>
      <c r="F40" s="64">
        <v>46.003082340625014</v>
      </c>
      <c r="G40" s="58">
        <f t="shared" si="1"/>
        <v>44.77913922917736</v>
      </c>
      <c r="H40" s="59">
        <f t="shared" si="5"/>
        <v>1007.5306326564906</v>
      </c>
      <c r="I40" s="59">
        <f t="shared" si="2"/>
        <v>3761.4476952508985</v>
      </c>
      <c r="J40" s="63">
        <v>119.50524820082821</v>
      </c>
      <c r="K40" s="64">
        <v>126.22167417773734</v>
      </c>
      <c r="L40" s="57">
        <f t="shared" si="3"/>
        <v>122.86346118928277</v>
      </c>
      <c r="M40" s="63">
        <v>0.28081696768772663</v>
      </c>
      <c r="N40" s="64">
        <v>0.29659942414825907</v>
      </c>
      <c r="O40" s="60">
        <f t="shared" si="4"/>
        <v>0.28870819591799285</v>
      </c>
      <c r="P40" s="65">
        <f t="shared" si="6"/>
        <v>2330</v>
      </c>
    </row>
    <row r="41" spans="1:16">
      <c r="A41" s="54">
        <v>2060</v>
      </c>
      <c r="B41" s="55">
        <v>155.10789260797259</v>
      </c>
      <c r="C41" s="56">
        <v>165.47172722342279</v>
      </c>
      <c r="D41" s="57">
        <f t="shared" si="0"/>
        <v>160.28980991569767</v>
      </c>
      <c r="E41" s="55">
        <v>41.430984137083755</v>
      </c>
      <c r="F41" s="56">
        <v>44.199275681327258</v>
      </c>
      <c r="G41" s="58">
        <f t="shared" si="1"/>
        <v>42.81512990920551</v>
      </c>
      <c r="H41" s="59">
        <f t="shared" si="5"/>
        <v>963.34042295712402</v>
      </c>
      <c r="I41" s="59">
        <f t="shared" si="2"/>
        <v>3596.4709123732628</v>
      </c>
      <c r="J41" s="55">
        <v>113.6769084708888</v>
      </c>
      <c r="K41" s="56">
        <v>121.27245154209555</v>
      </c>
      <c r="L41" s="57">
        <f t="shared" si="3"/>
        <v>117.47468000649218</v>
      </c>
      <c r="M41" s="55">
        <v>0.26712136256363173</v>
      </c>
      <c r="N41" s="56">
        <v>0.28496959438030789</v>
      </c>
      <c r="O41" s="60">
        <f t="shared" si="4"/>
        <v>0.27604547847196981</v>
      </c>
      <c r="P41" s="65">
        <f t="shared" si="6"/>
        <v>2230</v>
      </c>
    </row>
    <row r="42" spans="1:16">
      <c r="A42" s="62">
        <v>2061</v>
      </c>
      <c r="B42" s="63">
        <v>147.54319142100027</v>
      </c>
      <c r="C42" s="64">
        <v>158.98348799455854</v>
      </c>
      <c r="D42" s="57">
        <f t="shared" si="0"/>
        <v>153.26333970777941</v>
      </c>
      <c r="E42" s="63">
        <v>39.410371197216399</v>
      </c>
      <c r="F42" s="64">
        <v>42.466197292801318</v>
      </c>
      <c r="G42" s="58">
        <f t="shared" si="1"/>
        <v>40.938284245008859</v>
      </c>
      <c r="H42" s="59">
        <f t="shared" si="5"/>
        <v>921.11139551269935</v>
      </c>
      <c r="I42" s="59">
        <f t="shared" si="2"/>
        <v>3438.8158765807443</v>
      </c>
      <c r="J42" s="63">
        <v>108.13282022378391</v>
      </c>
      <c r="K42" s="64">
        <v>116.51729070175726</v>
      </c>
      <c r="L42" s="57">
        <f t="shared" si="3"/>
        <v>112.32505546277059</v>
      </c>
      <c r="M42" s="63">
        <v>0.25409369998325004</v>
      </c>
      <c r="N42" s="64">
        <v>0.27379577676012107</v>
      </c>
      <c r="O42" s="60">
        <f t="shared" si="4"/>
        <v>0.26394473837168553</v>
      </c>
      <c r="P42" s="65">
        <f t="shared" si="6"/>
        <v>2130</v>
      </c>
    </row>
    <row r="43" spans="1:16">
      <c r="A43" s="54">
        <v>2062</v>
      </c>
      <c r="B43" s="55">
        <v>140.34742506439679</v>
      </c>
      <c r="C43" s="56">
        <v>152.74965626477203</v>
      </c>
      <c r="D43" s="57">
        <f t="shared" si="0"/>
        <v>146.54854066458441</v>
      </c>
      <c r="E43" s="55">
        <v>37.488304713287668</v>
      </c>
      <c r="F43" s="56">
        <v>40.80107387988248</v>
      </c>
      <c r="G43" s="58">
        <f t="shared" si="1"/>
        <v>39.144689296585071</v>
      </c>
      <c r="H43" s="59">
        <f t="shared" si="5"/>
        <v>880.75550917316411</v>
      </c>
      <c r="I43" s="59">
        <f t="shared" si="2"/>
        <v>3288.1539009131461</v>
      </c>
      <c r="J43" s="55">
        <v>102.85912035110911</v>
      </c>
      <c r="K43" s="56">
        <v>111.94858238488956</v>
      </c>
      <c r="L43" s="57">
        <f t="shared" si="3"/>
        <v>107.40385136799934</v>
      </c>
      <c r="M43" s="55">
        <v>0.24170140400432397</v>
      </c>
      <c r="N43" s="56">
        <v>0.26306009079563136</v>
      </c>
      <c r="O43" s="60">
        <f t="shared" si="4"/>
        <v>0.25238074739997768</v>
      </c>
      <c r="P43" s="65">
        <f t="shared" si="6"/>
        <v>2040</v>
      </c>
    </row>
    <row r="44" spans="1:16">
      <c r="A44" s="62">
        <v>2063</v>
      </c>
      <c r="B44" s="63">
        <v>133.50260037416325</v>
      </c>
      <c r="C44" s="64">
        <v>146.76025657334048</v>
      </c>
      <c r="D44" s="57">
        <f t="shared" si="0"/>
        <v>140.13142847375187</v>
      </c>
      <c r="E44" s="63">
        <v>35.659978517928032</v>
      </c>
      <c r="F44" s="64">
        <v>39.201240889864799</v>
      </c>
      <c r="G44" s="58">
        <f t="shared" si="1"/>
        <v>37.430609703896415</v>
      </c>
      <c r="H44" s="59">
        <f t="shared" si="5"/>
        <v>842.18871833766934</v>
      </c>
      <c r="I44" s="59">
        <f t="shared" si="2"/>
        <v>3144.1712151272991</v>
      </c>
      <c r="J44" s="63">
        <v>97.842621856235212</v>
      </c>
      <c r="K44" s="64">
        <v>107.55901568347568</v>
      </c>
      <c r="L44" s="57">
        <f t="shared" si="3"/>
        <v>102.70081876985545</v>
      </c>
      <c r="M44" s="63">
        <v>0.2299134874320477</v>
      </c>
      <c r="N44" s="64">
        <v>0.2527453570988939</v>
      </c>
      <c r="O44" s="60">
        <f t="shared" si="4"/>
        <v>0.2413294222654708</v>
      </c>
      <c r="P44" s="65">
        <f t="shared" si="6"/>
        <v>1950</v>
      </c>
    </row>
    <row r="45" spans="1:16">
      <c r="A45" s="54">
        <v>2064</v>
      </c>
      <c r="B45" s="55">
        <v>126.9916017232641</v>
      </c>
      <c r="C45" s="56">
        <v>141.00570460295086</v>
      </c>
      <c r="D45" s="57">
        <f t="shared" si="0"/>
        <v>133.99865316310746</v>
      </c>
      <c r="E45" s="55">
        <v>33.920820843316505</v>
      </c>
      <c r="F45" s="56">
        <v>37.664138248648321</v>
      </c>
      <c r="G45" s="58">
        <f t="shared" si="1"/>
        <v>35.792479545982417</v>
      </c>
      <c r="H45" s="59">
        <f t="shared" si="5"/>
        <v>805.33078978460435</v>
      </c>
      <c r="I45" s="59">
        <f t="shared" si="2"/>
        <v>3006.5682818625228</v>
      </c>
      <c r="J45" s="55">
        <v>93.07078087994762</v>
      </c>
      <c r="K45" s="56">
        <v>103.34156635430253</v>
      </c>
      <c r="L45" s="57">
        <f t="shared" si="3"/>
        <v>98.206173617125074</v>
      </c>
      <c r="M45" s="55">
        <v>0.21870047433493886</v>
      </c>
      <c r="N45" s="56">
        <v>0.24283506989539994</v>
      </c>
      <c r="O45" s="60">
        <f t="shared" si="4"/>
        <v>0.23076777211516941</v>
      </c>
      <c r="P45" s="65">
        <f t="shared" si="6"/>
        <v>1860</v>
      </c>
    </row>
    <row r="46" spans="1:16">
      <c r="A46" s="62">
        <v>2065</v>
      </c>
      <c r="B46" s="63">
        <v>120.79814822364439</v>
      </c>
      <c r="C46" s="64">
        <v>135.47679184274733</v>
      </c>
      <c r="D46" s="57">
        <f t="shared" si="0"/>
        <v>128.13747003319585</v>
      </c>
      <c r="E46" s="63">
        <v>32.26648288937978</v>
      </c>
      <c r="F46" s="64">
        <v>36.187306264074387</v>
      </c>
      <c r="G46" s="58">
        <f t="shared" si="1"/>
        <v>34.226894576727084</v>
      </c>
      <c r="H46" s="59">
        <f t="shared" si="5"/>
        <v>770.10512797635943</v>
      </c>
      <c r="I46" s="59">
        <f t="shared" si="2"/>
        <v>2875.0591444450752</v>
      </c>
      <c r="J46" s="63">
        <v>88.531665334264616</v>
      </c>
      <c r="K46" s="64">
        <v>99.289485578672938</v>
      </c>
      <c r="L46" s="57">
        <f t="shared" si="3"/>
        <v>93.910575456468777</v>
      </c>
      <c r="M46" s="63">
        <v>0.20803432633965707</v>
      </c>
      <c r="N46" s="64">
        <v>0.23331337061131646</v>
      </c>
      <c r="O46" s="60">
        <f t="shared" si="4"/>
        <v>0.22067384847548677</v>
      </c>
      <c r="P46" s="65">
        <f t="shared" si="6"/>
        <v>1780</v>
      </c>
    </row>
    <row r="47" spans="1:16">
      <c r="A47" s="54">
        <v>2066</v>
      </c>
      <c r="B47" s="55">
        <v>114.90675301552919</v>
      </c>
      <c r="C47" s="56">
        <v>130.16467085274923</v>
      </c>
      <c r="D47" s="57">
        <f t="shared" si="0"/>
        <v>122.53571193413921</v>
      </c>
      <c r="E47" s="55">
        <v>30.692827949526862</v>
      </c>
      <c r="F47" s="56">
        <v>34.768381689893381</v>
      </c>
      <c r="G47" s="58">
        <f t="shared" si="1"/>
        <v>32.730604819710123</v>
      </c>
      <c r="H47" s="59">
        <f t="shared" si="5"/>
        <v>736.43860844347773</v>
      </c>
      <c r="I47" s="59">
        <f t="shared" si="2"/>
        <v>2749.3708048556505</v>
      </c>
      <c r="J47" s="55">
        <v>84.213925066002332</v>
      </c>
      <c r="K47" s="56">
        <v>95.396289162855851</v>
      </c>
      <c r="L47" s="57">
        <f t="shared" si="3"/>
        <v>89.805107114429092</v>
      </c>
      <c r="M47" s="55">
        <v>0.19788837252046571</v>
      </c>
      <c r="N47" s="56">
        <v>0.22416502249638487</v>
      </c>
      <c r="O47" s="60">
        <f t="shared" si="4"/>
        <v>0.21102669750842529</v>
      </c>
      <c r="P47" s="65">
        <f t="shared" si="6"/>
        <v>1700</v>
      </c>
    </row>
    <row r="48" spans="1:16">
      <c r="A48" s="62">
        <v>2067</v>
      </c>
      <c r="B48" s="63">
        <v>109.30268454220754</v>
      </c>
      <c r="C48" s="64">
        <v>125.0608411060597</v>
      </c>
      <c r="D48" s="57">
        <f t="shared" si="0"/>
        <v>117.18176282413361</v>
      </c>
      <c r="E48" s="63">
        <v>29.19592106672787</v>
      </c>
      <c r="F48" s="64">
        <v>33.405093944066564</v>
      </c>
      <c r="G48" s="58">
        <f t="shared" si="1"/>
        <v>31.300507505397217</v>
      </c>
      <c r="H48" s="59">
        <f t="shared" si="5"/>
        <v>704.2614188714374</v>
      </c>
      <c r="I48" s="59">
        <f t="shared" si="2"/>
        <v>2629.242630453366</v>
      </c>
      <c r="J48" s="63">
        <v>80.106763475479639</v>
      </c>
      <c r="K48" s="64">
        <v>91.655747161993133</v>
      </c>
      <c r="L48" s="57">
        <f t="shared" si="3"/>
        <v>85.881255318736379</v>
      </c>
      <c r="M48" s="63">
        <v>0.18823724270802553</v>
      </c>
      <c r="N48" s="64">
        <v>0.21537538624186955</v>
      </c>
      <c r="O48" s="60">
        <f t="shared" si="4"/>
        <v>0.20180631447494754</v>
      </c>
      <c r="P48" s="65">
        <f t="shared" si="6"/>
        <v>1630</v>
      </c>
    </row>
    <row r="49" spans="1:16">
      <c r="A49" s="54">
        <v>2068</v>
      </c>
      <c r="B49" s="55">
        <v>103.97192971346718</v>
      </c>
      <c r="C49" s="56">
        <v>120.15713538620889</v>
      </c>
      <c r="D49" s="57">
        <f t="shared" si="0"/>
        <v>112.06453254983803</v>
      </c>
      <c r="E49" s="55">
        <v>27.772019194071827</v>
      </c>
      <c r="F49" s="56">
        <v>32.095261475350384</v>
      </c>
      <c r="G49" s="58">
        <f t="shared" si="1"/>
        <v>29.933640334711107</v>
      </c>
      <c r="H49" s="59">
        <f t="shared" si="5"/>
        <v>673.50690753099991</v>
      </c>
      <c r="I49" s="59">
        <f t="shared" si="2"/>
        <v>2514.4257881157332</v>
      </c>
      <c r="J49" s="55">
        <v>76.19991051939536</v>
      </c>
      <c r="K49" s="56">
        <v>88.061873910858495</v>
      </c>
      <c r="L49" s="57">
        <f t="shared" si="3"/>
        <v>82.13089221512692</v>
      </c>
      <c r="M49" s="55">
        <v>0.17905680405075639</v>
      </c>
      <c r="N49" s="56">
        <v>0.20693039655454085</v>
      </c>
      <c r="O49" s="60">
        <f t="shared" si="4"/>
        <v>0.19299360030264862</v>
      </c>
      <c r="P49" s="65">
        <f t="shared" si="6"/>
        <v>1560</v>
      </c>
    </row>
    <row r="50" spans="1:16">
      <c r="A50" s="62">
        <v>2069</v>
      </c>
      <c r="B50" s="63">
        <v>98.901158865570068</v>
      </c>
      <c r="C50" s="64">
        <v>115.44570671786541</v>
      </c>
      <c r="D50" s="57">
        <f t="shared" si="0"/>
        <v>107.17343279171774</v>
      </c>
      <c r="E50" s="63">
        <v>26.417561835199727</v>
      </c>
      <c r="F50" s="64">
        <v>30.836788272349061</v>
      </c>
      <c r="G50" s="58">
        <f t="shared" si="1"/>
        <v>28.627175053774394</v>
      </c>
      <c r="H50" s="59">
        <f t="shared" si="5"/>
        <v>644.11143870992385</v>
      </c>
      <c r="I50" s="59">
        <f t="shared" si="2"/>
        <v>2404.6827045170489</v>
      </c>
      <c r="J50" s="63">
        <v>72.483597030370333</v>
      </c>
      <c r="K50" s="64">
        <v>84.608918445516352</v>
      </c>
      <c r="L50" s="57">
        <f t="shared" si="3"/>
        <v>78.546257737943336</v>
      </c>
      <c r="M50" s="63">
        <v>0.17032410067013809</v>
      </c>
      <c r="N50" s="64">
        <v>0.19881653964920512</v>
      </c>
      <c r="O50" s="60">
        <f t="shared" si="4"/>
        <v>0.18457032015967162</v>
      </c>
      <c r="P50" s="65">
        <f t="shared" si="6"/>
        <v>1490</v>
      </c>
    </row>
    <row r="51" spans="1:16">
      <c r="A51" s="54">
        <v>2070</v>
      </c>
      <c r="B51" s="55">
        <v>94.077692430149867</v>
      </c>
      <c r="C51" s="56">
        <v>110.9190158100015</v>
      </c>
      <c r="D51" s="57">
        <f t="shared" si="0"/>
        <v>102.49835412007567</v>
      </c>
      <c r="E51" s="55">
        <v>25.129162141209058</v>
      </c>
      <c r="F51" s="56">
        <v>29.627660509449193</v>
      </c>
      <c r="G51" s="58">
        <f t="shared" si="1"/>
        <v>27.378411325329125</v>
      </c>
      <c r="H51" s="59">
        <f t="shared" si="5"/>
        <v>616.01425481990532</v>
      </c>
      <c r="I51" s="59">
        <f t="shared" si="2"/>
        <v>2299.7865513276465</v>
      </c>
      <c r="J51" s="55">
        <v>68.94853028894083</v>
      </c>
      <c r="K51" s="56">
        <v>81.291355300552326</v>
      </c>
      <c r="L51" s="57">
        <f t="shared" si="3"/>
        <v>75.119942794746578</v>
      </c>
      <c r="M51" s="55">
        <v>0.16201729625905711</v>
      </c>
      <c r="N51" s="56">
        <v>0.19102083162376546</v>
      </c>
      <c r="O51" s="60">
        <f t="shared" si="4"/>
        <v>0.17651906394141129</v>
      </c>
      <c r="P51" s="65">
        <f t="shared" si="6"/>
        <v>1420</v>
      </c>
    </row>
    <row r="52" spans="1:16">
      <c r="A52" s="62">
        <v>2071</v>
      </c>
      <c r="B52" s="63">
        <v>89.489469228686673</v>
      </c>
      <c r="C52" s="64">
        <v>106.56981899141903</v>
      </c>
      <c r="D52" s="57">
        <f t="shared" si="0"/>
        <v>98.029644110052857</v>
      </c>
      <c r="E52" s="63">
        <v>23.903598441767429</v>
      </c>
      <c r="F52" s="64">
        <v>28.465943324269123</v>
      </c>
      <c r="G52" s="58">
        <f t="shared" si="1"/>
        <v>26.184770883018274</v>
      </c>
      <c r="H52" s="59">
        <f t="shared" si="5"/>
        <v>589.15734486791121</v>
      </c>
      <c r="I52" s="59">
        <f t="shared" si="2"/>
        <v>2199.5207541735349</v>
      </c>
      <c r="J52" s="63">
        <v>65.585870786919244</v>
      </c>
      <c r="K52" s="64">
        <v>78.103875667149893</v>
      </c>
      <c r="L52" s="57">
        <f t="shared" si="3"/>
        <v>71.844873227034569</v>
      </c>
      <c r="M52" s="63">
        <v>0.1541156194796646</v>
      </c>
      <c r="N52" s="64">
        <v>0.18353079768220798</v>
      </c>
      <c r="O52" s="60">
        <f t="shared" si="4"/>
        <v>0.1688232085809363</v>
      </c>
      <c r="P52" s="65">
        <f t="shared" si="6"/>
        <v>1360</v>
      </c>
    </row>
    <row r="53" spans="1:16">
      <c r="A53" s="54">
        <v>2072</v>
      </c>
      <c r="B53" s="55">
        <v>85.125016313277968</v>
      </c>
      <c r="C53" s="56">
        <v>102.39115661933008</v>
      </c>
      <c r="D53" s="57">
        <f t="shared" si="0"/>
        <v>93.758086466304022</v>
      </c>
      <c r="E53" s="55">
        <v>22.737806189258595</v>
      </c>
      <c r="F53" s="56">
        <v>27.349777721466349</v>
      </c>
      <c r="G53" s="58">
        <f t="shared" si="1"/>
        <v>25.043791955362472</v>
      </c>
      <c r="H53" s="59">
        <f t="shared" si="5"/>
        <v>563.48531899565558</v>
      </c>
      <c r="I53" s="59">
        <f t="shared" si="2"/>
        <v>2103.6785242504475</v>
      </c>
      <c r="J53" s="55">
        <v>62.387210124019383</v>
      </c>
      <c r="K53" s="56">
        <v>75.041378897863737</v>
      </c>
      <c r="L53" s="57">
        <f t="shared" si="3"/>
        <v>68.714294510941556</v>
      </c>
      <c r="M53" s="55">
        <v>0.14659931202421236</v>
      </c>
      <c r="N53" s="56">
        <v>0.17633445217226706</v>
      </c>
      <c r="O53" s="60">
        <f t="shared" si="4"/>
        <v>0.16146688209823973</v>
      </c>
      <c r="P53" s="65">
        <f t="shared" si="6"/>
        <v>1300</v>
      </c>
    </row>
    <row r="54" spans="1:16" ht="15" thickBot="1">
      <c r="A54" s="66">
        <v>2073</v>
      </c>
      <c r="B54" s="67">
        <v>80.97342027829329</v>
      </c>
      <c r="C54" s="68">
        <v>98.376341942443844</v>
      </c>
      <c r="D54" s="69">
        <f t="shared" si="0"/>
        <v>89.674881110368574</v>
      </c>
      <c r="E54" s="67">
        <v>21.628870295817226</v>
      </c>
      <c r="F54" s="68">
        <v>26.277377597948362</v>
      </c>
      <c r="G54" s="70">
        <f t="shared" si="1"/>
        <v>23.953123946882794</v>
      </c>
      <c r="H54" s="59">
        <f t="shared" si="5"/>
        <v>538.94528880486291</v>
      </c>
      <c r="I54" s="71">
        <f t="shared" si="2"/>
        <v>2012.0624115381547</v>
      </c>
      <c r="J54" s="67">
        <v>59.344549982476074</v>
      </c>
      <c r="K54" s="68">
        <v>72.098964344495471</v>
      </c>
      <c r="L54" s="69">
        <f t="shared" si="3"/>
        <v>65.721757163485776</v>
      </c>
      <c r="M54" s="67">
        <v>0.13944957920899217</v>
      </c>
      <c r="N54" s="68">
        <v>0.16942027940582463</v>
      </c>
      <c r="O54" s="72">
        <f t="shared" si="4"/>
        <v>0.1544349293074084</v>
      </c>
      <c r="P54" s="73">
        <f t="shared" si="6"/>
        <v>1250</v>
      </c>
    </row>
    <row r="55" spans="1:16" ht="15.5" thickTop="1" thickBot="1">
      <c r="A55" s="74" t="s">
        <v>103</v>
      </c>
      <c r="B55" s="75">
        <f t="shared" ref="B55:O55" si="7">SUM(B5:B54)</f>
        <v>17660.725969241259</v>
      </c>
      <c r="C55" s="76">
        <f t="shared" si="7"/>
        <v>15401.128253898396</v>
      </c>
      <c r="D55" s="77">
        <f t="shared" si="7"/>
        <v>16530.927111569825</v>
      </c>
      <c r="E55" s="78">
        <f t="shared" si="7"/>
        <v>4717.3696011095726</v>
      </c>
      <c r="F55" s="76">
        <f t="shared" si="7"/>
        <v>4113.8067808914284</v>
      </c>
      <c r="G55" s="79">
        <f t="shared" si="7"/>
        <v>4415.5881910004991</v>
      </c>
      <c r="H55" s="79">
        <f t="shared" si="7"/>
        <v>99350.734297511255</v>
      </c>
      <c r="I55" s="79">
        <f t="shared" si="7"/>
        <v>370909.40804404183</v>
      </c>
      <c r="J55" s="78">
        <f t="shared" si="7"/>
        <v>12943.356368131681</v>
      </c>
      <c r="K55" s="76">
        <f t="shared" si="7"/>
        <v>11287.32147300697</v>
      </c>
      <c r="L55" s="77">
        <f>SUM(L5:L54)</f>
        <v>12115.338920569326</v>
      </c>
      <c r="M55" s="78">
        <f t="shared" si="7"/>
        <v>30.414681712490495</v>
      </c>
      <c r="N55" s="76">
        <f t="shared" si="7"/>
        <v>26.523281923483037</v>
      </c>
      <c r="O55" s="80">
        <f t="shared" si="7"/>
        <v>28.468981817986762</v>
      </c>
      <c r="P55" s="81">
        <f>SUM(P5:P54)</f>
        <v>229800</v>
      </c>
    </row>
    <row r="56" spans="1:16" ht="16.5">
      <c r="D56" s="82"/>
      <c r="G56" s="83" t="s">
        <v>106</v>
      </c>
      <c r="H56" s="82">
        <f>H55+L55</f>
        <v>111466.07321808058</v>
      </c>
      <c r="I56" s="82">
        <f>I55+L55</f>
        <v>383024.74696461117</v>
      </c>
    </row>
    <row r="57" spans="1:16">
      <c r="G57" s="84"/>
      <c r="H57" s="82"/>
      <c r="I57" s="82"/>
    </row>
    <row r="58" spans="1:16" ht="46.25" customHeight="1">
      <c r="A58" s="145" t="s">
        <v>107</v>
      </c>
      <c r="B58" s="145"/>
      <c r="C58" s="145"/>
      <c r="D58" s="145"/>
      <c r="E58" s="145"/>
      <c r="F58" s="145"/>
      <c r="G58" s="145"/>
      <c r="H58" s="145"/>
      <c r="I58" s="145"/>
    </row>
    <row r="59" spans="1:16" ht="33" customHeight="1">
      <c r="A59" s="145" t="s">
        <v>104</v>
      </c>
      <c r="B59" s="145"/>
      <c r="C59" s="145"/>
      <c r="D59" s="145"/>
      <c r="E59" s="145"/>
      <c r="F59" s="145"/>
      <c r="G59" s="145"/>
      <c r="H59" s="145"/>
      <c r="I59" s="145"/>
    </row>
  </sheetData>
  <mergeCells count="8">
    <mergeCell ref="A58:I58"/>
    <mergeCell ref="A59:I59"/>
    <mergeCell ref="A1:O1"/>
    <mergeCell ref="A3:A4"/>
    <mergeCell ref="B3:D3"/>
    <mergeCell ref="E3:I3"/>
    <mergeCell ref="J3:L3"/>
    <mergeCell ref="M3:O3"/>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workbookViewId="0">
      <selection activeCell="H13" sqref="H13"/>
    </sheetView>
  </sheetViews>
  <sheetFormatPr defaultColWidth="8.6640625" defaultRowHeight="14.5"/>
  <cols>
    <col min="1" max="16384" width="8.6640625" style="29"/>
  </cols>
  <sheetData>
    <row r="1" spans="1:10">
      <c r="A1" s="86" t="s">
        <v>108</v>
      </c>
    </row>
    <row r="3" spans="1:10">
      <c r="A3" s="29" t="s">
        <v>109</v>
      </c>
    </row>
    <row r="4" spans="1:10">
      <c r="A4" s="29" t="s">
        <v>110</v>
      </c>
    </row>
    <row r="5" spans="1:10">
      <c r="A5" s="29" t="s">
        <v>111</v>
      </c>
      <c r="C5" s="29">
        <v>21</v>
      </c>
      <c r="D5" s="29" t="s">
        <v>112</v>
      </c>
    </row>
    <row r="6" spans="1:10">
      <c r="A6" s="29" t="s">
        <v>113</v>
      </c>
      <c r="F6" s="29">
        <v>0.5</v>
      </c>
      <c r="G6" s="29" t="s">
        <v>114</v>
      </c>
    </row>
    <row r="7" spans="1:10">
      <c r="A7" s="29" t="s">
        <v>115</v>
      </c>
      <c r="D7" s="29">
        <v>1194</v>
      </c>
      <c r="E7" s="29" t="s">
        <v>116</v>
      </c>
      <c r="F7" s="29" t="s">
        <v>117</v>
      </c>
    </row>
    <row r="10" spans="1:10">
      <c r="A10" s="29" t="s">
        <v>118</v>
      </c>
      <c r="C10" s="29">
        <f>F6*C5</f>
        <v>10.5</v>
      </c>
      <c r="D10" s="29" t="s">
        <v>119</v>
      </c>
    </row>
    <row r="11" spans="1:10">
      <c r="A11" s="29" t="s">
        <v>120</v>
      </c>
      <c r="C11" s="29">
        <f>C10*D7</f>
        <v>12537</v>
      </c>
      <c r="D11" s="29" t="s">
        <v>116</v>
      </c>
    </row>
    <row r="13" spans="1:10">
      <c r="A13" s="29" t="s">
        <v>121</v>
      </c>
      <c r="G13" s="88">
        <v>8758</v>
      </c>
      <c r="H13" s="29" t="s">
        <v>144</v>
      </c>
      <c r="J13" s="87" t="s">
        <v>122</v>
      </c>
    </row>
  </sheetData>
  <hyperlinks>
    <hyperlink ref="J13" r:id="rId1" location="results"/>
  </hyperlinks>
  <pageMargins left="0.7" right="0.7" top="0.75" bottom="0.75" header="0.3" footer="0.3"/>
  <pageSetup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1"/>
  <sheetViews>
    <sheetView topLeftCell="A52" workbookViewId="0">
      <selection activeCell="A74" sqref="A74:A81"/>
    </sheetView>
  </sheetViews>
  <sheetFormatPr defaultRowHeight="14"/>
  <cols>
    <col min="1" max="1" width="10.33203125" bestFit="1" customWidth="1"/>
    <col min="2" max="2" width="14.6640625" customWidth="1"/>
    <col min="3" max="3" width="16.4140625" bestFit="1" customWidth="1"/>
    <col min="4" max="4" width="10.58203125" bestFit="1" customWidth="1"/>
    <col min="6" max="6" width="11.33203125" bestFit="1" customWidth="1"/>
    <col min="9" max="9" width="10.9140625" bestFit="1" customWidth="1"/>
  </cols>
  <sheetData>
    <row r="1" spans="1:16" ht="18">
      <c r="A1" s="153" t="s">
        <v>23</v>
      </c>
      <c r="B1" s="153"/>
      <c r="C1" s="153"/>
      <c r="D1" s="153"/>
      <c r="E1" s="153"/>
      <c r="F1" s="153"/>
    </row>
    <row r="2" spans="1:16">
      <c r="E2" s="1"/>
      <c r="F2" s="1"/>
    </row>
    <row r="3" spans="1:16">
      <c r="A3" s="2" t="s">
        <v>2</v>
      </c>
      <c r="B3" s="2" t="s">
        <v>3</v>
      </c>
      <c r="C3" s="2" t="s">
        <v>4</v>
      </c>
      <c r="D3" s="2" t="s">
        <v>5</v>
      </c>
      <c r="E3" s="3" t="s">
        <v>6</v>
      </c>
      <c r="F3" s="3" t="s">
        <v>7</v>
      </c>
    </row>
    <row r="4" spans="1:16" ht="14.5">
      <c r="A4" s="4" t="s">
        <v>8</v>
      </c>
      <c r="B4">
        <v>7600004008</v>
      </c>
      <c r="C4" t="s">
        <v>9</v>
      </c>
      <c r="D4">
        <v>98</v>
      </c>
      <c r="E4" s="1">
        <v>428</v>
      </c>
      <c r="F4" s="1">
        <f>D4*E4</f>
        <v>41944</v>
      </c>
      <c r="I4" s="24"/>
    </row>
    <row r="5" spans="1:16">
      <c r="C5" t="s">
        <v>10</v>
      </c>
      <c r="D5">
        <v>36</v>
      </c>
      <c r="E5" s="1">
        <v>525</v>
      </c>
      <c r="F5" s="1">
        <f>D5*E5</f>
        <v>18900</v>
      </c>
      <c r="I5" s="25"/>
    </row>
    <row r="6" spans="1:16">
      <c r="B6">
        <v>7600005175</v>
      </c>
      <c r="C6" t="s">
        <v>9</v>
      </c>
      <c r="D6">
        <v>21</v>
      </c>
      <c r="E6" s="1">
        <v>470</v>
      </c>
      <c r="F6" s="1">
        <f>D6*E6</f>
        <v>9870</v>
      </c>
      <c r="I6" s="25"/>
    </row>
    <row r="7" spans="1:16">
      <c r="C7" t="s">
        <v>10</v>
      </c>
      <c r="D7">
        <v>5</v>
      </c>
      <c r="E7" s="1">
        <v>531</v>
      </c>
      <c r="F7" s="1">
        <f>D7*E7</f>
        <v>2655</v>
      </c>
      <c r="I7" s="25"/>
      <c r="J7" s="25"/>
      <c r="K7" s="25"/>
    </row>
    <row r="8" spans="1:16">
      <c r="A8" s="5"/>
      <c r="B8" s="5"/>
      <c r="C8" s="5" t="s">
        <v>11</v>
      </c>
      <c r="D8" s="5">
        <v>1</v>
      </c>
      <c r="E8" s="6">
        <v>531</v>
      </c>
      <c r="F8" s="6">
        <f>D8*E8</f>
        <v>531</v>
      </c>
      <c r="I8" s="25"/>
      <c r="J8" s="25"/>
      <c r="K8" s="25"/>
    </row>
    <row r="9" spans="1:16">
      <c r="A9" s="7" t="s">
        <v>12</v>
      </c>
      <c r="B9" s="7"/>
      <c r="C9" s="7"/>
      <c r="D9" s="7">
        <f>SUM(D4:D8)</f>
        <v>161</v>
      </c>
      <c r="E9" s="8"/>
      <c r="F9" s="8">
        <f>SUM(F4:F8)</f>
        <v>73900</v>
      </c>
      <c r="I9" s="25"/>
      <c r="J9" s="25"/>
      <c r="K9" s="25"/>
    </row>
    <row r="10" spans="1:16" ht="14.5">
      <c r="A10" s="9"/>
      <c r="B10" s="9"/>
      <c r="C10" s="9" t="s">
        <v>13</v>
      </c>
      <c r="D10" s="10">
        <v>8500</v>
      </c>
      <c r="E10" s="11"/>
      <c r="F10" s="10"/>
      <c r="I10" s="25"/>
      <c r="J10" s="25"/>
      <c r="K10" s="25"/>
    </row>
    <row r="11" spans="1:16" ht="14.5">
      <c r="A11" s="9"/>
      <c r="B11" s="9"/>
      <c r="C11" s="9" t="s">
        <v>14</v>
      </c>
      <c r="D11" s="10">
        <v>1368500</v>
      </c>
      <c r="E11" s="11"/>
      <c r="F11" s="10"/>
      <c r="I11" s="25"/>
      <c r="J11" s="25"/>
      <c r="K11" s="25"/>
    </row>
    <row r="12" spans="1:16" ht="14.5">
      <c r="A12" s="9"/>
      <c r="B12" s="9"/>
      <c r="C12" s="9" t="s">
        <v>15</v>
      </c>
      <c r="D12" s="9">
        <f>D11/D10</f>
        <v>161</v>
      </c>
      <c r="E12" s="11"/>
      <c r="F12" s="11"/>
      <c r="H12" s="16"/>
      <c r="I12" s="24"/>
      <c r="J12" s="24"/>
      <c r="K12" s="24"/>
      <c r="L12" s="16"/>
      <c r="M12" s="16"/>
      <c r="N12" s="16"/>
      <c r="O12" s="16"/>
      <c r="P12" s="16"/>
    </row>
    <row r="13" spans="1:16" ht="14.5">
      <c r="A13" s="9"/>
      <c r="B13" s="9"/>
      <c r="C13" s="9" t="s">
        <v>16</v>
      </c>
      <c r="D13" s="9">
        <f>D12-D9</f>
        <v>0</v>
      </c>
      <c r="E13" s="11"/>
      <c r="F13" s="11"/>
      <c r="H13" s="16"/>
      <c r="I13" s="24"/>
      <c r="J13" s="16"/>
      <c r="K13" s="16"/>
      <c r="L13" s="16"/>
      <c r="M13" s="16"/>
      <c r="N13" s="16"/>
      <c r="O13" s="16"/>
      <c r="P13" s="16"/>
    </row>
    <row r="14" spans="1:16" ht="14.5">
      <c r="E14" s="1"/>
      <c r="F14" s="1"/>
      <c r="H14" s="16"/>
      <c r="K14" s="16"/>
      <c r="L14" s="16"/>
      <c r="M14" s="16"/>
      <c r="N14" s="16"/>
      <c r="O14" s="16"/>
      <c r="P14" s="16"/>
    </row>
    <row r="15" spans="1:16" ht="14.5">
      <c r="A15" s="4" t="s">
        <v>17</v>
      </c>
      <c r="B15">
        <v>7600005750</v>
      </c>
      <c r="C15" t="s">
        <v>9</v>
      </c>
      <c r="D15">
        <v>58</v>
      </c>
      <c r="E15" s="1">
        <v>470</v>
      </c>
      <c r="F15" s="1">
        <f t="shared" ref="F15:F20" si="0">D15*E15</f>
        <v>27260</v>
      </c>
      <c r="H15" s="16"/>
      <c r="K15" s="16"/>
      <c r="L15" s="16"/>
      <c r="M15" s="16"/>
      <c r="N15" s="16"/>
      <c r="O15" s="16"/>
      <c r="P15" s="16"/>
    </row>
    <row r="16" spans="1:16">
      <c r="C16" t="s">
        <v>10</v>
      </c>
      <c r="D16">
        <v>22</v>
      </c>
      <c r="E16" s="1">
        <v>531</v>
      </c>
      <c r="F16" s="1">
        <f t="shared" si="0"/>
        <v>11682</v>
      </c>
    </row>
    <row r="17" spans="1:6">
      <c r="C17" t="s">
        <v>9</v>
      </c>
      <c r="D17">
        <v>22</v>
      </c>
      <c r="E17" s="1">
        <v>470</v>
      </c>
      <c r="F17" s="1">
        <f t="shared" si="0"/>
        <v>10340</v>
      </c>
    </row>
    <row r="18" spans="1:6">
      <c r="C18" t="s">
        <v>10</v>
      </c>
      <c r="D18">
        <v>6</v>
      </c>
      <c r="E18" s="1">
        <v>531</v>
      </c>
      <c r="F18" s="1">
        <f t="shared" si="0"/>
        <v>3186</v>
      </c>
    </row>
    <row r="19" spans="1:6">
      <c r="C19" t="s">
        <v>9</v>
      </c>
      <c r="D19">
        <v>33</v>
      </c>
      <c r="E19" s="1">
        <v>493</v>
      </c>
      <c r="F19" s="1">
        <f t="shared" si="0"/>
        <v>16269</v>
      </c>
    </row>
    <row r="20" spans="1:6">
      <c r="A20" s="5"/>
      <c r="B20" s="5"/>
      <c r="C20" s="5" t="s">
        <v>10</v>
      </c>
      <c r="D20" s="5">
        <v>17</v>
      </c>
      <c r="E20" s="6">
        <v>554</v>
      </c>
      <c r="F20" s="6">
        <f t="shared" si="0"/>
        <v>9418</v>
      </c>
    </row>
    <row r="21" spans="1:6">
      <c r="A21" s="7" t="s">
        <v>18</v>
      </c>
      <c r="B21" s="7"/>
      <c r="C21" s="7"/>
      <c r="D21" s="7">
        <f>SUM(D15:D20)</f>
        <v>158</v>
      </c>
      <c r="E21" s="8"/>
      <c r="F21" s="8">
        <f>SUM(F15:F20)</f>
        <v>78155</v>
      </c>
    </row>
    <row r="22" spans="1:6" ht="14.5">
      <c r="A22" s="9"/>
      <c r="B22" s="9"/>
      <c r="C22" s="9" t="s">
        <v>13</v>
      </c>
      <c r="D22" s="10">
        <v>8500</v>
      </c>
      <c r="E22" s="11"/>
      <c r="F22" s="10"/>
    </row>
    <row r="23" spans="1:6" ht="14.5">
      <c r="A23" s="9"/>
      <c r="B23" s="9"/>
      <c r="C23" s="9" t="s">
        <v>14</v>
      </c>
      <c r="D23" s="10">
        <v>1389500</v>
      </c>
      <c r="E23" s="11"/>
      <c r="F23" s="10"/>
    </row>
    <row r="24" spans="1:6" ht="14.5">
      <c r="A24" s="9"/>
      <c r="B24" s="9"/>
      <c r="C24" s="9" t="s">
        <v>15</v>
      </c>
      <c r="D24" s="12">
        <f>D23/D22</f>
        <v>163.47058823529412</v>
      </c>
      <c r="E24" s="11"/>
      <c r="F24" s="11"/>
    </row>
    <row r="25" spans="1:6" ht="14.5">
      <c r="A25" s="9"/>
      <c r="B25" s="9"/>
      <c r="C25" s="13" t="s">
        <v>16</v>
      </c>
      <c r="D25" s="14">
        <f>D24-D21</f>
        <v>5.470588235294116</v>
      </c>
      <c r="E25" s="11"/>
      <c r="F25" s="11"/>
    </row>
    <row r="26" spans="1:6">
      <c r="E26" s="1"/>
      <c r="F26" s="1"/>
    </row>
    <row r="27" spans="1:6">
      <c r="A27" s="4" t="s">
        <v>19</v>
      </c>
      <c r="B27">
        <v>7600008457</v>
      </c>
      <c r="C27" t="s">
        <v>9</v>
      </c>
      <c r="D27">
        <v>114</v>
      </c>
      <c r="E27" s="1">
        <v>493</v>
      </c>
      <c r="F27" s="1">
        <f>D27*E27</f>
        <v>56202</v>
      </c>
    </row>
    <row r="28" spans="1:6">
      <c r="C28" t="s">
        <v>10</v>
      </c>
      <c r="D28">
        <v>44</v>
      </c>
      <c r="E28" s="1">
        <v>554</v>
      </c>
      <c r="F28" s="1">
        <f>D28*E28</f>
        <v>24376</v>
      </c>
    </row>
    <row r="29" spans="1:6">
      <c r="C29" t="s">
        <v>9</v>
      </c>
      <c r="D29">
        <v>11</v>
      </c>
      <c r="E29" s="1">
        <v>543</v>
      </c>
      <c r="F29" s="1">
        <f>D29*E29</f>
        <v>5973</v>
      </c>
    </row>
    <row r="30" spans="1:6">
      <c r="C30" t="s">
        <v>10</v>
      </c>
      <c r="D30">
        <v>2</v>
      </c>
      <c r="E30" s="1">
        <v>604</v>
      </c>
      <c r="F30" s="1">
        <f>D30*E30</f>
        <v>1208</v>
      </c>
    </row>
    <row r="31" spans="1:6">
      <c r="A31" s="7" t="s">
        <v>20</v>
      </c>
      <c r="B31" s="7"/>
      <c r="C31" s="7"/>
      <c r="D31" s="7">
        <f>SUM(D27:D30)</f>
        <v>171</v>
      </c>
      <c r="E31" s="8"/>
      <c r="F31" s="8">
        <f>SUM(F27:F30)</f>
        <v>87759</v>
      </c>
    </row>
    <row r="32" spans="1:6" ht="14.5">
      <c r="A32" s="9"/>
      <c r="B32" s="9"/>
      <c r="C32" s="9" t="s">
        <v>13</v>
      </c>
      <c r="D32" s="10">
        <v>8500</v>
      </c>
      <c r="E32" s="11"/>
      <c r="F32" s="10"/>
    </row>
    <row r="33" spans="1:6" ht="14.5">
      <c r="A33" s="9"/>
      <c r="B33" s="9"/>
      <c r="C33" s="9" t="s">
        <v>14</v>
      </c>
      <c r="D33" s="10">
        <v>1453500</v>
      </c>
      <c r="E33" s="11"/>
      <c r="F33" s="10"/>
    </row>
    <row r="34" spans="1:6" ht="14.5">
      <c r="A34" s="9"/>
      <c r="B34" s="9"/>
      <c r="C34" s="9" t="s">
        <v>15</v>
      </c>
      <c r="D34" s="9">
        <f>D33/D32</f>
        <v>171</v>
      </c>
      <c r="E34" s="11"/>
      <c r="F34" s="11"/>
    </row>
    <row r="35" spans="1:6" ht="14.5">
      <c r="A35" s="9"/>
      <c r="B35" s="9"/>
      <c r="C35" s="9" t="s">
        <v>16</v>
      </c>
      <c r="D35" s="9">
        <f>D34-D31</f>
        <v>0</v>
      </c>
      <c r="E35" s="11"/>
      <c r="F35" s="11"/>
    </row>
    <row r="36" spans="1:6">
      <c r="E36" s="1"/>
      <c r="F36" s="1"/>
    </row>
    <row r="37" spans="1:6">
      <c r="E37" s="1"/>
      <c r="F37" s="1"/>
    </row>
    <row r="38" spans="1:6">
      <c r="A38" s="4" t="s">
        <v>21</v>
      </c>
      <c r="B38">
        <v>7600011335</v>
      </c>
      <c r="C38" t="s">
        <v>9</v>
      </c>
      <c r="D38">
        <v>118</v>
      </c>
      <c r="E38" s="1">
        <v>543</v>
      </c>
      <c r="F38" s="1">
        <f>D38*E38</f>
        <v>64074</v>
      </c>
    </row>
    <row r="39" spans="1:6">
      <c r="C39" t="s">
        <v>10</v>
      </c>
      <c r="D39">
        <v>47</v>
      </c>
      <c r="E39" s="1">
        <v>604</v>
      </c>
      <c r="F39" s="1">
        <f>D39*E39</f>
        <v>28388</v>
      </c>
    </row>
    <row r="40" spans="1:6">
      <c r="C40" t="s">
        <v>9</v>
      </c>
      <c r="D40">
        <v>1</v>
      </c>
      <c r="E40" s="1">
        <v>493</v>
      </c>
      <c r="F40" s="1">
        <f>D40*E40</f>
        <v>493</v>
      </c>
    </row>
    <row r="41" spans="1:6">
      <c r="C41" t="s">
        <v>9</v>
      </c>
      <c r="D41">
        <v>17</v>
      </c>
      <c r="E41" s="1">
        <v>568</v>
      </c>
      <c r="F41" s="1">
        <f>D41*E41</f>
        <v>9656</v>
      </c>
    </row>
    <row r="42" spans="1:6">
      <c r="C42" t="s">
        <v>10</v>
      </c>
      <c r="D42">
        <v>7</v>
      </c>
      <c r="E42" s="1">
        <v>629</v>
      </c>
      <c r="F42" s="1">
        <f>D42*E42</f>
        <v>4403</v>
      </c>
    </row>
    <row r="43" spans="1:6">
      <c r="A43" s="7" t="s">
        <v>22</v>
      </c>
      <c r="B43" s="7"/>
      <c r="C43" s="7"/>
      <c r="D43" s="7">
        <f>SUM(D38:D42)</f>
        <v>190</v>
      </c>
      <c r="E43" s="8"/>
      <c r="F43" s="8">
        <f>SUM(F38:F42)</f>
        <v>107014</v>
      </c>
    </row>
    <row r="44" spans="1:6" ht="14.5">
      <c r="A44" s="9"/>
      <c r="B44" s="9"/>
      <c r="C44" s="9" t="s">
        <v>13</v>
      </c>
      <c r="D44" s="10">
        <v>8500</v>
      </c>
      <c r="E44" s="11"/>
      <c r="F44" s="10"/>
    </row>
    <row r="45" spans="1:6" ht="14.5">
      <c r="A45" s="9"/>
      <c r="B45" s="9"/>
      <c r="C45" s="9" t="s">
        <v>14</v>
      </c>
      <c r="D45" s="10">
        <v>1581000</v>
      </c>
      <c r="E45" s="11"/>
      <c r="F45" s="10"/>
    </row>
    <row r="46" spans="1:6" ht="14.5">
      <c r="A46" s="9"/>
      <c r="B46" s="9"/>
      <c r="C46" s="9" t="s">
        <v>15</v>
      </c>
      <c r="D46" s="9">
        <f>D45/D44</f>
        <v>186</v>
      </c>
      <c r="E46" s="11"/>
      <c r="F46" s="11"/>
    </row>
    <row r="47" spans="1:6" ht="14.5">
      <c r="A47" s="9"/>
      <c r="B47" s="9"/>
      <c r="C47" s="13" t="s">
        <v>16</v>
      </c>
      <c r="D47" s="15">
        <f>D46-D43</f>
        <v>-4</v>
      </c>
      <c r="E47" s="11"/>
      <c r="F47" s="11"/>
    </row>
    <row r="50" spans="1:6" ht="14.5">
      <c r="A50" s="23" t="s">
        <v>32</v>
      </c>
      <c r="C50" s="16"/>
      <c r="F50" s="85" t="s">
        <v>163</v>
      </c>
    </row>
    <row r="51" spans="1:6" ht="14.5">
      <c r="B51" s="17"/>
      <c r="C51" s="16"/>
    </row>
    <row r="53" spans="1:6" ht="14.5">
      <c r="A53" t="s">
        <v>33</v>
      </c>
      <c r="B53" s="16">
        <v>32</v>
      </c>
      <c r="C53" s="16" t="s">
        <v>24</v>
      </c>
    </row>
    <row r="54" spans="1:6" ht="14.5">
      <c r="A54" t="s">
        <v>35</v>
      </c>
      <c r="B54" s="16" t="s">
        <v>25</v>
      </c>
    </row>
    <row r="56" spans="1:6" ht="14.5">
      <c r="A56" t="s">
        <v>34</v>
      </c>
      <c r="B56" s="20">
        <f>35.4675*32</f>
        <v>1134.96</v>
      </c>
      <c r="C56" s="16" t="s">
        <v>26</v>
      </c>
    </row>
    <row r="57" spans="1:6">
      <c r="A57" t="s">
        <v>36</v>
      </c>
      <c r="B57" s="20">
        <v>161.80000000000001</v>
      </c>
      <c r="C57" s="18" t="s">
        <v>27</v>
      </c>
    </row>
    <row r="58" spans="1:6">
      <c r="A58" t="s">
        <v>37</v>
      </c>
      <c r="B58" s="19">
        <f>B56*B57</f>
        <v>183636.52800000002</v>
      </c>
      <c r="C58" t="s">
        <v>28</v>
      </c>
    </row>
    <row r="60" spans="1:6">
      <c r="A60" t="s">
        <v>39</v>
      </c>
      <c r="B60" s="21">
        <v>1000000</v>
      </c>
      <c r="C60" t="s">
        <v>29</v>
      </c>
    </row>
    <row r="61" spans="1:6">
      <c r="A61" t="s">
        <v>38</v>
      </c>
      <c r="B61" s="22">
        <f>B58/B60</f>
        <v>0.18363652800000002</v>
      </c>
      <c r="C61" t="s">
        <v>30</v>
      </c>
    </row>
    <row r="63" spans="1:6">
      <c r="A63" t="s">
        <v>5</v>
      </c>
      <c r="B63">
        <f>(D9+D21+D31+D43)/4</f>
        <v>170</v>
      </c>
      <c r="C63" t="s">
        <v>31</v>
      </c>
    </row>
    <row r="64" spans="1:6">
      <c r="A64" s="26" t="s">
        <v>37</v>
      </c>
      <c r="B64" s="27">
        <f>B61*B63</f>
        <v>31.218209760000004</v>
      </c>
      <c r="C64" s="28" t="s">
        <v>145</v>
      </c>
      <c r="D64" s="26"/>
      <c r="E64" s="26"/>
      <c r="F64" s="26"/>
    </row>
    <row r="67" spans="1:4" ht="14.5">
      <c r="A67" s="30">
        <v>98000</v>
      </c>
      <c r="B67" s="29" t="s">
        <v>40</v>
      </c>
      <c r="C67" s="29" t="s">
        <v>42</v>
      </c>
      <c r="D67" s="29"/>
    </row>
    <row r="68" spans="1:4" ht="14.5">
      <c r="A68" s="30">
        <v>185000</v>
      </c>
      <c r="B68" s="29" t="s">
        <v>41</v>
      </c>
      <c r="C68" s="29" t="s">
        <v>42</v>
      </c>
      <c r="D68" s="29"/>
    </row>
    <row r="69" spans="1:4" ht="14.5">
      <c r="A69" s="29"/>
      <c r="B69" s="29"/>
      <c r="C69" s="29"/>
      <c r="D69" s="29"/>
    </row>
    <row r="70" spans="1:4" ht="14.5">
      <c r="A70" s="29"/>
      <c r="B70" s="29"/>
      <c r="C70" s="29"/>
      <c r="D70" s="29"/>
    </row>
    <row r="71" spans="1:4" ht="14.5">
      <c r="A71" s="29"/>
      <c r="B71" s="29"/>
      <c r="C71" s="29"/>
      <c r="D71" s="29"/>
    </row>
    <row r="72" spans="1:4" ht="14.5">
      <c r="A72" s="29"/>
      <c r="B72" s="29"/>
      <c r="C72" s="29"/>
      <c r="D72" s="29"/>
    </row>
    <row r="73" spans="1:4" ht="14.5">
      <c r="A73" s="29"/>
      <c r="B73" s="29"/>
      <c r="C73" s="29"/>
      <c r="D73" s="29"/>
    </row>
    <row r="74" spans="1:4" ht="14.5">
      <c r="A74" s="31">
        <v>2100</v>
      </c>
      <c r="B74" s="32" t="s">
        <v>46</v>
      </c>
      <c r="C74" s="32"/>
      <c r="D74" s="32"/>
    </row>
    <row r="75" spans="1:4" ht="14.5">
      <c r="A75" s="33">
        <f>2100*2</f>
        <v>4200</v>
      </c>
      <c r="B75" s="29" t="s">
        <v>47</v>
      </c>
      <c r="C75" s="29"/>
      <c r="D75" s="29"/>
    </row>
    <row r="76" spans="1:4" ht="14.5">
      <c r="A76" s="29"/>
      <c r="B76" s="29"/>
      <c r="C76" s="29"/>
      <c r="D76" s="29"/>
    </row>
    <row r="77" spans="1:4" ht="14.5">
      <c r="A77" s="30">
        <v>4200</v>
      </c>
      <c r="B77" s="29" t="s">
        <v>48</v>
      </c>
      <c r="C77" s="29"/>
      <c r="D77" s="29"/>
    </row>
    <row r="78" spans="1:4" ht="14.5">
      <c r="A78" s="29"/>
      <c r="B78" s="29"/>
      <c r="C78" s="29"/>
      <c r="D78" s="29"/>
    </row>
    <row r="79" spans="1:4" ht="14.5">
      <c r="A79" s="34">
        <f>A77*30</f>
        <v>126000</v>
      </c>
      <c r="B79" s="29" t="s">
        <v>49</v>
      </c>
      <c r="C79" s="29"/>
      <c r="D79" s="29"/>
    </row>
    <row r="80" spans="1:4" ht="14.5">
      <c r="A80" s="30">
        <v>134400</v>
      </c>
      <c r="B80" s="29" t="s">
        <v>45</v>
      </c>
      <c r="C80" s="29" t="s">
        <v>42</v>
      </c>
      <c r="D80" s="29"/>
    </row>
    <row r="81" spans="1:4" ht="14.5">
      <c r="A81" s="30">
        <v>218400</v>
      </c>
      <c r="B81" s="29" t="s">
        <v>44</v>
      </c>
      <c r="C81" s="29" t="s">
        <v>42</v>
      </c>
      <c r="D81" s="29"/>
    </row>
  </sheetData>
  <mergeCells count="1">
    <mergeCell ref="A1:F1"/>
  </mergeCells>
  <hyperlinks>
    <hyperlink ref="F50" r:id="rId1"/>
  </hyperlinks>
  <pageMargins left="0.7" right="0.7" top="0.75" bottom="0.75" header="0.3" footer="0.3"/>
  <pageSetup orientation="portrait"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topLeftCell="A13" workbookViewId="0">
      <selection activeCell="F14" sqref="F14"/>
    </sheetView>
  </sheetViews>
  <sheetFormatPr defaultColWidth="13.75" defaultRowHeight="14"/>
  <cols>
    <col min="2" max="2" width="32.6640625" customWidth="1"/>
    <col min="3" max="3" width="5.08203125" bestFit="1" customWidth="1"/>
    <col min="6" max="6" width="16.25" customWidth="1"/>
    <col min="8" max="8" width="148.4140625" bestFit="1" customWidth="1"/>
  </cols>
  <sheetData>
    <row r="1" spans="1:22">
      <c r="A1" t="s">
        <v>52</v>
      </c>
      <c r="B1" t="s">
        <v>123</v>
      </c>
      <c r="C1" t="s">
        <v>53</v>
      </c>
      <c r="D1" t="s">
        <v>54</v>
      </c>
      <c r="E1" t="s">
        <v>55</v>
      </c>
      <c r="F1" t="s">
        <v>56</v>
      </c>
      <c r="G1" t="s">
        <v>57</v>
      </c>
      <c r="H1" t="s">
        <v>6</v>
      </c>
    </row>
    <row r="2" spans="1:22">
      <c r="A2" s="35">
        <v>44927</v>
      </c>
      <c r="B2" t="s">
        <v>124</v>
      </c>
      <c r="C2" t="s">
        <v>58</v>
      </c>
      <c r="D2" s="35">
        <v>44897</v>
      </c>
      <c r="E2" s="35">
        <v>44930</v>
      </c>
      <c r="F2">
        <v>28.685269000000002</v>
      </c>
      <c r="G2" s="36">
        <v>312.33</v>
      </c>
      <c r="H2">
        <v>10.94358795</v>
      </c>
      <c r="J2" s="36"/>
      <c r="M2" s="36"/>
      <c r="O2" s="36"/>
      <c r="P2" s="37"/>
      <c r="U2" s="35"/>
      <c r="V2" s="35"/>
    </row>
    <row r="3" spans="1:22">
      <c r="A3" s="35">
        <v>44958</v>
      </c>
      <c r="B3" t="s">
        <v>124</v>
      </c>
      <c r="C3" t="s">
        <v>58</v>
      </c>
      <c r="D3" s="35">
        <v>44931</v>
      </c>
      <c r="E3" s="35">
        <v>44958</v>
      </c>
      <c r="F3">
        <v>24.031701999999999</v>
      </c>
      <c r="G3" s="36">
        <v>234.96</v>
      </c>
      <c r="H3">
        <v>9.8268506900000006</v>
      </c>
      <c r="J3" s="36"/>
      <c r="M3" s="36"/>
      <c r="O3" s="36"/>
      <c r="P3" s="37"/>
      <c r="U3" s="35"/>
      <c r="V3" s="35"/>
    </row>
    <row r="4" spans="1:22">
      <c r="A4" s="35">
        <v>44986</v>
      </c>
      <c r="B4" t="s">
        <v>124</v>
      </c>
      <c r="C4" t="s">
        <v>58</v>
      </c>
      <c r="D4" s="35">
        <v>44959</v>
      </c>
      <c r="E4" s="35">
        <v>44988</v>
      </c>
      <c r="F4">
        <v>25.479032</v>
      </c>
      <c r="G4" s="36">
        <v>221.98</v>
      </c>
      <c r="H4">
        <v>8.7566074999999994</v>
      </c>
      <c r="J4" s="36"/>
      <c r="M4" s="36"/>
      <c r="O4" s="36"/>
      <c r="P4" s="37"/>
      <c r="U4" s="35"/>
      <c r="V4" s="35"/>
    </row>
    <row r="5" spans="1:22">
      <c r="A5" s="35">
        <v>45017</v>
      </c>
      <c r="B5" t="s">
        <v>124</v>
      </c>
      <c r="C5" t="s">
        <v>58</v>
      </c>
      <c r="D5" s="35">
        <v>44989</v>
      </c>
      <c r="E5" s="35">
        <v>45019</v>
      </c>
      <c r="F5">
        <v>20.614395999999999</v>
      </c>
      <c r="G5" s="36">
        <v>152.85</v>
      </c>
      <c r="H5">
        <v>7.4524622100000002</v>
      </c>
      <c r="J5" s="36"/>
      <c r="M5" s="36"/>
      <c r="O5" s="36"/>
      <c r="P5" s="37"/>
      <c r="U5" s="35"/>
      <c r="V5" s="35"/>
    </row>
    <row r="6" spans="1:22">
      <c r="A6" s="35">
        <v>45047</v>
      </c>
      <c r="B6" t="s">
        <v>124</v>
      </c>
      <c r="C6" t="s">
        <v>58</v>
      </c>
      <c r="D6" s="35">
        <v>45020</v>
      </c>
      <c r="E6" s="35">
        <v>45050</v>
      </c>
      <c r="F6">
        <v>11.799757</v>
      </c>
      <c r="G6" s="36">
        <v>91.94</v>
      </c>
      <c r="H6">
        <v>7.8313458300000001</v>
      </c>
      <c r="J6" s="36"/>
      <c r="M6" s="36"/>
      <c r="O6" s="36"/>
      <c r="P6" s="37"/>
      <c r="U6" s="35"/>
      <c r="V6" s="35"/>
    </row>
    <row r="7" spans="1:22">
      <c r="A7" s="35">
        <v>45078</v>
      </c>
      <c r="B7" t="s">
        <v>124</v>
      </c>
      <c r="C7" t="s">
        <v>58</v>
      </c>
      <c r="D7" s="35">
        <v>45051</v>
      </c>
      <c r="E7" s="35">
        <v>45078</v>
      </c>
      <c r="F7">
        <v>0.723665</v>
      </c>
      <c r="G7" s="36">
        <v>22.18</v>
      </c>
      <c r="H7">
        <v>30.805555559999998</v>
      </c>
      <c r="J7" s="36"/>
      <c r="M7" s="36"/>
      <c r="O7" s="36"/>
      <c r="P7" s="37"/>
      <c r="U7" s="35"/>
      <c r="V7" s="35"/>
    </row>
    <row r="8" spans="1:22">
      <c r="A8" s="35">
        <v>45108</v>
      </c>
      <c r="B8" t="s">
        <v>124</v>
      </c>
      <c r="C8" t="s">
        <v>58</v>
      </c>
      <c r="D8" s="35">
        <v>45079</v>
      </c>
      <c r="E8" s="35">
        <v>45109</v>
      </c>
      <c r="F8">
        <v>0.62315600000000004</v>
      </c>
      <c r="G8" s="36">
        <v>21.14</v>
      </c>
      <c r="H8">
        <v>34.096774189999998</v>
      </c>
      <c r="J8" s="36"/>
      <c r="M8" s="36"/>
      <c r="O8" s="36"/>
      <c r="P8" s="37"/>
      <c r="U8" s="35"/>
      <c r="V8" s="35"/>
    </row>
    <row r="9" spans="1:22">
      <c r="A9" s="35">
        <v>45139</v>
      </c>
      <c r="B9" t="s">
        <v>124</v>
      </c>
      <c r="C9" t="s">
        <v>58</v>
      </c>
      <c r="D9" s="35">
        <v>45110</v>
      </c>
      <c r="E9" s="35">
        <v>45140</v>
      </c>
      <c r="F9">
        <v>0.21106900000000001</v>
      </c>
      <c r="G9" s="36">
        <v>19.04</v>
      </c>
      <c r="H9">
        <v>90.666666669999998</v>
      </c>
      <c r="J9" s="36"/>
      <c r="M9" s="36"/>
      <c r="O9" s="36"/>
      <c r="P9" s="37"/>
      <c r="U9" s="35"/>
      <c r="V9" s="35"/>
    </row>
    <row r="10" spans="1:22">
      <c r="A10" s="35">
        <v>45170</v>
      </c>
      <c r="B10" t="s">
        <v>124</v>
      </c>
      <c r="C10" t="s">
        <v>58</v>
      </c>
      <c r="D10" s="35">
        <v>45141</v>
      </c>
      <c r="E10" s="35">
        <v>45170</v>
      </c>
      <c r="F10">
        <v>0.31157800000000002</v>
      </c>
      <c r="G10" s="36">
        <v>20.329999999999998</v>
      </c>
      <c r="H10">
        <v>65.580645160000003</v>
      </c>
      <c r="J10" s="36"/>
      <c r="M10" s="36"/>
      <c r="O10" s="36"/>
      <c r="P10" s="37"/>
      <c r="U10" s="35"/>
      <c r="V10" s="35"/>
    </row>
    <row r="11" spans="1:22">
      <c r="A11" s="35">
        <v>45200</v>
      </c>
      <c r="B11" t="s">
        <v>124</v>
      </c>
      <c r="C11" t="s">
        <v>58</v>
      </c>
      <c r="D11" s="35">
        <v>45171</v>
      </c>
      <c r="E11" s="35">
        <v>45201</v>
      </c>
      <c r="F11">
        <v>5.3772320000000002</v>
      </c>
      <c r="G11" s="36">
        <v>53.17</v>
      </c>
      <c r="H11">
        <v>9.9383177600000003</v>
      </c>
      <c r="J11" s="36"/>
      <c r="M11" s="36"/>
      <c r="O11" s="36"/>
      <c r="P11" s="37"/>
      <c r="U11" s="35"/>
      <c r="V11" s="35"/>
    </row>
    <row r="12" spans="1:22">
      <c r="A12" s="35">
        <v>45200</v>
      </c>
      <c r="B12" t="s">
        <v>124</v>
      </c>
      <c r="C12" t="s">
        <v>58</v>
      </c>
      <c r="D12" s="35">
        <v>45202</v>
      </c>
      <c r="E12" s="35">
        <v>45230</v>
      </c>
      <c r="F12">
        <v>2.1709939999999999</v>
      </c>
      <c r="G12" s="36">
        <v>33.130000000000003</v>
      </c>
      <c r="H12">
        <v>15.33796296</v>
      </c>
      <c r="J12" s="36"/>
      <c r="M12" s="36"/>
      <c r="O12" s="36"/>
      <c r="P12" s="37"/>
      <c r="U12" s="35"/>
      <c r="V12" s="35"/>
    </row>
    <row r="13" spans="1:22">
      <c r="A13" s="35">
        <v>45261</v>
      </c>
      <c r="B13" t="s">
        <v>124</v>
      </c>
      <c r="C13" t="s">
        <v>58</v>
      </c>
      <c r="D13" s="35">
        <v>45231</v>
      </c>
      <c r="E13" s="35">
        <v>45261</v>
      </c>
      <c r="F13" s="5">
        <v>19.669611</v>
      </c>
      <c r="G13" s="36">
        <v>157.15</v>
      </c>
      <c r="H13">
        <v>8.0301481900000002</v>
      </c>
      <c r="J13" s="36"/>
      <c r="M13" s="36"/>
      <c r="O13" s="36"/>
      <c r="P13" s="37"/>
      <c r="U13" s="35"/>
      <c r="V13" s="35"/>
    </row>
    <row r="14" spans="1:22">
      <c r="E14" s="89" t="s">
        <v>125</v>
      </c>
      <c r="F14" s="135">
        <f>SUM(F2:F13)</f>
        <v>139.69746099999998</v>
      </c>
      <c r="G14" s="38" t="s">
        <v>59</v>
      </c>
      <c r="H14" t="s">
        <v>63</v>
      </c>
    </row>
    <row r="15" spans="1:22">
      <c r="F15" s="134">
        <f>F14*10</f>
        <v>1396.9746099999998</v>
      </c>
      <c r="G15" s="38" t="s">
        <v>60</v>
      </c>
      <c r="H15" t="s">
        <v>61</v>
      </c>
    </row>
    <row r="16" spans="1:22">
      <c r="F16" s="39">
        <f>F15*100000</f>
        <v>139697460.99999997</v>
      </c>
      <c r="G16" s="38" t="s">
        <v>62</v>
      </c>
    </row>
    <row r="18" spans="2:8">
      <c r="F18" t="s">
        <v>79</v>
      </c>
      <c r="H18" t="s">
        <v>80</v>
      </c>
    </row>
    <row r="19" spans="2:8">
      <c r="F19">
        <v>14.43</v>
      </c>
      <c r="G19" t="s">
        <v>82</v>
      </c>
    </row>
    <row r="21" spans="2:8">
      <c r="F21" s="22">
        <f>F15*0.1</f>
        <v>139.69746099999998</v>
      </c>
      <c r="G21" t="s">
        <v>81</v>
      </c>
    </row>
    <row r="22" spans="2:8">
      <c r="F22" s="22">
        <f>F21*F19</f>
        <v>2015.8343622299997</v>
      </c>
      <c r="G22" t="s">
        <v>83</v>
      </c>
    </row>
    <row r="24" spans="2:8">
      <c r="F24">
        <v>5.3E-3</v>
      </c>
      <c r="G24" t="s">
        <v>84</v>
      </c>
    </row>
    <row r="25" spans="2:8">
      <c r="F25" s="39">
        <v>1396.97461</v>
      </c>
      <c r="G25" s="38" t="s">
        <v>60</v>
      </c>
    </row>
    <row r="26" spans="2:8">
      <c r="F26" s="90">
        <f>F25*F24</f>
        <v>7.4039654329999998</v>
      </c>
      <c r="G26" s="26" t="s">
        <v>43</v>
      </c>
      <c r="H26" t="s">
        <v>126</v>
      </c>
    </row>
    <row r="28" spans="2:8">
      <c r="B28" s="102"/>
      <c r="F28" s="90"/>
      <c r="G28" s="26"/>
    </row>
    <row r="30" spans="2:8">
      <c r="F30" s="129"/>
      <c r="G30" s="103"/>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topLeftCell="A19" workbookViewId="0">
      <selection activeCell="G26" sqref="G26"/>
    </sheetView>
  </sheetViews>
  <sheetFormatPr defaultColWidth="0" defaultRowHeight="14"/>
  <cols>
    <col min="1" max="1" width="7.9140625" bestFit="1" customWidth="1"/>
    <col min="2" max="2" width="5.75" bestFit="1" customWidth="1"/>
    <col min="3" max="3" width="50.08203125" customWidth="1"/>
    <col min="4" max="4" width="12.25" bestFit="1" customWidth="1"/>
    <col min="5" max="5" width="9.08203125" bestFit="1" customWidth="1"/>
    <col min="6" max="6" width="9.25" bestFit="1" customWidth="1"/>
    <col min="7" max="7" width="10.4140625" bestFit="1" customWidth="1"/>
    <col min="8" max="8" width="50.6640625" bestFit="1" customWidth="1"/>
    <col min="9" max="16384" width="8.6640625" hidden="1"/>
  </cols>
  <sheetData>
    <row r="1" spans="1:8">
      <c r="A1" t="s">
        <v>50</v>
      </c>
      <c r="B1" t="s">
        <v>53</v>
      </c>
      <c r="C1" t="s">
        <v>51</v>
      </c>
      <c r="D1" t="s">
        <v>64</v>
      </c>
      <c r="E1" t="s">
        <v>54</v>
      </c>
      <c r="F1" t="s">
        <v>55</v>
      </c>
      <c r="G1" t="s">
        <v>65</v>
      </c>
    </row>
    <row r="2" spans="1:8">
      <c r="A2">
        <v>2023</v>
      </c>
      <c r="B2" t="s">
        <v>58</v>
      </c>
      <c r="C2" t="s">
        <v>66</v>
      </c>
      <c r="D2" s="35">
        <v>44927</v>
      </c>
      <c r="E2" s="35">
        <v>44897</v>
      </c>
      <c r="F2" s="35">
        <v>44929</v>
      </c>
      <c r="G2">
        <v>170127</v>
      </c>
    </row>
    <row r="3" spans="1:8">
      <c r="A3">
        <v>2023</v>
      </c>
      <c r="B3" t="s">
        <v>58</v>
      </c>
      <c r="C3" t="s">
        <v>67</v>
      </c>
      <c r="D3" s="35">
        <v>44958</v>
      </c>
      <c r="E3" s="35">
        <v>44930</v>
      </c>
      <c r="F3" s="35">
        <v>44958</v>
      </c>
      <c r="G3">
        <v>177485</v>
      </c>
    </row>
    <row r="4" spans="1:8">
      <c r="A4">
        <v>2023</v>
      </c>
      <c r="B4" t="s">
        <v>58</v>
      </c>
      <c r="C4" t="s">
        <v>68</v>
      </c>
      <c r="D4" s="35">
        <v>44986</v>
      </c>
      <c r="E4" s="35">
        <v>44959</v>
      </c>
      <c r="F4" s="35">
        <v>44986</v>
      </c>
      <c r="G4">
        <v>172062</v>
      </c>
    </row>
    <row r="5" spans="1:8">
      <c r="A5">
        <v>2023</v>
      </c>
      <c r="B5" t="s">
        <v>58</v>
      </c>
      <c r="C5" t="s">
        <v>69</v>
      </c>
      <c r="D5" s="35">
        <v>45017</v>
      </c>
      <c r="E5" s="35">
        <v>44987</v>
      </c>
      <c r="F5" s="35">
        <v>45019</v>
      </c>
      <c r="G5">
        <v>214954</v>
      </c>
    </row>
    <row r="6" spans="1:8">
      <c r="A6">
        <v>2023</v>
      </c>
      <c r="B6" t="s">
        <v>58</v>
      </c>
      <c r="C6" t="s">
        <v>70</v>
      </c>
      <c r="D6" s="35">
        <v>45047</v>
      </c>
      <c r="E6" s="35">
        <v>45020</v>
      </c>
      <c r="F6" s="35">
        <v>45048</v>
      </c>
      <c r="G6">
        <v>160054</v>
      </c>
    </row>
    <row r="7" spans="1:8">
      <c r="A7">
        <v>2023</v>
      </c>
      <c r="B7" t="s">
        <v>58</v>
      </c>
      <c r="C7" t="s">
        <v>71</v>
      </c>
      <c r="D7" s="35">
        <v>45078</v>
      </c>
      <c r="E7" s="35">
        <v>45049</v>
      </c>
      <c r="F7" s="35">
        <v>45078</v>
      </c>
      <c r="G7">
        <v>151787</v>
      </c>
    </row>
    <row r="8" spans="1:8">
      <c r="A8">
        <v>2023</v>
      </c>
      <c r="B8" t="s">
        <v>58</v>
      </c>
      <c r="C8" t="s">
        <v>72</v>
      </c>
      <c r="D8" s="35">
        <v>45108</v>
      </c>
      <c r="E8" s="35">
        <v>45079</v>
      </c>
      <c r="F8" s="35">
        <v>45110</v>
      </c>
      <c r="G8">
        <v>154865</v>
      </c>
    </row>
    <row r="9" spans="1:8">
      <c r="A9">
        <v>2023</v>
      </c>
      <c r="B9" t="s">
        <v>58</v>
      </c>
      <c r="C9" t="s">
        <v>73</v>
      </c>
      <c r="D9" s="35">
        <v>45139</v>
      </c>
      <c r="E9" s="35">
        <v>45111</v>
      </c>
      <c r="F9" s="35">
        <v>45140</v>
      </c>
      <c r="G9">
        <v>158723</v>
      </c>
    </row>
    <row r="10" spans="1:8">
      <c r="A10">
        <v>2023</v>
      </c>
      <c r="B10" t="s">
        <v>58</v>
      </c>
      <c r="C10" t="s">
        <v>74</v>
      </c>
      <c r="D10" s="35">
        <v>45170</v>
      </c>
      <c r="E10" s="35">
        <v>45141</v>
      </c>
      <c r="F10" s="35">
        <v>45170</v>
      </c>
      <c r="G10">
        <v>157540</v>
      </c>
    </row>
    <row r="11" spans="1:8">
      <c r="A11">
        <v>2023</v>
      </c>
      <c r="B11" t="s">
        <v>58</v>
      </c>
      <c r="C11" t="s">
        <v>75</v>
      </c>
      <c r="D11" s="35">
        <v>45200</v>
      </c>
      <c r="E11" s="35">
        <v>45171</v>
      </c>
      <c r="F11" s="35">
        <v>45201</v>
      </c>
      <c r="G11">
        <v>142440</v>
      </c>
    </row>
    <row r="12" spans="1:8">
      <c r="A12">
        <v>2023</v>
      </c>
      <c r="B12" t="s">
        <v>58</v>
      </c>
      <c r="C12" t="s">
        <v>76</v>
      </c>
      <c r="D12" s="35">
        <v>45231</v>
      </c>
      <c r="E12" s="35">
        <v>45202</v>
      </c>
      <c r="F12" s="35">
        <v>45230</v>
      </c>
      <c r="G12">
        <v>129473</v>
      </c>
    </row>
    <row r="13" spans="1:8">
      <c r="A13">
        <v>2023</v>
      </c>
      <c r="B13" t="s">
        <v>58</v>
      </c>
      <c r="C13" t="s">
        <v>77</v>
      </c>
      <c r="D13" s="35">
        <v>45261</v>
      </c>
      <c r="E13" s="35">
        <v>45231</v>
      </c>
      <c r="F13" s="35">
        <v>45261</v>
      </c>
      <c r="G13">
        <v>148743</v>
      </c>
    </row>
    <row r="14" spans="1:8">
      <c r="A14">
        <v>2024</v>
      </c>
      <c r="B14" t="s">
        <v>58</v>
      </c>
      <c r="C14" t="s">
        <v>78</v>
      </c>
      <c r="D14" s="35">
        <v>45292</v>
      </c>
      <c r="E14" s="35">
        <v>45262</v>
      </c>
      <c r="F14" s="35">
        <v>45293</v>
      </c>
      <c r="G14">
        <v>167629</v>
      </c>
    </row>
    <row r="15" spans="1:8">
      <c r="G15" s="92">
        <f>SUM(G2:G14)</f>
        <v>2105882</v>
      </c>
      <c r="H15" s="93" t="s">
        <v>128</v>
      </c>
    </row>
    <row r="16" spans="1:8">
      <c r="C16" t="s">
        <v>235</v>
      </c>
      <c r="D16" t="s">
        <v>236</v>
      </c>
      <c r="F16" s="89" t="s">
        <v>127</v>
      </c>
      <c r="G16" s="94">
        <v>787618</v>
      </c>
      <c r="H16" s="93" t="s">
        <v>132</v>
      </c>
    </row>
    <row r="17" spans="3:8">
      <c r="C17" t="s">
        <v>227</v>
      </c>
      <c r="D17" s="131">
        <v>3.4000000000000002E-2</v>
      </c>
      <c r="E17" s="132"/>
      <c r="G17" s="92">
        <f>G15-G16</f>
        <v>1318264</v>
      </c>
      <c r="H17" s="93" t="s">
        <v>133</v>
      </c>
    </row>
    <row r="18" spans="3:8">
      <c r="C18" t="s">
        <v>228</v>
      </c>
      <c r="D18" s="131">
        <v>7.0000000000000001E-3</v>
      </c>
      <c r="E18" s="132"/>
      <c r="G18" s="92">
        <f>G17*0.034</f>
        <v>44820.976000000002</v>
      </c>
      <c r="H18" s="93" t="s">
        <v>131</v>
      </c>
    </row>
    <row r="19" spans="3:8">
      <c r="C19" t="s">
        <v>229</v>
      </c>
      <c r="D19" s="131">
        <v>2.5000000000000001E-2</v>
      </c>
      <c r="E19" s="132"/>
      <c r="G19" s="91"/>
      <c r="H19" s="26"/>
    </row>
    <row r="20" spans="3:8">
      <c r="C20" t="s">
        <v>230</v>
      </c>
      <c r="D20" s="131">
        <v>0.03</v>
      </c>
      <c r="E20" s="132"/>
      <c r="G20" s="104">
        <f>G18</f>
        <v>44820.976000000002</v>
      </c>
      <c r="H20" s="93" t="s">
        <v>129</v>
      </c>
    </row>
    <row r="21" spans="3:8">
      <c r="C21" t="s">
        <v>231</v>
      </c>
      <c r="D21" s="131">
        <v>1.2999999999999999E-2</v>
      </c>
      <c r="E21" s="132"/>
      <c r="F21" s="89" t="s">
        <v>165</v>
      </c>
      <c r="G21" s="141">
        <v>5457.5640000000003</v>
      </c>
      <c r="H21" s="93" t="s">
        <v>130</v>
      </c>
    </row>
    <row r="22" spans="3:8">
      <c r="C22" t="s">
        <v>232</v>
      </c>
      <c r="D22" s="131">
        <v>1E-3</v>
      </c>
      <c r="E22" s="132"/>
      <c r="G22" s="142">
        <f>SUM(G20:G21)</f>
        <v>50278.54</v>
      </c>
      <c r="H22" s="103" t="s">
        <v>166</v>
      </c>
    </row>
    <row r="23" spans="3:8">
      <c r="C23" t="s">
        <v>233</v>
      </c>
      <c r="D23" s="131">
        <v>4.7E-2</v>
      </c>
      <c r="E23" s="132"/>
      <c r="G23" s="117"/>
      <c r="H23" s="26" t="s">
        <v>167</v>
      </c>
    </row>
    <row r="24" spans="3:8">
      <c r="C24" t="s">
        <v>234</v>
      </c>
      <c r="D24" s="131">
        <v>0.33500000000000002</v>
      </c>
      <c r="E24" s="132"/>
      <c r="G24" s="117">
        <f>G21*G23</f>
        <v>0</v>
      </c>
    </row>
    <row r="25" spans="3:8">
      <c r="C25" s="89"/>
      <c r="D25" s="130"/>
      <c r="G25" s="117"/>
    </row>
    <row r="26" spans="3:8">
      <c r="G26" s="125">
        <v>35.1</v>
      </c>
      <c r="H26" t="s">
        <v>213</v>
      </c>
    </row>
    <row r="27" spans="3:8">
      <c r="C27" s="133"/>
      <c r="D27" s="133"/>
    </row>
    <row r="28" spans="3:8">
      <c r="C28" s="133" t="s">
        <v>240</v>
      </c>
      <c r="D28" s="133">
        <v>1397</v>
      </c>
    </row>
    <row r="29" spans="3:8">
      <c r="C29" s="133" t="s">
        <v>237</v>
      </c>
      <c r="D29" s="139">
        <v>0.8</v>
      </c>
    </row>
    <row r="30" spans="3:8">
      <c r="C30" s="133" t="s">
        <v>238</v>
      </c>
      <c r="D30" s="133">
        <v>139.69999999999999</v>
      </c>
    </row>
    <row r="31" spans="3:8">
      <c r="C31" s="133" t="s">
        <v>239</v>
      </c>
      <c r="D31" s="136">
        <v>7.4139999999999997</v>
      </c>
    </row>
    <row r="32" spans="3:8">
      <c r="C32" s="133"/>
      <c r="D32" s="133"/>
    </row>
    <row r="33" spans="3:4">
      <c r="C33" s="138" t="s">
        <v>245</v>
      </c>
      <c r="D33" s="137">
        <v>6</v>
      </c>
    </row>
    <row r="34" spans="3:4">
      <c r="C34" s="133" t="s">
        <v>241</v>
      </c>
      <c r="D34" s="133">
        <v>18.626999999999999</v>
      </c>
    </row>
    <row r="35" spans="3:4">
      <c r="C35" s="133" t="s">
        <v>242</v>
      </c>
      <c r="D35" s="140">
        <v>5457.5640000000003</v>
      </c>
    </row>
    <row r="36" spans="3:4">
      <c r="C36" s="133" t="s">
        <v>243</v>
      </c>
      <c r="D36" s="133">
        <v>0.63400000000000001</v>
      </c>
    </row>
    <row r="37" spans="3:4">
      <c r="C37" s="133" t="s">
        <v>244</v>
      </c>
      <c r="D37" s="133">
        <v>6.78</v>
      </c>
    </row>
    <row r="38" spans="3:4">
      <c r="C38" s="133"/>
      <c r="D38" s="133"/>
    </row>
    <row r="42" spans="3:4">
      <c r="C42" s="102"/>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workbookViewId="0">
      <selection activeCell="A18" sqref="A18:B19"/>
    </sheetView>
  </sheetViews>
  <sheetFormatPr defaultRowHeight="14"/>
  <cols>
    <col min="1" max="1" width="24.58203125" bestFit="1" customWidth="1"/>
    <col min="2" max="2" width="20.4140625" customWidth="1"/>
  </cols>
  <sheetData>
    <row r="1" spans="1:2">
      <c r="A1" s="154" t="s">
        <v>168</v>
      </c>
      <c r="B1" s="154"/>
    </row>
    <row r="3" spans="1:2" ht="14.5" thickBot="1">
      <c r="A3" s="105"/>
    </row>
    <row r="4" spans="1:2" ht="14.5" thickBot="1">
      <c r="A4" s="106" t="s">
        <v>169</v>
      </c>
      <c r="B4" s="106" t="s">
        <v>170</v>
      </c>
    </row>
    <row r="5" spans="1:2" ht="15" thickBot="1">
      <c r="A5" s="107" t="s">
        <v>171</v>
      </c>
      <c r="B5" s="108">
        <v>3347100</v>
      </c>
    </row>
    <row r="6" spans="1:2" ht="15" thickBot="1">
      <c r="A6" s="107" t="s">
        <v>172</v>
      </c>
      <c r="B6" s="108">
        <v>657416</v>
      </c>
    </row>
    <row r="7" spans="1:2" ht="15" thickBot="1">
      <c r="A7" s="107" t="s">
        <v>173</v>
      </c>
      <c r="B7" s="109">
        <v>783</v>
      </c>
    </row>
    <row r="8" spans="1:2" ht="15" thickBot="1">
      <c r="A8" s="107" t="s">
        <v>174</v>
      </c>
      <c r="B8" s="108">
        <v>102917</v>
      </c>
    </row>
    <row r="9" spans="1:2" ht="15" thickBot="1">
      <c r="A9" s="107" t="s">
        <v>175</v>
      </c>
      <c r="B9" s="108">
        <v>816468</v>
      </c>
    </row>
    <row r="10" spans="1:2" ht="15" thickBot="1">
      <c r="A10" s="107" t="s">
        <v>176</v>
      </c>
      <c r="B10" s="110" t="s">
        <v>177</v>
      </c>
    </row>
    <row r="11" spans="1:2" ht="15" thickBot="1">
      <c r="A11" s="107" t="s">
        <v>178</v>
      </c>
      <c r="B11" s="108">
        <v>1376474</v>
      </c>
    </row>
    <row r="12" spans="1:2" ht="15" thickBot="1">
      <c r="A12" s="107" t="s">
        <v>179</v>
      </c>
      <c r="B12" s="108">
        <v>870589</v>
      </c>
    </row>
    <row r="13" spans="1:2" ht="15" thickBot="1">
      <c r="A13" s="107" t="s">
        <v>180</v>
      </c>
      <c r="B13" s="108">
        <v>29748</v>
      </c>
    </row>
    <row r="14" spans="1:2" ht="14.5" thickBot="1">
      <c r="A14" s="106" t="s">
        <v>181</v>
      </c>
      <c r="B14" s="111">
        <v>8174961</v>
      </c>
    </row>
    <row r="18" spans="2:2">
      <c r="B18" s="100"/>
    </row>
    <row r="19" spans="2:2">
      <c r="B19" s="100"/>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workbookViewId="0">
      <selection activeCell="A13" sqref="A13:XFD27"/>
    </sheetView>
  </sheetViews>
  <sheetFormatPr defaultColWidth="11.9140625" defaultRowHeight="14.5"/>
  <cols>
    <col min="1" max="1" width="28.9140625" style="29" customWidth="1"/>
    <col min="2" max="16384" width="11.9140625" style="29"/>
  </cols>
  <sheetData>
    <row r="1" spans="1:2">
      <c r="A1" s="98" t="s">
        <v>156</v>
      </c>
    </row>
    <row r="2" spans="1:2">
      <c r="A2" s="40" t="s">
        <v>85</v>
      </c>
    </row>
    <row r="3" spans="1:2">
      <c r="A3" s="29" t="s">
        <v>148</v>
      </c>
    </row>
    <row r="4" spans="1:2">
      <c r="A4" s="29" t="s">
        <v>86</v>
      </c>
    </row>
    <row r="5" spans="1:2">
      <c r="A5" s="30">
        <v>1376474</v>
      </c>
      <c r="B5" s="29" t="s">
        <v>87</v>
      </c>
    </row>
    <row r="6" spans="1:2">
      <c r="A6" s="30">
        <v>816468</v>
      </c>
      <c r="B6" s="29" t="s">
        <v>88</v>
      </c>
    </row>
    <row r="7" spans="1:2">
      <c r="A7" s="41">
        <f>SUM(A5:A6)</f>
        <v>2192942</v>
      </c>
      <c r="B7" s="29" t="s">
        <v>89</v>
      </c>
    </row>
    <row r="9" spans="1:2">
      <c r="A9" s="101">
        <f>A7*0.07</f>
        <v>153505.94</v>
      </c>
      <c r="B9" s="29" t="s">
        <v>185</v>
      </c>
    </row>
    <row r="10" spans="1:2">
      <c r="A10" s="101">
        <f>A9*0.2</f>
        <v>30701.188000000002</v>
      </c>
      <c r="B10" s="29" t="s">
        <v>186</v>
      </c>
    </row>
    <row r="11" spans="1:2">
      <c r="A11" s="42"/>
    </row>
    <row r="13" spans="1:2">
      <c r="A13" s="98"/>
    </row>
    <row r="15" spans="1:2">
      <c r="B15" s="88"/>
    </row>
    <row r="19" spans="1:1">
      <c r="A19" s="98"/>
    </row>
    <row r="22" spans="1:1">
      <c r="A22" s="34"/>
    </row>
    <row r="24" spans="1:1">
      <c r="A24" s="99"/>
    </row>
    <row r="25" spans="1:1">
      <c r="A25" s="88"/>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4"/>
  <sheetViews>
    <sheetView workbookViewId="0">
      <selection activeCell="A3" sqref="A3"/>
    </sheetView>
  </sheetViews>
  <sheetFormatPr defaultColWidth="11.9140625" defaultRowHeight="14.5"/>
  <cols>
    <col min="1" max="1" width="28.9140625" style="29" customWidth="1"/>
    <col min="2" max="16384" width="11.9140625" style="29"/>
  </cols>
  <sheetData>
    <row r="2" spans="1:3">
      <c r="A2" s="98" t="s">
        <v>189</v>
      </c>
    </row>
    <row r="3" spans="1:3">
      <c r="A3" s="29" t="s">
        <v>149</v>
      </c>
      <c r="B3" s="29">
        <v>8650</v>
      </c>
      <c r="C3" s="29" t="s">
        <v>164</v>
      </c>
    </row>
    <row r="4" spans="1:3">
      <c r="A4" s="29" t="s">
        <v>152</v>
      </c>
      <c r="B4" s="88">
        <v>465</v>
      </c>
      <c r="C4" s="29" t="s">
        <v>155</v>
      </c>
    </row>
    <row r="5" spans="1:3">
      <c r="A5" s="29" t="s">
        <v>150</v>
      </c>
      <c r="B5" s="29">
        <v>1.4</v>
      </c>
      <c r="C5" s="29" t="s">
        <v>154</v>
      </c>
    </row>
    <row r="6" spans="1:3">
      <c r="A6" s="29" t="s">
        <v>151</v>
      </c>
      <c r="B6" s="29">
        <v>1000000</v>
      </c>
      <c r="C6" s="29" t="s">
        <v>153</v>
      </c>
    </row>
    <row r="8" spans="1:3">
      <c r="A8" s="98"/>
    </row>
    <row r="11" spans="1:3">
      <c r="A11" s="34"/>
    </row>
    <row r="13" spans="1:3">
      <c r="A13" s="99"/>
    </row>
    <row r="14" spans="1:3">
      <c r="A14" s="88"/>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B11" sqref="B11"/>
    </sheetView>
  </sheetViews>
  <sheetFormatPr defaultRowHeight="14"/>
  <cols>
    <col min="1" max="1" width="15.5" bestFit="1" customWidth="1"/>
    <col min="2" max="2" width="9.9140625" style="100" bestFit="1" customWidth="1"/>
    <col min="3" max="3" width="83.25" bestFit="1" customWidth="1"/>
  </cols>
  <sheetData>
    <row r="1" spans="1:3">
      <c r="A1" t="s">
        <v>196</v>
      </c>
      <c r="B1" s="100">
        <v>3</v>
      </c>
      <c r="C1" t="s">
        <v>201</v>
      </c>
    </row>
    <row r="2" spans="1:3">
      <c r="B2" s="100">
        <v>20</v>
      </c>
      <c r="C2" t="s">
        <v>188</v>
      </c>
    </row>
    <row r="4" spans="1:3">
      <c r="A4" t="s">
        <v>198</v>
      </c>
      <c r="B4" s="100">
        <v>21</v>
      </c>
      <c r="C4" t="s">
        <v>182</v>
      </c>
    </row>
    <row r="5" spans="1:3">
      <c r="B5" s="100">
        <f>B1*B4</f>
        <v>63</v>
      </c>
      <c r="C5" t="s">
        <v>197</v>
      </c>
    </row>
    <row r="6" spans="1:3">
      <c r="B6" s="100">
        <f>B5*20</f>
        <v>1260</v>
      </c>
      <c r="C6" t="s">
        <v>199</v>
      </c>
    </row>
    <row r="7" spans="1:3" ht="14.5" customHeight="1">
      <c r="B7" s="126">
        <f>B6*365</f>
        <v>459900</v>
      </c>
      <c r="C7" t="s">
        <v>200</v>
      </c>
    </row>
    <row r="8" spans="1:3">
      <c r="B8" s="97">
        <v>0.18</v>
      </c>
      <c r="C8" t="s">
        <v>187</v>
      </c>
    </row>
    <row r="10" spans="1:3">
      <c r="B10" s="100">
        <f>B7*B8</f>
        <v>82782</v>
      </c>
      <c r="C10" t="s">
        <v>202</v>
      </c>
    </row>
    <row r="11" spans="1:3">
      <c r="B11" s="127">
        <v>736</v>
      </c>
      <c r="C11" s="26" t="s">
        <v>203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workbookViewId="0">
      <selection activeCell="B11" sqref="B11"/>
    </sheetView>
  </sheetViews>
  <sheetFormatPr defaultRowHeight="14"/>
  <cols>
    <col min="1" max="1" width="15.5" bestFit="1" customWidth="1"/>
    <col min="2" max="2" width="9.9140625" style="100" bestFit="1" customWidth="1"/>
    <col min="3" max="3" width="83.25" bestFit="1" customWidth="1"/>
  </cols>
  <sheetData>
    <row r="1" spans="1:3">
      <c r="A1" t="s">
        <v>196</v>
      </c>
      <c r="B1" s="100">
        <v>2</v>
      </c>
      <c r="C1" t="s">
        <v>204</v>
      </c>
    </row>
    <row r="2" spans="1:3">
      <c r="B2" s="100">
        <v>100</v>
      </c>
      <c r="C2" t="s">
        <v>205</v>
      </c>
    </row>
    <row r="4" spans="1:3">
      <c r="A4" t="s">
        <v>198</v>
      </c>
      <c r="B4" s="100">
        <v>21</v>
      </c>
      <c r="C4" t="s">
        <v>182</v>
      </c>
    </row>
    <row r="5" spans="1:3">
      <c r="B5" s="100">
        <f>B4*B4</f>
        <v>441</v>
      </c>
      <c r="C5" t="s">
        <v>206</v>
      </c>
    </row>
    <row r="6" spans="1:3" ht="14.5" customHeight="1">
      <c r="B6" s="126">
        <f>B5*365</f>
        <v>160965</v>
      </c>
      <c r="C6" t="s">
        <v>207</v>
      </c>
    </row>
    <row r="7" spans="1:3">
      <c r="B7" s="97">
        <v>0.18</v>
      </c>
      <c r="C7" t="s">
        <v>187</v>
      </c>
    </row>
    <row r="9" spans="1:3">
      <c r="B9" s="100">
        <f>B6*B7</f>
        <v>28973.7</v>
      </c>
      <c r="C9" t="s">
        <v>202</v>
      </c>
    </row>
    <row r="10" spans="1:3">
      <c r="B10" s="127">
        <v>257</v>
      </c>
      <c r="C10" s="26"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topLeftCell="A7" workbookViewId="0">
      <selection activeCell="A23" sqref="A23"/>
    </sheetView>
  </sheetViews>
  <sheetFormatPr defaultRowHeight="14"/>
  <cols>
    <col min="1" max="1" width="12.4140625" bestFit="1" customWidth="1"/>
    <col min="7" max="7" width="14.5" bestFit="1" customWidth="1"/>
    <col min="8" max="8" width="13.5" bestFit="1" customWidth="1"/>
    <col min="9" max="9" width="8.9140625" bestFit="1" customWidth="1"/>
  </cols>
  <sheetData>
    <row r="1" spans="1:9">
      <c r="A1" t="s">
        <v>191</v>
      </c>
    </row>
    <row r="3" spans="1:9">
      <c r="A3" s="100">
        <v>9710000</v>
      </c>
      <c r="B3" t="s">
        <v>183</v>
      </c>
    </row>
    <row r="4" spans="1:9">
      <c r="A4">
        <v>75</v>
      </c>
      <c r="B4" t="s">
        <v>215</v>
      </c>
    </row>
    <row r="6" spans="1:9">
      <c r="A6" s="100">
        <f>A3/5</f>
        <v>1942000</v>
      </c>
      <c r="B6" t="s">
        <v>217</v>
      </c>
    </row>
    <row r="7" spans="1:9">
      <c r="A7" s="100"/>
    </row>
    <row r="8" spans="1:9">
      <c r="A8" s="100">
        <f>A6/2000</f>
        <v>971</v>
      </c>
      <c r="B8" t="s">
        <v>220</v>
      </c>
    </row>
    <row r="9" spans="1:9">
      <c r="A9">
        <f>A4/5</f>
        <v>15</v>
      </c>
      <c r="B9" t="s">
        <v>216</v>
      </c>
    </row>
    <row r="10" spans="1:9">
      <c r="A10" s="112">
        <v>2380</v>
      </c>
      <c r="B10" t="s">
        <v>219</v>
      </c>
    </row>
    <row r="11" spans="1:9">
      <c r="A11" s="121">
        <f>SUM(A9:A10)</f>
        <v>2395</v>
      </c>
      <c r="B11" s="122" t="s">
        <v>184</v>
      </c>
      <c r="C11" s="122"/>
      <c r="D11" s="122"/>
      <c r="E11" s="122"/>
    </row>
    <row r="14" spans="1:9">
      <c r="A14">
        <v>104777</v>
      </c>
      <c r="B14" t="s">
        <v>192</v>
      </c>
    </row>
    <row r="15" spans="1:9">
      <c r="A15" s="123">
        <v>752035</v>
      </c>
      <c r="B15" t="s">
        <v>193</v>
      </c>
    </row>
    <row r="16" spans="1:9">
      <c r="A16" s="96">
        <f>A15/A14</f>
        <v>7.1774816992278838</v>
      </c>
      <c r="B16" t="s">
        <v>194</v>
      </c>
      <c r="G16" s="100"/>
      <c r="H16" s="22"/>
      <c r="I16" s="22"/>
    </row>
    <row r="17" spans="1:9">
      <c r="A17" s="96"/>
      <c r="G17" s="100"/>
      <c r="H17" s="22"/>
      <c r="I17" s="22"/>
    </row>
    <row r="18" spans="1:9">
      <c r="A18" s="97">
        <f>A8*A16</f>
        <v>6969.3347299502748</v>
      </c>
      <c r="B18" t="s">
        <v>220</v>
      </c>
      <c r="G18" s="100"/>
      <c r="H18" s="22"/>
      <c r="I18" s="22"/>
    </row>
    <row r="19" spans="1:9">
      <c r="A19" s="97">
        <f>A9</f>
        <v>15</v>
      </c>
      <c r="B19" t="s">
        <v>216</v>
      </c>
      <c r="G19" s="100"/>
      <c r="H19" s="22"/>
      <c r="I19" s="22"/>
    </row>
    <row r="20" spans="1:9">
      <c r="A20" s="97">
        <f>A10*A16</f>
        <v>17082.406444162363</v>
      </c>
      <c r="B20" t="s">
        <v>218</v>
      </c>
      <c r="G20" s="100"/>
      <c r="H20" s="22"/>
      <c r="I20" s="22"/>
    </row>
    <row r="22" spans="1:9">
      <c r="A22" s="124">
        <f>SUM(A19:A20)</f>
        <v>17097.406444162363</v>
      </c>
      <c r="B22" s="26" t="s">
        <v>195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election activeCell="A7" sqref="A7"/>
    </sheetView>
  </sheetViews>
  <sheetFormatPr defaultRowHeight="14.5"/>
  <cols>
    <col min="1" max="16384" width="8.6640625" style="29"/>
  </cols>
  <sheetData>
    <row r="1" spans="1:2">
      <c r="A1" s="29" t="s">
        <v>208</v>
      </c>
    </row>
    <row r="2" spans="1:2">
      <c r="A2" s="29">
        <v>116</v>
      </c>
      <c r="B2" s="29" t="s">
        <v>247</v>
      </c>
    </row>
    <row r="3" spans="1:2">
      <c r="A3" s="29">
        <v>70</v>
      </c>
      <c r="B3" s="29" t="s">
        <v>211</v>
      </c>
    </row>
    <row r="5" spans="1:2">
      <c r="A5" s="29" t="s">
        <v>209</v>
      </c>
    </row>
    <row r="6" spans="1:2">
      <c r="A6" s="29">
        <v>5000</v>
      </c>
      <c r="B6" s="29" t="s">
        <v>210</v>
      </c>
    </row>
    <row r="7" spans="1:2">
      <c r="A7" s="29">
        <f>A2*5</f>
        <v>580</v>
      </c>
      <c r="B7" s="29" t="s">
        <v>246</v>
      </c>
    </row>
    <row r="8" spans="1:2">
      <c r="A8" s="88">
        <f>A3*5</f>
        <v>350</v>
      </c>
      <c r="B8" s="29" t="s">
        <v>212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8"/>
  <sheetViews>
    <sheetView workbookViewId="0">
      <selection activeCell="A8" sqref="A8"/>
    </sheetView>
  </sheetViews>
  <sheetFormatPr defaultColWidth="11.9140625" defaultRowHeight="14.5"/>
  <cols>
    <col min="1" max="1" width="28.9140625" style="29" customWidth="1"/>
    <col min="2" max="16384" width="11.9140625" style="29"/>
  </cols>
  <sheetData>
    <row r="2" spans="1:2">
      <c r="A2" s="98" t="s">
        <v>157</v>
      </c>
    </row>
    <row r="3" spans="1:2">
      <c r="A3" s="34">
        <v>30</v>
      </c>
      <c r="B3" s="29" t="s">
        <v>158</v>
      </c>
    </row>
    <row r="4" spans="1:2">
      <c r="A4" s="34">
        <v>75000</v>
      </c>
      <c r="B4" s="29" t="s">
        <v>159</v>
      </c>
    </row>
    <row r="5" spans="1:2">
      <c r="A5" s="34">
        <f>A3*A4</f>
        <v>2250000</v>
      </c>
      <c r="B5" s="29" t="s">
        <v>160</v>
      </c>
    </row>
    <row r="6" spans="1:2">
      <c r="A6" s="34">
        <v>10</v>
      </c>
      <c r="B6" s="29" t="s">
        <v>161</v>
      </c>
    </row>
    <row r="7" spans="1:2">
      <c r="A7" s="34">
        <f>A5/A6</f>
        <v>225000</v>
      </c>
      <c r="B7" s="29" t="s">
        <v>162</v>
      </c>
    </row>
    <row r="8" spans="1:2">
      <c r="A8" s="88">
        <v>2000</v>
      </c>
      <c r="B8" s="88" t="s">
        <v>203</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abSelected="1" workbookViewId="0">
      <selection sqref="A1:F1"/>
    </sheetView>
  </sheetViews>
  <sheetFormatPr defaultRowHeight="14"/>
  <cols>
    <col min="1" max="5" width="8.6640625" style="117"/>
    <col min="6" max="6" width="24" style="117" customWidth="1"/>
    <col min="7" max="16384" width="8.6640625" style="117"/>
  </cols>
  <sheetData>
    <row r="1" spans="1:17" ht="14.5">
      <c r="A1" s="156" t="s">
        <v>190</v>
      </c>
      <c r="B1" s="156"/>
      <c r="C1" s="156"/>
      <c r="D1" s="156"/>
      <c r="E1" s="156"/>
      <c r="F1" s="156"/>
      <c r="G1" s="116"/>
      <c r="H1" s="116"/>
      <c r="I1" s="116"/>
      <c r="J1" s="116"/>
      <c r="K1" s="116"/>
      <c r="L1" s="116"/>
      <c r="M1" s="116"/>
      <c r="N1" s="116"/>
      <c r="O1" s="116"/>
      <c r="P1" s="116"/>
      <c r="Q1" s="116"/>
    </row>
    <row r="2" spans="1:17" ht="14.5">
      <c r="A2" s="119">
        <v>5.3999999999999999E-2</v>
      </c>
      <c r="B2" s="116" t="s">
        <v>90</v>
      </c>
      <c r="C2" s="116"/>
      <c r="D2" s="116"/>
      <c r="E2" s="116"/>
      <c r="F2" s="116"/>
      <c r="G2" s="116"/>
      <c r="H2" s="116"/>
      <c r="I2" s="116"/>
      <c r="J2" s="116"/>
      <c r="K2" s="116"/>
      <c r="L2" s="116"/>
      <c r="M2" s="116"/>
      <c r="N2" s="116"/>
      <c r="O2" s="116"/>
      <c r="P2" s="116"/>
      <c r="Q2" s="116"/>
    </row>
    <row r="3" spans="1:17" ht="14.5">
      <c r="A3" s="120">
        <f>157814-58082</f>
        <v>99732</v>
      </c>
      <c r="B3" s="116" t="s">
        <v>91</v>
      </c>
      <c r="C3" s="116"/>
      <c r="D3" s="116"/>
      <c r="E3" s="116"/>
      <c r="F3" s="116"/>
      <c r="G3" s="116"/>
      <c r="H3" s="116"/>
      <c r="I3" s="116"/>
      <c r="J3" s="116"/>
      <c r="K3" s="116"/>
      <c r="L3" s="116"/>
      <c r="M3" s="116"/>
      <c r="N3" s="116"/>
      <c r="O3" s="116"/>
      <c r="P3" s="116"/>
      <c r="Q3" s="116"/>
    </row>
    <row r="4" spans="1:17" ht="14.5">
      <c r="A4" s="118">
        <f>7741-1811</f>
        <v>5930</v>
      </c>
      <c r="B4" s="116" t="s">
        <v>43</v>
      </c>
      <c r="C4" s="116" t="s">
        <v>92</v>
      </c>
      <c r="D4" s="116"/>
      <c r="E4" s="116"/>
      <c r="F4" s="116"/>
      <c r="G4" s="116"/>
      <c r="H4" s="116"/>
      <c r="I4" s="116"/>
      <c r="J4" s="116"/>
      <c r="K4" s="116"/>
      <c r="L4" s="116"/>
      <c r="M4" s="116"/>
      <c r="N4" s="116"/>
      <c r="O4" s="116"/>
      <c r="P4" s="116"/>
      <c r="Q4" s="116"/>
    </row>
  </sheetData>
  <mergeCells count="1">
    <mergeCell ref="A1:F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All GHG Totals</vt:lpstr>
      <vt:lpstr>Municipal Planning</vt:lpstr>
      <vt:lpstr>Tree Canopy</vt:lpstr>
      <vt:lpstr>EV Car Share</vt:lpstr>
      <vt:lpstr>EV On Street Charging</vt:lpstr>
      <vt:lpstr>Reuse</vt:lpstr>
      <vt:lpstr>OrganicCollection</vt:lpstr>
      <vt:lpstr>EV Police Cars</vt:lpstr>
      <vt:lpstr>CTEN GHG</vt:lpstr>
      <vt:lpstr>Gloria Drive - Fugitive GHG</vt:lpstr>
      <vt:lpstr>Gloria Drive Solar</vt:lpstr>
      <vt:lpstr>Gloria Drive - Leachate Hauling</vt:lpstr>
      <vt:lpstr>FleetBldg1-Gas</vt:lpstr>
      <vt:lpstr>FleetCtr_Electric</vt:lpstr>
      <vt:lpstr>GHG Inventory MCCAP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Clement Chung</dc:creator>
  <cp:lastModifiedBy>Quinn, Madison</cp:lastModifiedBy>
  <dcterms:created xsi:type="dcterms:W3CDTF">2024-03-23T03:34:11Z</dcterms:created>
  <dcterms:modified xsi:type="dcterms:W3CDTF">2024-04-01T23:13:01Z</dcterms:modified>
</cp:coreProperties>
</file>